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2" activeTab="4"/>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state="hidden"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BB24" i="2" l="1"/>
  <c r="BA24" i="2" s="1"/>
  <c r="BB11" i="2"/>
  <c r="BA11" i="2" s="1"/>
  <c r="BB121" i="2" l="1"/>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87" i="2"/>
  <c r="C87" i="2" s="1"/>
  <c r="BB83" i="2"/>
  <c r="BB82" i="2"/>
  <c r="BB81" i="2"/>
  <c r="BB80" i="2"/>
  <c r="BB79" i="2"/>
  <c r="BB78" i="2"/>
  <c r="BB77" i="2"/>
  <c r="BB76" i="2"/>
  <c r="BB75" i="2"/>
  <c r="BB74" i="2"/>
  <c r="BB73" i="2"/>
  <c r="BB72" i="2"/>
  <c r="BB71" i="2"/>
  <c r="BB70" i="2"/>
  <c r="BB69" i="2"/>
  <c r="BB68" i="2"/>
  <c r="BB67" i="2"/>
  <c r="BB66" i="2"/>
  <c r="BB65" i="2"/>
  <c r="BB64" i="2"/>
  <c r="BB63" i="2"/>
  <c r="BB62" i="2"/>
  <c r="BB61" i="2"/>
  <c r="BB60" i="2"/>
  <c r="BB58" i="2"/>
  <c r="BB57" i="2"/>
  <c r="BB56" i="2"/>
  <c r="BB55" i="2"/>
  <c r="BB54" i="2"/>
  <c r="BB53" i="2"/>
  <c r="BB52" i="2"/>
  <c r="BB51" i="2"/>
  <c r="BB50" i="2"/>
  <c r="BB49" i="2"/>
  <c r="BB48" i="2"/>
  <c r="BB47" i="2"/>
  <c r="BB46" i="2"/>
  <c r="BB45" i="2"/>
  <c r="BB44" i="2"/>
  <c r="BB43" i="2"/>
  <c r="BB42" i="2"/>
  <c r="BB41" i="2"/>
  <c r="BB40" i="2"/>
  <c r="BB39" i="2"/>
  <c r="BB38" i="2"/>
  <c r="BB37" i="2"/>
  <c r="BB36" i="2"/>
  <c r="BB35" i="2"/>
  <c r="BB33" i="2"/>
  <c r="BB32" i="2"/>
  <c r="BB31" i="2"/>
  <c r="BB30" i="2"/>
  <c r="BB29" i="2"/>
  <c r="BB28" i="2"/>
  <c r="BB27" i="2"/>
  <c r="BB26" i="2"/>
  <c r="BB25" i="2"/>
  <c r="C24" i="2"/>
  <c r="BB23" i="2"/>
  <c r="BB22" i="2"/>
  <c r="BB21" i="2"/>
  <c r="BB20" i="2"/>
  <c r="BB19" i="2"/>
  <c r="BB18" i="2"/>
  <c r="BB17" i="2"/>
  <c r="BB16" i="2"/>
  <c r="BB15" i="2"/>
  <c r="BB14" i="2"/>
  <c r="BB13" i="2"/>
  <c r="BA13" i="2" s="1"/>
  <c r="BB12" i="2"/>
  <c r="BA12" i="2" s="1"/>
  <c r="C11" i="2"/>
  <c r="BB10" i="2"/>
  <c r="C44" i="2" l="1"/>
  <c r="BA44" i="2"/>
  <c r="C69" i="2"/>
  <c r="BA69" i="2"/>
  <c r="C106" i="2"/>
  <c r="D106" i="2" s="1"/>
  <c r="BA106" i="2"/>
  <c r="C107" i="2"/>
  <c r="L107" i="2" s="1"/>
  <c r="BA107" i="2"/>
  <c r="C45" i="2"/>
  <c r="BA45" i="2"/>
  <c r="C21" i="2"/>
  <c r="BA21" i="2"/>
  <c r="C29" i="2"/>
  <c r="BA29" i="2"/>
  <c r="C46" i="2"/>
  <c r="BA46" i="2"/>
  <c r="C54" i="2"/>
  <c r="BA54" i="2"/>
  <c r="C71" i="2"/>
  <c r="BA71" i="2"/>
  <c r="C79" i="2"/>
  <c r="I79" i="2" s="1"/>
  <c r="BA79" i="2"/>
  <c r="C108" i="2"/>
  <c r="D108" i="2" s="1"/>
  <c r="BA108" i="2"/>
  <c r="C22" i="2"/>
  <c r="BA22" i="2"/>
  <c r="C30" i="2"/>
  <c r="BA30" i="2"/>
  <c r="C47" i="2"/>
  <c r="BA47" i="2"/>
  <c r="C55" i="2"/>
  <c r="BA55" i="2"/>
  <c r="C72" i="2"/>
  <c r="BA72" i="2"/>
  <c r="C80" i="2"/>
  <c r="BA80" i="2"/>
  <c r="C109" i="2"/>
  <c r="BA109" i="2"/>
  <c r="C117" i="2"/>
  <c r="D117" i="2" s="1"/>
  <c r="BA117" i="2"/>
  <c r="C19" i="2"/>
  <c r="BA19" i="2"/>
  <c r="C70" i="2"/>
  <c r="L70" i="2" s="1"/>
  <c r="BA70" i="2"/>
  <c r="C23" i="2"/>
  <c r="BA23" i="2"/>
  <c r="C31" i="2"/>
  <c r="BA31" i="2"/>
  <c r="C48" i="2"/>
  <c r="BA48" i="2"/>
  <c r="C56" i="2"/>
  <c r="BA56" i="2"/>
  <c r="C73" i="2"/>
  <c r="I73" i="2" s="1"/>
  <c r="BA73" i="2"/>
  <c r="C81" i="2"/>
  <c r="L81" i="2" s="1"/>
  <c r="BA81" i="2"/>
  <c r="C110" i="2"/>
  <c r="I110" i="2" s="1"/>
  <c r="BA110" i="2"/>
  <c r="C118" i="2"/>
  <c r="D118" i="2" s="1"/>
  <c r="BA118" i="2"/>
  <c r="C32" i="2"/>
  <c r="BA32" i="2"/>
  <c r="C57" i="2"/>
  <c r="BA57" i="2"/>
  <c r="C82" i="2"/>
  <c r="D82" i="2" s="1"/>
  <c r="BA82" i="2"/>
  <c r="C111" i="2"/>
  <c r="I111" i="2" s="1"/>
  <c r="BA111" i="2"/>
  <c r="C119" i="2"/>
  <c r="D119" i="2" s="1"/>
  <c r="BA119" i="2"/>
  <c r="C20" i="2"/>
  <c r="BA20" i="2"/>
  <c r="C17" i="2"/>
  <c r="BA17" i="2"/>
  <c r="C33" i="2"/>
  <c r="BA33" i="2"/>
  <c r="C42" i="2"/>
  <c r="BA42" i="2"/>
  <c r="C58" i="2"/>
  <c r="D58" i="2" s="1"/>
  <c r="BA58" i="2"/>
  <c r="C67" i="2"/>
  <c r="BA67" i="2"/>
  <c r="C83" i="2"/>
  <c r="BA83" i="2"/>
  <c r="C120" i="2"/>
  <c r="I120" i="2" s="1"/>
  <c r="BA120" i="2"/>
  <c r="C18" i="2"/>
  <c r="BA18" i="2"/>
  <c r="C43" i="2"/>
  <c r="BA43" i="2"/>
  <c r="C68" i="2"/>
  <c r="L68" i="2" s="1"/>
  <c r="BA68" i="2"/>
  <c r="C105" i="2"/>
  <c r="I105" i="2" s="1"/>
  <c r="BA105" i="2"/>
  <c r="C121" i="2"/>
  <c r="L121" i="2" s="1"/>
  <c r="BA121" i="2"/>
  <c r="C25" i="2"/>
  <c r="BA25" i="2"/>
  <c r="C112" i="2"/>
  <c r="I112" i="2" s="1"/>
  <c r="BA112" i="2"/>
  <c r="C51" i="2"/>
  <c r="BA51" i="2"/>
  <c r="C113" i="2"/>
  <c r="L113" i="2" s="1"/>
  <c r="BA113" i="2"/>
  <c r="C77" i="2"/>
  <c r="L77" i="2" s="1"/>
  <c r="BA77" i="2"/>
  <c r="C114" i="2"/>
  <c r="L114" i="2" s="1"/>
  <c r="BA114" i="2"/>
  <c r="C78" i="2"/>
  <c r="L78" i="2" s="1"/>
  <c r="BA78" i="2"/>
  <c r="C115" i="2"/>
  <c r="D115" i="2" s="1"/>
  <c r="BA115" i="2"/>
  <c r="C75" i="2"/>
  <c r="L75" i="2" s="1"/>
  <c r="BA75" i="2"/>
  <c r="C76" i="2"/>
  <c r="D76" i="2" s="1"/>
  <c r="BA76" i="2"/>
  <c r="C27" i="2"/>
  <c r="BA27" i="2"/>
  <c r="C52" i="2"/>
  <c r="BA52" i="2"/>
  <c r="C28" i="2"/>
  <c r="BA28" i="2"/>
  <c r="C53" i="2"/>
  <c r="BA53" i="2"/>
  <c r="C116" i="2"/>
  <c r="D116" i="2" s="1"/>
  <c r="BA116" i="2"/>
  <c r="C50" i="2"/>
  <c r="BA50" i="2"/>
  <c r="C26" i="2"/>
  <c r="BA26" i="2"/>
  <c r="C49" i="2"/>
  <c r="BA49" i="2"/>
  <c r="C74" i="2"/>
  <c r="D74" i="2" s="1"/>
  <c r="BA74" i="2"/>
  <c r="C10" i="2"/>
  <c r="BA10" i="2"/>
  <c r="C35" i="2"/>
  <c r="BA35" i="2"/>
  <c r="C36" i="2"/>
  <c r="BA36" i="2"/>
  <c r="C37" i="2"/>
  <c r="BA37" i="2"/>
  <c r="C100" i="2"/>
  <c r="D100" i="2" s="1"/>
  <c r="BA100" i="2"/>
  <c r="C14" i="2"/>
  <c r="BA14" i="2"/>
  <c r="C39" i="2"/>
  <c r="BA39" i="2"/>
  <c r="C64" i="2"/>
  <c r="L64" i="2" s="1"/>
  <c r="BA64" i="2"/>
  <c r="C101" i="2"/>
  <c r="D101" i="2" s="1"/>
  <c r="BA101" i="2"/>
  <c r="C99" i="2"/>
  <c r="L99" i="2" s="1"/>
  <c r="BA99" i="2"/>
  <c r="C63" i="2"/>
  <c r="I63" i="2" s="1"/>
  <c r="BA63" i="2"/>
  <c r="C15" i="2"/>
  <c r="BA15" i="2"/>
  <c r="C40" i="2"/>
  <c r="BA40" i="2"/>
  <c r="C66" i="2"/>
  <c r="L66" i="2" s="1"/>
  <c r="BA66" i="2"/>
  <c r="C103" i="2"/>
  <c r="D103" i="2" s="1"/>
  <c r="BA103" i="2"/>
  <c r="C62" i="2"/>
  <c r="L62" i="2" s="1"/>
  <c r="BA62" i="2"/>
  <c r="C38" i="2"/>
  <c r="BA38" i="2"/>
  <c r="C65" i="2"/>
  <c r="L65" i="2" s="1"/>
  <c r="BA65" i="2"/>
  <c r="C102" i="2"/>
  <c r="D102" i="2" s="1"/>
  <c r="BA102" i="2"/>
  <c r="C16" i="2"/>
  <c r="BA16" i="2"/>
  <c r="C41" i="2"/>
  <c r="BA41" i="2"/>
  <c r="C104" i="2"/>
  <c r="I104" i="2" s="1"/>
  <c r="BA104" i="2"/>
  <c r="C60" i="2"/>
  <c r="I60" i="2" s="1"/>
  <c r="BA60" i="2"/>
  <c r="C61" i="2"/>
  <c r="D61" i="2" s="1"/>
  <c r="BA61" i="2"/>
  <c r="C98" i="2"/>
  <c r="D98" i="2" s="1"/>
  <c r="BA98" i="2"/>
  <c r="C13" i="2"/>
  <c r="C12" i="2"/>
  <c r="I119" i="2"/>
  <c r="I118" i="2"/>
  <c r="D109" i="2"/>
  <c r="L87" i="2"/>
  <c r="D87" i="2"/>
  <c r="D79" i="2"/>
  <c r="L73" i="2"/>
  <c r="D71" i="2"/>
  <c r="D83" i="2"/>
  <c r="L82" i="2"/>
  <c r="L80" i="2"/>
  <c r="L72" i="2"/>
  <c r="L71" i="2"/>
  <c r="L69" i="2"/>
  <c r="L67" i="2"/>
  <c r="L120" i="2" l="1"/>
  <c r="L105" i="2"/>
  <c r="L106" i="2"/>
  <c r="I68" i="2"/>
  <c r="L74" i="2"/>
  <c r="D107" i="2"/>
  <c r="L112" i="2"/>
  <c r="I113" i="2"/>
  <c r="D68" i="2"/>
  <c r="I121" i="2"/>
  <c r="I81" i="2"/>
  <c r="L115" i="2"/>
  <c r="I102" i="2"/>
  <c r="D114" i="2"/>
  <c r="D111" i="2"/>
  <c r="I76" i="2"/>
  <c r="L76" i="2"/>
  <c r="L104" i="2"/>
  <c r="D66" i="2"/>
  <c r="D110" i="2"/>
  <c r="D60" i="2"/>
  <c r="I65" i="2"/>
  <c r="I103" i="2"/>
  <c r="L61" i="2"/>
  <c r="D63" i="2"/>
  <c r="AY11" i="2"/>
  <c r="I71" i="2"/>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F22" i="35" s="1"/>
  <c r="P22" i="35"/>
  <c r="T21" i="35"/>
  <c r="S21" i="35"/>
  <c r="F21" i="35" s="1"/>
  <c r="P21" i="35"/>
  <c r="T20" i="35"/>
  <c r="S20" i="35"/>
  <c r="F20" i="35" s="1"/>
  <c r="P20" i="35"/>
  <c r="T19" i="35"/>
  <c r="S19" i="35"/>
  <c r="F19" i="35" s="1"/>
  <c r="P19" i="35"/>
  <c r="T18" i="35"/>
  <c r="S18" i="35"/>
  <c r="F18" i="35" s="1"/>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C71" i="5" s="1"/>
  <c r="F107" i="5"/>
  <c r="C107" i="5" s="1"/>
  <c r="F46" i="5"/>
  <c r="C46" i="5" s="1"/>
  <c r="B46" i="5"/>
  <c r="H111" i="2"/>
  <c r="S107" i="5" s="1"/>
  <c r="Y107" i="5" s="1"/>
  <c r="J111" i="2"/>
  <c r="U107" i="5" s="1"/>
  <c r="K111" i="2"/>
  <c r="V107" i="5" s="1"/>
  <c r="X107" i="5" s="1"/>
  <c r="J73" i="2"/>
  <c r="U71" i="5" s="1"/>
  <c r="K73" i="2"/>
  <c r="V71" i="5" s="1"/>
  <c r="X71" i="5" s="1"/>
  <c r="H73" i="2"/>
  <c r="S71" i="5" s="1"/>
  <c r="Y71" i="5" s="1"/>
  <c r="F21" i="5"/>
  <c r="C21" i="5" s="1"/>
  <c r="H48" i="2"/>
  <c r="S46" i="5" s="1"/>
  <c r="Y46" i="5" s="1"/>
  <c r="K48" i="2"/>
  <c r="V46" i="5" s="1"/>
  <c r="X46" i="5" s="1"/>
  <c r="J48" i="2"/>
  <c r="U46" i="5" s="1"/>
  <c r="H23" i="2"/>
  <c r="S21" i="5" s="1"/>
  <c r="Y21" i="5" s="1"/>
  <c r="K23" i="2"/>
  <c r="V21" i="5" s="1"/>
  <c r="X21" i="5" s="1"/>
  <c r="J23" i="2"/>
  <c r="U21" i="5" s="1"/>
  <c r="AS107" i="5" l="1"/>
  <c r="P107" i="5"/>
  <c r="P21" i="5"/>
  <c r="AS21" i="5"/>
  <c r="P71" i="5"/>
  <c r="AI71" i="5" s="1"/>
  <c r="AK71" i="5" s="1"/>
  <c r="AS71" i="5"/>
  <c r="P46" i="5"/>
  <c r="AO46" i="5" s="1"/>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D19" i="35"/>
  <c r="D21" i="35"/>
  <c r="D20" i="35" l="1"/>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F24" i="5"/>
  <c r="P24" i="5" s="1"/>
  <c r="G51" i="2"/>
  <c r="F49" i="5"/>
  <c r="P49" i="5" s="1"/>
  <c r="H82" i="2"/>
  <c r="S80" i="5" s="1"/>
  <c r="H80" i="2"/>
  <c r="S78" i="5" s="1"/>
  <c r="H121" i="2"/>
  <c r="S117" i="5" s="1"/>
  <c r="H119" i="2"/>
  <c r="S115" i="5" s="1"/>
  <c r="H117" i="2"/>
  <c r="S113" i="5" s="1"/>
  <c r="H115" i="2"/>
  <c r="S111" i="5" s="1"/>
  <c r="H113" i="2"/>
  <c r="S109" i="5" s="1"/>
  <c r="H32" i="2"/>
  <c r="S30" i="5" s="1"/>
  <c r="H30" i="2"/>
  <c r="S28" i="5" s="1"/>
  <c r="H28" i="2"/>
  <c r="S26" i="5" s="1"/>
  <c r="K58" i="2"/>
  <c r="V56" i="5" s="1"/>
  <c r="X56" i="5" s="1"/>
  <c r="K56" i="2"/>
  <c r="V54" i="5" s="1"/>
  <c r="X54" i="5" s="1"/>
  <c r="K54" i="2"/>
  <c r="V52" i="5" s="1"/>
  <c r="X52" i="5" s="1"/>
  <c r="K52" i="2"/>
  <c r="V50" i="5" s="1"/>
  <c r="X50" i="5" s="1"/>
  <c r="K50" i="2"/>
  <c r="V48" i="5" s="1"/>
  <c r="X48" i="5" s="1"/>
  <c r="G82" i="2"/>
  <c r="G80" i="2"/>
  <c r="G74" i="2"/>
  <c r="H74" i="2" s="1"/>
  <c r="S72" i="5" s="1"/>
  <c r="G121" i="2"/>
  <c r="G119" i="2"/>
  <c r="G117" i="2"/>
  <c r="G115" i="2"/>
  <c r="G113" i="2"/>
  <c r="G32" i="2"/>
  <c r="G30" i="2"/>
  <c r="G28" i="2"/>
  <c r="G26" i="2"/>
  <c r="H26" i="2" s="1"/>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J24" i="2"/>
  <c r="K24" i="2" s="1"/>
  <c r="H57" i="2"/>
  <c r="S55" i="5" s="1"/>
  <c r="H55" i="2"/>
  <c r="S53" i="5" s="1"/>
  <c r="H53" i="2"/>
  <c r="S51" i="5" s="1"/>
  <c r="H51" i="2"/>
  <c r="S49" i="5" s="1"/>
  <c r="S24" i="5" l="1"/>
  <c r="P56" i="5"/>
  <c r="AO56" i="5" s="1"/>
  <c r="AS56" i="5"/>
  <c r="AS52" i="5"/>
  <c r="P52" i="5"/>
  <c r="AO52" i="5" s="1"/>
  <c r="P48" i="5"/>
  <c r="AO48" i="5" s="1"/>
  <c r="AS48" i="5"/>
  <c r="P54" i="5"/>
  <c r="AO54" i="5" s="1"/>
  <c r="AS54" i="5"/>
  <c r="AS50" i="5"/>
  <c r="P50" i="5"/>
  <c r="AO50" i="5" s="1"/>
  <c r="AA112" i="5"/>
  <c r="AB112" i="5" s="1"/>
  <c r="AI80" i="5"/>
  <c r="AK80" i="5" s="1"/>
  <c r="AP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Q109" i="5"/>
  <c r="T109" i="5" s="1"/>
  <c r="W109" i="5" s="1"/>
  <c r="AP30" i="5"/>
  <c r="AO30" i="5"/>
  <c r="AP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117" i="5"/>
  <c r="Y31" i="5"/>
  <c r="Y55" i="5"/>
  <c r="Y110" i="5"/>
  <c r="Y81" i="5"/>
  <c r="Y48" i="5"/>
  <c r="Y26"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Y72" i="5" l="1"/>
  <c r="G109" i="5"/>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72" i="5"/>
  <c r="AF72" i="5"/>
  <c r="AH72" i="5" s="1"/>
  <c r="AF109" i="5"/>
  <c r="AH109" i="5" s="1"/>
  <c r="AQ109" i="5"/>
  <c r="AC54" i="5"/>
  <c r="AA54" i="5"/>
  <c r="AB54" i="5" s="1"/>
  <c r="AI54" i="5"/>
  <c r="AK54" i="5" s="1"/>
  <c r="Q54" i="5"/>
  <c r="AQ54" i="5" s="1"/>
  <c r="G54" i="5"/>
  <c r="AC24" i="5"/>
  <c r="AI24" i="5"/>
  <c r="AK24" i="5" s="1"/>
  <c r="G24" i="5"/>
  <c r="Q24" i="5"/>
  <c r="AQ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C63" i="5" s="1"/>
  <c r="AQ115" i="5" l="1"/>
  <c r="AQ79" i="5"/>
  <c r="AF79" i="5"/>
  <c r="AH79" i="5" s="1"/>
  <c r="AQ74" i="5"/>
  <c r="P63" i="5"/>
  <c r="AA63" i="5" s="1"/>
  <c r="AB63" i="5" s="1"/>
  <c r="AS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C62" i="5" s="1"/>
  <c r="Y22" i="5"/>
  <c r="Y24" i="5" l="1"/>
  <c r="P62" i="5"/>
  <c r="AC62" i="5" s="1"/>
  <c r="AS62" i="5"/>
  <c r="W47" i="5"/>
  <c r="X47" i="5" s="1"/>
  <c r="Y47"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C104" i="5" s="1"/>
  <c r="AP104" i="5"/>
  <c r="F105" i="5"/>
  <c r="C105" i="5" s="1"/>
  <c r="AP105" i="5"/>
  <c r="F102" i="5"/>
  <c r="C102" i="5" s="1"/>
  <c r="AP102" i="5"/>
  <c r="AP103" i="5"/>
  <c r="F103" i="5"/>
  <c r="C103" i="5" s="1"/>
  <c r="AP106" i="5"/>
  <c r="F106" i="5"/>
  <c r="C106" i="5" s="1"/>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C96" i="5" s="1"/>
  <c r="F97" i="5"/>
  <c r="C97" i="5" s="1"/>
  <c r="AP97" i="5"/>
  <c r="G103" i="2"/>
  <c r="F99" i="5"/>
  <c r="C99" i="5" s="1"/>
  <c r="AP99" i="5"/>
  <c r="AP101" i="5"/>
  <c r="F101" i="5"/>
  <c r="C101" i="5" s="1"/>
  <c r="AP95" i="5"/>
  <c r="F95" i="5"/>
  <c r="C95" i="5" s="1"/>
  <c r="G102" i="2"/>
  <c r="F98" i="5"/>
  <c r="C98" i="5" s="1"/>
  <c r="AP98" i="5"/>
  <c r="F100" i="5"/>
  <c r="C100" i="5" s="1"/>
  <c r="AP100" i="5"/>
  <c r="J103" i="2"/>
  <c r="H103" i="2"/>
  <c r="S99" i="5" s="1"/>
  <c r="J102" i="2"/>
  <c r="H102" i="2"/>
  <c r="S98" i="5" s="1"/>
  <c r="J101" i="2"/>
  <c r="U97" i="5" s="1"/>
  <c r="G101" i="2"/>
  <c r="H101" i="2" s="1"/>
  <c r="J100" i="2"/>
  <c r="H100" i="2"/>
  <c r="S96" i="5" s="1"/>
  <c r="AS100" i="5" l="1"/>
  <c r="P100" i="5"/>
  <c r="Q100" i="5" s="1"/>
  <c r="AS99" i="5"/>
  <c r="P99" i="5"/>
  <c r="AC99" i="5" s="1"/>
  <c r="AS102" i="5"/>
  <c r="P102" i="5"/>
  <c r="G102" i="5" s="1"/>
  <c r="AS98" i="5"/>
  <c r="P98" i="5"/>
  <c r="AI98" i="5" s="1"/>
  <c r="AK98" i="5" s="1"/>
  <c r="AS105" i="5"/>
  <c r="P105" i="5"/>
  <c r="AI105" i="5" s="1"/>
  <c r="AK105" i="5" s="1"/>
  <c r="AS95" i="5"/>
  <c r="P95" i="5"/>
  <c r="AI95" i="5" s="1"/>
  <c r="AK95" i="5" s="1"/>
  <c r="AS97" i="5"/>
  <c r="P97" i="5"/>
  <c r="G97" i="5" s="1"/>
  <c r="P96" i="5"/>
  <c r="G96" i="5" s="1"/>
  <c r="AS96" i="5"/>
  <c r="AS104" i="5"/>
  <c r="P104" i="5"/>
  <c r="G104" i="5" s="1"/>
  <c r="AS106" i="5"/>
  <c r="P106" i="5"/>
  <c r="G106" i="5" s="1"/>
  <c r="P101" i="5"/>
  <c r="AA101" i="5" s="1"/>
  <c r="AB101" i="5" s="1"/>
  <c r="AS101" i="5"/>
  <c r="AS103" i="5"/>
  <c r="P103" i="5"/>
  <c r="G103" i="5" s="1"/>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C65" i="5" s="1"/>
  <c r="F64" i="5"/>
  <c r="C64" i="5" s="1"/>
  <c r="F45" i="5"/>
  <c r="C45" i="5" s="1"/>
  <c r="F44" i="5"/>
  <c r="C44" i="5" s="1"/>
  <c r="F43" i="5"/>
  <c r="C43" i="5" s="1"/>
  <c r="F42" i="5"/>
  <c r="C42" i="5" s="1"/>
  <c r="F41" i="5"/>
  <c r="C41" i="5" s="1"/>
  <c r="F40" i="5"/>
  <c r="C40" i="5" s="1"/>
  <c r="F39" i="5"/>
  <c r="C39" i="5" s="1"/>
  <c r="F38" i="5"/>
  <c r="C38" i="5" s="1"/>
  <c r="F37" i="5"/>
  <c r="C37" i="5" s="1"/>
  <c r="F36" i="5"/>
  <c r="C36" i="5" s="1"/>
  <c r="F35" i="5"/>
  <c r="C35" i="5" s="1"/>
  <c r="F20" i="5"/>
  <c r="C20" i="5" s="1"/>
  <c r="F18" i="5"/>
  <c r="C18" i="5" s="1"/>
  <c r="F17" i="5"/>
  <c r="C17" i="5" s="1"/>
  <c r="F16" i="5"/>
  <c r="C16" i="5" s="1"/>
  <c r="F15" i="5"/>
  <c r="C15" i="5" s="1"/>
  <c r="AS42" i="5" l="1"/>
  <c r="P42" i="5"/>
  <c r="AO42" i="5" s="1"/>
  <c r="AS35" i="5"/>
  <c r="P35" i="5"/>
  <c r="AO35" i="5" s="1"/>
  <c r="AS37" i="5"/>
  <c r="P37" i="5"/>
  <c r="AO37" i="5" s="1"/>
  <c r="AS45" i="5"/>
  <c r="P45" i="5"/>
  <c r="AO45" i="5" s="1"/>
  <c r="P38" i="5"/>
  <c r="AO38" i="5" s="1"/>
  <c r="AS38" i="5"/>
  <c r="P39" i="5"/>
  <c r="AO39" i="5" s="1"/>
  <c r="AS39" i="5"/>
  <c r="P15" i="5"/>
  <c r="AO15" i="5" s="1"/>
  <c r="AS15" i="5"/>
  <c r="P64" i="5"/>
  <c r="G64" i="5" s="1"/>
  <c r="AS64" i="5"/>
  <c r="P65" i="5"/>
  <c r="AS65" i="5"/>
  <c r="P17" i="5"/>
  <c r="AO17" i="5" s="1"/>
  <c r="AS17" i="5"/>
  <c r="P40" i="5"/>
  <c r="AO40" i="5" s="1"/>
  <c r="AS40" i="5"/>
  <c r="P16" i="5"/>
  <c r="AO16" i="5" s="1"/>
  <c r="AS16" i="5"/>
  <c r="P18" i="5"/>
  <c r="AO18" i="5" s="1"/>
  <c r="AS18" i="5"/>
  <c r="P41" i="5"/>
  <c r="AO41" i="5" s="1"/>
  <c r="AS41" i="5"/>
  <c r="AS20" i="5"/>
  <c r="P20" i="5"/>
  <c r="AS43" i="5"/>
  <c r="P43" i="5"/>
  <c r="AO43" i="5" s="1"/>
  <c r="AS36" i="5"/>
  <c r="P36" i="5"/>
  <c r="AO36" i="5" s="1"/>
  <c r="AS44" i="5"/>
  <c r="P44" i="5"/>
  <c r="AO44" i="5" s="1"/>
  <c r="AP37" i="5"/>
  <c r="AP38" i="5"/>
  <c r="AP39" i="5"/>
  <c r="AP40" i="5"/>
  <c r="AP45" i="5"/>
  <c r="AP41" i="5"/>
  <c r="AO20" i="5"/>
  <c r="AP43" i="5"/>
  <c r="AP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C66" i="5" s="1"/>
  <c r="AP66" i="5"/>
  <c r="AP67" i="5"/>
  <c r="F67" i="5"/>
  <c r="C67" i="5" s="1"/>
  <c r="AP68" i="5"/>
  <c r="F68" i="5"/>
  <c r="C68" i="5" s="1"/>
  <c r="AP69" i="5"/>
  <c r="F69" i="5"/>
  <c r="C69" i="5" s="1"/>
  <c r="AP70" i="5"/>
  <c r="F70" i="5"/>
  <c r="C70" i="5" s="1"/>
  <c r="G44" i="2"/>
  <c r="H44" i="2"/>
  <c r="S42" i="5" s="1"/>
  <c r="J44" i="2"/>
  <c r="U42" i="5" s="1"/>
  <c r="K44" i="2"/>
  <c r="V42" i="5" s="1"/>
  <c r="X42" i="5" s="1"/>
  <c r="F19" i="5"/>
  <c r="C19" i="5" s="1"/>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P66" i="5"/>
  <c r="Q66" i="5" s="1"/>
  <c r="AS66" i="5"/>
  <c r="AS69" i="5"/>
  <c r="P69" i="5"/>
  <c r="Q69" i="5" s="1"/>
  <c r="T69" i="5" s="1"/>
  <c r="W69" i="5" s="1"/>
  <c r="P19" i="5"/>
  <c r="AO19" i="5" s="1"/>
  <c r="AS19" i="5"/>
  <c r="P68" i="5"/>
  <c r="G68" i="5" s="1"/>
  <c r="AS68" i="5"/>
  <c r="AS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AT34" i="5"/>
  <c r="AT58" i="5"/>
  <c r="AT59" i="5"/>
  <c r="F124" i="9"/>
  <c r="H1122" i="1"/>
  <c r="H1116" i="1"/>
  <c r="F130" i="9"/>
  <c r="F131" i="9"/>
  <c r="F129" i="9"/>
  <c r="F128" i="9"/>
  <c r="F125" i="9"/>
  <c r="F123" i="9"/>
  <c r="F122" i="9"/>
  <c r="AH23" i="16" l="1"/>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C8" i="5" s="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D8" i="5"/>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F23" i="37"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K70" i="45" l="1"/>
  <c r="E23" i="37"/>
  <c r="D23" i="37"/>
  <c r="G73" i="45"/>
  <c r="K73" i="45" s="1"/>
  <c r="AK124" i="5"/>
  <c r="AK128" i="5"/>
  <c r="AK123" i="5"/>
  <c r="AK127" i="5"/>
  <c r="AH128" i="5"/>
  <c r="AK119" i="5"/>
  <c r="AB121" i="5"/>
  <c r="AK121" i="5"/>
  <c r="AB122" i="5"/>
  <c r="AK122" i="5"/>
  <c r="AK126" i="5"/>
  <c r="AH127" i="5"/>
  <c r="AH125" i="5"/>
  <c r="AH121" i="5"/>
  <c r="AH122" i="5"/>
  <c r="AK125" i="5"/>
  <c r="AH126" i="5"/>
  <c r="AR94" i="5"/>
  <c r="B94" i="5" s="1"/>
  <c r="AP94" i="5"/>
  <c r="R94" i="5"/>
  <c r="F94" i="5"/>
  <c r="C94" i="5" s="1"/>
  <c r="AN93" i="5"/>
  <c r="AC93" i="5"/>
  <c r="AA93" i="5"/>
  <c r="A93" i="5"/>
  <c r="AR83" i="5"/>
  <c r="B83" i="5" s="1"/>
  <c r="AP83" i="5"/>
  <c r="R83" i="5"/>
  <c r="F83" i="5"/>
  <c r="AN82" i="5"/>
  <c r="AC82" i="5"/>
  <c r="AA82" i="5"/>
  <c r="A82" i="5"/>
  <c r="P94" i="5" l="1"/>
  <c r="AI94" i="5" s="1"/>
  <c r="AS94" i="5"/>
  <c r="P83" i="5"/>
  <c r="AC83" i="5" s="1"/>
  <c r="AS83" i="5"/>
  <c r="AB93" i="5"/>
  <c r="AB82" i="5"/>
  <c r="B61" i="5"/>
  <c r="AP61" i="5"/>
  <c r="R61" i="5"/>
  <c r="F61" i="5"/>
  <c r="C61" i="5" s="1"/>
  <c r="B60" i="5"/>
  <c r="AP60" i="5"/>
  <c r="R60" i="5"/>
  <c r="F60" i="5"/>
  <c r="C60" i="5" s="1"/>
  <c r="AR59" i="5"/>
  <c r="B59" i="5" s="1"/>
  <c r="AP59" i="5"/>
  <c r="R59" i="5"/>
  <c r="F59" i="5"/>
  <c r="C59" i="5" s="1"/>
  <c r="AR58" i="5"/>
  <c r="B58" i="5" s="1"/>
  <c r="AP58" i="5"/>
  <c r="R58" i="5"/>
  <c r="F58" i="5"/>
  <c r="C58" i="5" s="1"/>
  <c r="AN57" i="5"/>
  <c r="AA57" i="5"/>
  <c r="A57" i="5"/>
  <c r="B34" i="5"/>
  <c r="R34" i="5"/>
  <c r="F34" i="5"/>
  <c r="C34" i="5" s="1"/>
  <c r="R33" i="5"/>
  <c r="F33" i="5"/>
  <c r="C33" i="5" s="1"/>
  <c r="AC32" i="5"/>
  <c r="AA32" i="5"/>
  <c r="AB32" i="5" s="1"/>
  <c r="B14" i="5"/>
  <c r="R14" i="5"/>
  <c r="F14" i="5"/>
  <c r="C14" i="5" s="1"/>
  <c r="B13" i="5"/>
  <c r="R13" i="5"/>
  <c r="F13" i="5"/>
  <c r="C13" i="5" s="1"/>
  <c r="B12" i="5"/>
  <c r="R12" i="5"/>
  <c r="F12" i="5"/>
  <c r="C12" i="5" s="1"/>
  <c r="B11" i="5"/>
  <c r="R11" i="5"/>
  <c r="F11" i="5"/>
  <c r="C11" i="5" s="1"/>
  <c r="B10" i="5"/>
  <c r="R10" i="5"/>
  <c r="F10" i="5"/>
  <c r="C10" i="5" s="1"/>
  <c r="AR9" i="5"/>
  <c r="B9" i="5" s="1"/>
  <c r="R9" i="5"/>
  <c r="AE9" i="5" s="1"/>
  <c r="F9" i="5"/>
  <c r="C9" i="5" s="1"/>
  <c r="AR8" i="5"/>
  <c r="B8" i="5" s="1"/>
  <c r="AO8" i="5"/>
  <c r="AI8" i="5"/>
  <c r="R8" i="5"/>
  <c r="AF8" i="5"/>
  <c r="AN7" i="5"/>
  <c r="A7" i="5"/>
  <c r="P4" i="5"/>
  <c r="F4" i="5"/>
  <c r="F3" i="5"/>
  <c r="F2" i="5"/>
  <c r="BN118" i="39"/>
  <c r="G83" i="5" l="1"/>
  <c r="Q83" i="5"/>
  <c r="AQ83" i="5" s="1"/>
  <c r="AS10" i="5"/>
  <c r="P10" i="5"/>
  <c r="AI10" i="5" s="1"/>
  <c r="AS12" i="5"/>
  <c r="P12" i="5"/>
  <c r="AO12" i="5" s="1"/>
  <c r="P13" i="5"/>
  <c r="AO13" i="5" s="1"/>
  <c r="AS13" i="5"/>
  <c r="P33" i="5"/>
  <c r="AO33" i="5" s="1"/>
  <c r="AS33" i="5"/>
  <c r="P58" i="5"/>
  <c r="AO58" i="5" s="1"/>
  <c r="AS58" i="5"/>
  <c r="P60" i="5"/>
  <c r="AO60" i="5" s="1"/>
  <c r="AS60" i="5"/>
  <c r="P11" i="5"/>
  <c r="G11" i="5" s="1"/>
  <c r="AS11" i="5"/>
  <c r="AS34" i="5"/>
  <c r="P34" i="5"/>
  <c r="AO34" i="5" s="1"/>
  <c r="AI83" i="5"/>
  <c r="P14" i="5"/>
  <c r="AO14" i="5" s="1"/>
  <c r="AS14" i="5"/>
  <c r="AO83" i="5"/>
  <c r="D9" i="5"/>
  <c r="E9" i="5" s="1"/>
  <c r="P9" i="5"/>
  <c r="AI9" i="5" s="1"/>
  <c r="AK9" i="5" s="1"/>
  <c r="AS9" i="5"/>
  <c r="AS59" i="5"/>
  <c r="P59" i="5"/>
  <c r="AI59" i="5" s="1"/>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K14" i="5" s="1"/>
  <c r="AO59" i="5"/>
  <c r="AK59" i="5"/>
  <c r="Q58" i="5"/>
  <c r="AQ58" i="5" s="1"/>
  <c r="G58" i="5"/>
  <c r="AK10" i="5"/>
  <c r="G14" i="5"/>
  <c r="Q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N11" i="5" l="1"/>
  <c r="J11" i="5"/>
  <c r="K11" i="5" s="1"/>
  <c r="L11" i="5"/>
  <c r="M11" i="5" s="1"/>
  <c r="D13" i="5"/>
  <c r="E13" i="5" s="1"/>
  <c r="I11" i="5"/>
  <c r="H12" i="5"/>
  <c r="O11" i="5"/>
  <c r="N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J12" i="5" l="1"/>
  <c r="L12" i="5"/>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E16" i="5" s="1"/>
  <c r="L14"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D17" i="5" l="1"/>
  <c r="E17" i="5" s="1"/>
  <c r="M14" i="5"/>
  <c r="L15" i="5"/>
  <c r="N16" i="5"/>
  <c r="O15" i="5"/>
  <c r="I15" i="5"/>
  <c r="H16" i="5"/>
  <c r="K15" i="5"/>
  <c r="J16" i="5"/>
  <c r="AM18" i="39"/>
  <c r="AQ18" i="39" s="1"/>
  <c r="AQ19" i="39"/>
  <c r="AQ17" i="39"/>
  <c r="AP17" i="39"/>
  <c r="AF16" i="39"/>
  <c r="AG16" i="39" s="1"/>
  <c r="AE16" i="39"/>
  <c r="Y16" i="39"/>
  <c r="X16" i="39"/>
  <c r="W16" i="39"/>
  <c r="V16" i="39"/>
  <c r="D18" i="5" l="1"/>
  <c r="E18" i="5" s="1"/>
  <c r="M15" i="5"/>
  <c r="L16" i="5"/>
  <c r="K16" i="5"/>
  <c r="J17" i="5"/>
  <c r="H17" i="5"/>
  <c r="I16" i="5"/>
  <c r="O16" i="5"/>
  <c r="N17" i="5"/>
  <c r="AP18" i="39"/>
  <c r="AH16" i="39"/>
  <c r="AI16" i="39" s="1"/>
  <c r="Z16" i="39"/>
  <c r="D15" i="39"/>
  <c r="C15" i="39"/>
  <c r="B15" i="39"/>
  <c r="BR8" i="39"/>
  <c r="BQ8" i="39"/>
  <c r="AO15" i="39"/>
  <c r="AN15" i="39"/>
  <c r="AL15" i="39"/>
  <c r="D19" i="5" l="1"/>
  <c r="E19" i="5" s="1"/>
  <c r="L17" i="5"/>
  <c r="M16"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G63"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H66" i="2"/>
  <c r="S64" i="5" s="1"/>
  <c r="H85" i="2"/>
  <c r="H41" i="2"/>
  <c r="S39" i="5" s="1"/>
  <c r="K37" i="2"/>
  <c r="V35" i="5" s="1"/>
  <c r="X35" i="5" s="1"/>
  <c r="T121" i="5"/>
  <c r="W121" i="5" s="1"/>
  <c r="T124" i="5"/>
  <c r="W124" i="5" s="1"/>
  <c r="T123" i="5"/>
  <c r="W123" i="5" s="1"/>
  <c r="T122" i="5"/>
  <c r="W122" i="5" s="1"/>
  <c r="S13" i="5"/>
  <c r="U13" i="5"/>
  <c r="H63" i="2"/>
  <c r="S61" i="5" s="1"/>
  <c r="H67" i="2"/>
  <c r="S65" i="5" s="1"/>
  <c r="H38" i="2"/>
  <c r="S36" i="5" s="1"/>
  <c r="H42" i="2"/>
  <c r="S40" i="5" s="1"/>
  <c r="W7" i="2"/>
  <c r="W183" i="2" s="1"/>
  <c r="V183" i="2" s="1"/>
  <c r="B2" i="2"/>
  <c r="AH189" i="2" l="1"/>
  <c r="J26" i="2"/>
  <c r="J75" i="2"/>
  <c r="J74" i="2"/>
  <c r="L25" i="5"/>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S58" i="5"/>
  <c r="U119" i="5"/>
  <c r="S60" i="5"/>
  <c r="T13" i="5"/>
  <c r="Y13" i="5"/>
  <c r="X13" i="5" s="1"/>
  <c r="S59" i="5"/>
  <c r="K64" i="2"/>
  <c r="V62" i="5" s="1"/>
  <c r="X62" i="5" s="1"/>
  <c r="U72" i="5" l="1"/>
  <c r="W72" i="5" s="1"/>
  <c r="K74" i="2"/>
  <c r="V72" i="5" s="1"/>
  <c r="X72" i="5" s="1"/>
  <c r="AA72" i="5" s="1"/>
  <c r="AB72" i="5" s="1"/>
  <c r="U73" i="5"/>
  <c r="W73" i="5" s="1"/>
  <c r="K75" i="2"/>
  <c r="V73" i="5" s="1"/>
  <c r="U24" i="5"/>
  <c r="W24" i="5" s="1"/>
  <c r="K26" i="2"/>
  <c r="V24" i="5" s="1"/>
  <c r="M25" i="5"/>
  <c r="L26" i="5"/>
  <c r="E28" i="5"/>
  <c r="D29" i="5"/>
  <c r="E33" i="5"/>
  <c r="D34" i="5"/>
  <c r="N27" i="5"/>
  <c r="O26" i="5"/>
  <c r="N32" i="5"/>
  <c r="J27" i="5"/>
  <c r="K26" i="5"/>
  <c r="J32" i="5"/>
  <c r="H27" i="5"/>
  <c r="I26" i="5"/>
  <c r="H32" i="5"/>
  <c r="Y64" i="5"/>
  <c r="Y63" i="5"/>
  <c r="Y65" i="5"/>
  <c r="AA65" i="5" s="1"/>
  <c r="AB65" i="5" s="1"/>
  <c r="Y62" i="5"/>
  <c r="Y14" i="5"/>
  <c r="X14" i="5" s="1"/>
  <c r="T59" i="5"/>
  <c r="Y59" i="5" s="1"/>
  <c r="T60" i="5"/>
  <c r="T58" i="5"/>
  <c r="Y58" i="5" s="1"/>
  <c r="W13" i="5"/>
  <c r="H52" i="48"/>
  <c r="X24" i="5" l="1"/>
  <c r="AA24" i="5" s="1"/>
  <c r="AB24" i="5" s="1"/>
  <c r="X73" i="5"/>
  <c r="AA73" i="5" s="1"/>
  <c r="AB73" i="5" s="1"/>
  <c r="L27" i="5"/>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L63" i="5" l="1"/>
  <c r="M62" i="5"/>
  <c r="D66" i="5"/>
  <c r="E65" i="5"/>
  <c r="H64" i="5"/>
  <c r="I63" i="5"/>
  <c r="O63" i="5"/>
  <c r="N64" i="5"/>
  <c r="K63" i="5"/>
  <c r="J64" i="5"/>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F27" i="37" l="1"/>
  <c r="E27" i="37"/>
  <c r="D27" i="37"/>
  <c r="K72" i="45"/>
  <c r="L73" i="5"/>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153" i="5"/>
  <c r="AK153" i="5" s="1"/>
  <c r="X11" i="5"/>
  <c r="Y152" i="5"/>
  <c r="Y83" i="5"/>
  <c r="J68" i="45"/>
  <c r="K68" i="45" s="1"/>
  <c r="J67" i="4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141"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AB8" i="5"/>
  <c r="AB120" i="5"/>
  <c r="AQ15" i="39"/>
  <c r="AB154" i="5"/>
  <c r="AB83" i="5"/>
  <c r="AB11" i="5"/>
  <c r="J63" i="45"/>
  <c r="E51" i="37" l="1"/>
  <c r="E25" i="37"/>
  <c r="D25" i="37"/>
  <c r="F25" i="37"/>
  <c r="M91" i="5"/>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B15" i="46"/>
  <c r="C14" i="46"/>
  <c r="G20"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4" i="46" l="1"/>
  <c r="F14" i="46" s="1"/>
  <c r="U14" i="46"/>
  <c r="AA23" i="46"/>
  <c r="F23" i="46" s="1"/>
  <c r="U23" i="46"/>
  <c r="G18" i="46"/>
  <c r="B16" i="46"/>
  <c r="B19" i="46"/>
  <c r="G21" i="46"/>
  <c r="C24" i="46"/>
  <c r="B18" i="46"/>
  <c r="B17" i="46"/>
  <c r="C15" i="46"/>
  <c r="C21" i="46"/>
  <c r="W21" i="46" s="1"/>
  <c r="G19" i="46"/>
  <c r="G24" i="46"/>
  <c r="B14" i="46"/>
  <c r="B23" i="46"/>
  <c r="C22" i="46"/>
  <c r="G22" i="46"/>
  <c r="G12" i="46"/>
  <c r="B11" i="46"/>
  <c r="G17" i="46"/>
  <c r="B20" i="46"/>
  <c r="C13" i="46"/>
  <c r="AA13" i="46" s="1"/>
  <c r="G11" i="46"/>
  <c r="G15" i="46"/>
  <c r="C11" i="46"/>
  <c r="AA11" i="46" s="1"/>
  <c r="C16" i="46"/>
  <c r="C17" i="46"/>
  <c r="C12" i="46"/>
  <c r="W12" i="46" s="1"/>
  <c r="Z12" i="46" s="1"/>
  <c r="S12" i="46" s="1"/>
  <c r="T12" i="46" s="1"/>
  <c r="G13" i="46"/>
  <c r="C19" i="46"/>
  <c r="B22" i="46"/>
  <c r="C18" i="46"/>
  <c r="M126" i="5"/>
  <c r="L127" i="5"/>
  <c r="W23" i="46"/>
  <c r="N23" i="46"/>
  <c r="W14" i="46"/>
  <c r="N14"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N21" i="46" l="1"/>
  <c r="N13" i="46"/>
  <c r="W19" i="46"/>
  <c r="Z19" i="46" s="1"/>
  <c r="U19" i="46"/>
  <c r="AA19" i="46"/>
  <c r="F19" i="46" s="1"/>
  <c r="Z14" i="46"/>
  <c r="W17" i="46"/>
  <c r="Z17" i="46" s="1"/>
  <c r="U17" i="46"/>
  <c r="AA17" i="46"/>
  <c r="F17" i="46" s="1"/>
  <c r="U21" i="46"/>
  <c r="AA21" i="46"/>
  <c r="F21" i="46" s="1"/>
  <c r="Z23" i="46"/>
  <c r="W16" i="46"/>
  <c r="U16" i="46"/>
  <c r="AA16" i="46"/>
  <c r="F16" i="46" s="1"/>
  <c r="N15" i="46"/>
  <c r="AA15" i="46"/>
  <c r="F15" i="46" s="1"/>
  <c r="U15" i="46"/>
  <c r="Y23" i="46"/>
  <c r="V23" i="46"/>
  <c r="U20" i="46"/>
  <c r="AA20" i="46"/>
  <c r="F20" i="46" s="1"/>
  <c r="W18" i="46"/>
  <c r="U18" i="46"/>
  <c r="AA18" i="46"/>
  <c r="F18" i="46" s="1"/>
  <c r="N22" i="46"/>
  <c r="AA22" i="46"/>
  <c r="F22" i="46" s="1"/>
  <c r="U22" i="46"/>
  <c r="V14" i="46"/>
  <c r="Y14" i="46"/>
  <c r="Z21" i="46"/>
  <c r="N24" i="46"/>
  <c r="U24" i="46"/>
  <c r="AA24" i="46"/>
  <c r="F24" i="46" s="1"/>
  <c r="W22" i="46"/>
  <c r="U13" i="46"/>
  <c r="V13" i="46" s="1"/>
  <c r="W15" i="46"/>
  <c r="W13" i="46"/>
  <c r="Z13" i="46" s="1"/>
  <c r="S13" i="46" s="1"/>
  <c r="T13" i="46" s="1"/>
  <c r="W24" i="46"/>
  <c r="F12" i="46"/>
  <c r="N12" i="46"/>
  <c r="F13" i="46"/>
  <c r="W11" i="46"/>
  <c r="Z11" i="46" s="1"/>
  <c r="S11" i="46" s="1"/>
  <c r="N11" i="46"/>
  <c r="F11" i="46"/>
  <c r="N17" i="46"/>
  <c r="U11" i="46"/>
  <c r="V11" i="46" s="1"/>
  <c r="U12" i="46"/>
  <c r="Y12" i="46" s="1"/>
  <c r="N16" i="46"/>
  <c r="N18" i="46"/>
  <c r="AA12" i="46"/>
  <c r="N19" i="46"/>
  <c r="M127" i="5"/>
  <c r="L128" i="5"/>
  <c r="W20" i="46"/>
  <c r="N20" i="46"/>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Y13" i="46" l="1"/>
  <c r="Z24" i="46"/>
  <c r="S21" i="46"/>
  <c r="T21" i="46" s="1"/>
  <c r="Q21" i="46"/>
  <c r="P21" i="46" s="1"/>
  <c r="K21" i="46" s="1"/>
  <c r="J21" i="46" s="1"/>
  <c r="Y18" i="46"/>
  <c r="V18" i="46"/>
  <c r="Z18" i="46"/>
  <c r="Y17" i="46"/>
  <c r="V17" i="46"/>
  <c r="Z15" i="46"/>
  <c r="Y16" i="46"/>
  <c r="V16" i="46"/>
  <c r="S17" i="46"/>
  <c r="Q17" i="46"/>
  <c r="P17" i="46" s="1"/>
  <c r="K17" i="46" s="1"/>
  <c r="J17" i="46" s="1"/>
  <c r="Y20" i="46"/>
  <c r="V20" i="46"/>
  <c r="Z16" i="46"/>
  <c r="S14" i="46"/>
  <c r="T14" i="46" s="1"/>
  <c r="X14" i="46" s="1"/>
  <c r="H14" i="46" s="1"/>
  <c r="I14" i="46" s="1"/>
  <c r="Q14" i="46"/>
  <c r="P14" i="46" s="1"/>
  <c r="K14" i="46" s="1"/>
  <c r="J14" i="46" s="1"/>
  <c r="Z22" i="46"/>
  <c r="Y22" i="46"/>
  <c r="V22" i="46"/>
  <c r="S23" i="46"/>
  <c r="T23" i="46" s="1"/>
  <c r="X23" i="46" s="1"/>
  <c r="H23" i="46" s="1"/>
  <c r="I23" i="46" s="1"/>
  <c r="Q23" i="46"/>
  <c r="P23" i="46" s="1"/>
  <c r="K23" i="46" s="1"/>
  <c r="J23" i="46" s="1"/>
  <c r="Z20" i="46"/>
  <c r="Y24" i="46"/>
  <c r="V24" i="46"/>
  <c r="Y15" i="46"/>
  <c r="V15" i="46"/>
  <c r="V19" i="46"/>
  <c r="Y19" i="46"/>
  <c r="Y21" i="46"/>
  <c r="V21" i="46"/>
  <c r="S19" i="46"/>
  <c r="T19" i="46" s="1"/>
  <c r="Q19" i="46"/>
  <c r="P19" i="46" s="1"/>
  <c r="K19" i="46" s="1"/>
  <c r="J19" i="46" s="1"/>
  <c r="X13" i="46"/>
  <c r="H13" i="46" s="1"/>
  <c r="I13" i="46" s="1"/>
  <c r="Q13" i="46"/>
  <c r="P13" i="46" s="1"/>
  <c r="K13" i="46" s="1"/>
  <c r="J13" i="46" s="1"/>
  <c r="Q11" i="46"/>
  <c r="P11" i="46" s="1"/>
  <c r="Y11" i="46"/>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4" i="46" l="1"/>
  <c r="X19" i="46"/>
  <c r="H19" i="46" s="1"/>
  <c r="I19" i="46" s="1"/>
  <c r="R19" i="46" s="1"/>
  <c r="R23" i="46"/>
  <c r="R13" i="46"/>
  <c r="S22" i="46"/>
  <c r="T22" i="46" s="1"/>
  <c r="X22" i="46" s="1"/>
  <c r="H22" i="46" s="1"/>
  <c r="I22" i="46" s="1"/>
  <c r="Q22" i="46"/>
  <c r="P22" i="46" s="1"/>
  <c r="K22" i="46" s="1"/>
  <c r="J22" i="46" s="1"/>
  <c r="S18" i="46"/>
  <c r="T18" i="46" s="1"/>
  <c r="X18" i="46" s="1"/>
  <c r="H18" i="46" s="1"/>
  <c r="I18" i="46" s="1"/>
  <c r="Q18" i="46"/>
  <c r="P18" i="46" s="1"/>
  <c r="K18" i="46" s="1"/>
  <c r="J18" i="46" s="1"/>
  <c r="S20" i="46"/>
  <c r="T20" i="46" s="1"/>
  <c r="X20" i="46" s="1"/>
  <c r="H20" i="46" s="1"/>
  <c r="I20" i="46" s="1"/>
  <c r="Q20" i="46"/>
  <c r="P20" i="46" s="1"/>
  <c r="K20" i="46" s="1"/>
  <c r="J20" i="46" s="1"/>
  <c r="S16" i="46"/>
  <c r="T16" i="46" s="1"/>
  <c r="X16" i="46" s="1"/>
  <c r="H16" i="46" s="1"/>
  <c r="I16" i="46" s="1"/>
  <c r="Q16" i="46"/>
  <c r="P16" i="46" s="1"/>
  <c r="K16" i="46" s="1"/>
  <c r="J16" i="46" s="1"/>
  <c r="S15" i="46"/>
  <c r="T15" i="46" s="1"/>
  <c r="X15" i="46" s="1"/>
  <c r="H15" i="46" s="1"/>
  <c r="I15" i="46" s="1"/>
  <c r="R15" i="46" s="1"/>
  <c r="Q15" i="46"/>
  <c r="P15" i="46" s="1"/>
  <c r="K15" i="46" s="1"/>
  <c r="J15" i="46" s="1"/>
  <c r="X21" i="46"/>
  <c r="H21" i="46" s="1"/>
  <c r="I21" i="46" s="1"/>
  <c r="R21" i="46" s="1"/>
  <c r="S24" i="46"/>
  <c r="T24" i="46" s="1"/>
  <c r="X24" i="46" s="1"/>
  <c r="H24" i="46" s="1"/>
  <c r="I24" i="46" s="1"/>
  <c r="Q24" i="46"/>
  <c r="P24" i="46" s="1"/>
  <c r="K24" i="46" s="1"/>
  <c r="J24" i="46" s="1"/>
  <c r="R12" i="46"/>
  <c r="L130" i="5"/>
  <c r="M129" i="5"/>
  <c r="K11" i="46"/>
  <c r="K130" i="5"/>
  <c r="J131" i="5"/>
  <c r="H131" i="5"/>
  <c r="I130" i="5"/>
  <c r="N131" i="5"/>
  <c r="O130" i="5"/>
  <c r="BM13" i="67"/>
  <c r="G16" i="67"/>
  <c r="I16" i="67" s="1"/>
  <c r="AV13" i="67"/>
  <c r="R16" i="46" l="1"/>
  <c r="R18" i="46"/>
  <c r="R20" i="46"/>
  <c r="R22" i="46"/>
  <c r="R24" i="46"/>
  <c r="M130" i="5"/>
  <c r="L131" i="5"/>
  <c r="J11" i="46"/>
  <c r="I131" i="5"/>
  <c r="H132" i="5"/>
  <c r="J132" i="5"/>
  <c r="K131" i="5"/>
  <c r="O131" i="5"/>
  <c r="N132" i="5"/>
  <c r="J16" i="67"/>
  <c r="J46" i="67" s="1"/>
  <c r="I64" i="45" s="1"/>
  <c r="G46" i="67"/>
  <c r="F64" i="45" s="1"/>
  <c r="H16" i="67"/>
  <c r="H46" i="67" s="1"/>
  <c r="G64" i="45" s="1"/>
  <c r="M131" i="5" l="1"/>
  <c r="L132" i="5"/>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E21" i="37" s="1"/>
  <c r="K64" i="45"/>
  <c r="F21" i="37" l="1"/>
  <c r="D21" i="37"/>
  <c r="L135" i="5"/>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AA36" i="38" s="1"/>
  <c r="Z37" i="38"/>
  <c r="AK37" i="38" s="1"/>
  <c r="Z38" i="38"/>
  <c r="AK38" i="38" s="1"/>
  <c r="Z39" i="38"/>
  <c r="AK39" i="38" s="1"/>
  <c r="Z40" i="38"/>
  <c r="AA40" i="38" s="1"/>
  <c r="AJ31" i="38"/>
  <c r="AK41" i="38"/>
  <c r="AM41" i="38" s="1"/>
  <c r="AJ39" i="38"/>
  <c r="AJ38" i="38"/>
  <c r="AJ32" i="38"/>
  <c r="AI32" i="38"/>
  <c r="AJ33" i="38"/>
  <c r="AJ36" i="38"/>
  <c r="AI36" i="38"/>
  <c r="AJ37" i="38"/>
  <c r="AA30" i="38"/>
  <c r="AJ40" i="38"/>
  <c r="AI40" i="38"/>
  <c r="AA28" i="38"/>
  <c r="AA29" i="38"/>
  <c r="AA34" i="38"/>
  <c r="AA35" i="38"/>
  <c r="AA37" i="38"/>
  <c r="AA27" i="38"/>
  <c r="AA26" i="38"/>
  <c r="AK36" i="38" l="1"/>
  <c r="M136" i="5"/>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V83" i="6" l="1"/>
  <c r="I83" i="6"/>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T11" i="46" s="1"/>
  <c r="X11" i="46" s="1"/>
  <c r="H11" i="46" s="1"/>
  <c r="I11" i="46" s="1"/>
  <c r="R11" i="46" s="1"/>
  <c r="J22" i="2" l="1"/>
  <c r="U20" i="5" s="1"/>
  <c r="W20" i="5" s="1"/>
  <c r="J62" i="2"/>
  <c r="J63" i="2"/>
  <c r="K22" i="2"/>
  <c r="V20" i="5" s="1"/>
  <c r="X20" i="5" s="1"/>
  <c r="J60" i="2"/>
  <c r="J61" i="2"/>
  <c r="T10" i="46"/>
  <c r="X10" i="46" s="1"/>
  <c r="H10" i="46" s="1"/>
  <c r="U61" i="5" l="1"/>
  <c r="W61" i="5" s="1"/>
  <c r="K63" i="2"/>
  <c r="V61" i="5" s="1"/>
  <c r="X61" i="5" s="1"/>
  <c r="AA61" i="5" s="1"/>
  <c r="AB61" i="5" s="1"/>
  <c r="U60" i="5"/>
  <c r="W60" i="5" s="1"/>
  <c r="K62" i="2"/>
  <c r="V60" i="5" s="1"/>
  <c r="AA20" i="5"/>
  <c r="R10" i="10"/>
  <c r="I10" i="46"/>
  <c r="F60" i="45"/>
  <c r="H25" i="46"/>
  <c r="U59" i="5"/>
  <c r="W59" i="5" s="1"/>
  <c r="K61" i="2"/>
  <c r="V59" i="5" s="1"/>
  <c r="X59" i="5" s="1"/>
  <c r="U58" i="5"/>
  <c r="W58" i="5" s="1"/>
  <c r="K60" i="2"/>
  <c r="V58" i="5" s="1"/>
  <c r="X60" i="5" l="1"/>
  <c r="AA60" i="5" s="1"/>
  <c r="AB60" i="5" s="1"/>
  <c r="W163" i="5"/>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H12" i="6"/>
  <c r="H83" i="6" s="1"/>
  <c r="G57" i="45" s="1"/>
  <c r="T83" i="6"/>
  <c r="D52" i="37" l="1"/>
  <c r="K57" i="45"/>
  <c r="E49" i="37"/>
  <c r="E20" i="37" s="1"/>
  <c r="G74" i="45"/>
  <c r="K74" i="45" s="1"/>
  <c r="F20" i="37" l="1"/>
  <c r="D20" i="37"/>
  <c r="E38" i="37"/>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<sst xmlns="http://schemas.openxmlformats.org/spreadsheetml/2006/main" count="8258" uniqueCount="3893">
  <si>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</si>
  <si>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</si>
  <si>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</si>
  <si>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</si>
  <si>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</si>
  <si>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</si>
  <si>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</si>
  <si>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</si>
  <si>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</si>
  <si>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</si>
  <si>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</si>
  <si>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</si>
  <si>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</si>
  <si>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</si>
  <si>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</si>
  <si>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</si>
  <si>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</si>
  <si>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</si>
  <si>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</si>
  <si>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</si>
  <si>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</si>
  <si>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</si>
  <si>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</si>
  <si>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</si>
  <si>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</si>
  <si>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</si>
  <si>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</si>
  <si>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</si>
  <si>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</si>
  <si>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</si>
  <si>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</si>
  <si>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</si>
  <si>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</si>
  <si>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</si>
  <si>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</si>
  <si>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</si>
  <si>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</si>
  <si>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</si>
  <si>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</si>
  <si>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</si>
  <si>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</si>
  <si>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</si>
  <si>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</si>
  <si>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</si>
  <si>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</si>
  <si>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</si>
  <si>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</si>
  <si>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</si>
  <si>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</si>
  <si>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</si>
  <si>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</si>
  <si>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</si>
  <si>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</si>
  <si>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</si>
  <si>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</si>
  <si>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</si>
  <si>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</si>
  <si>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</si>
  <si>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</si>
  <si>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</si>
  <si>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</si>
  <si>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</si>
  <si>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</si>
  <si>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</si>
  <si>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</si>
  <si>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</si>
  <si>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</si>
  <si>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</si>
  <si>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</si>
  <si>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</si>
  <si>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</si>
  <si>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</si>
  <si>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</si>
  <si>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</si>
  <si>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</si>
  <si>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</si>
  <si>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</si>
  <si>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</si>
  <si>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</si>
  <si>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</si>
  <si>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</si>
  <si>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</si>
  <si>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</si>
  <si>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</si>
  <si>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</si>
  <si>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</si>
  <si>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</si>
  <si>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</si>
  <si>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</si>
  <si>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</si>
  <si>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</si>
  <si>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</si>
  <si>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</si>
  <si>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</si>
  <si>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</si>
  <si>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</si>
  <si>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</si>
  <si>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</si>
  <si>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</si>
  <si>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</si>
  <si>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</si>
  <si>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</si>
  <si>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</si>
  <si>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</si>
  <si>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</si>
  <si>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</si>
  <si>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</si>
  <si>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</si>
  <si>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</si>
  <si>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</si>
  <si>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</si>
  <si>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</si>
  <si>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</si>
  <si>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</si>
  <si>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</si>
  <si>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</si>
  <si>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</si>
  <si>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</si>
  <si>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</si>
  <si>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</si>
  <si>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</si>
  <si>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</si>
  <si>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</si>
  <si>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</si>
  <si>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</si>
  <si>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</si>
  <si>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</si>
  <si>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</si>
  <si>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</si>
  <si>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</si>
  <si>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</si>
  <si>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</si>
  <si>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</si>
  <si>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</si>
  <si>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</si>
  <si>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</si>
  <si>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</si>
  <si>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</si>
  <si>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</si>
  <si>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</si>
  <si>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</si>
  <si>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</si>
  <si>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</si>
  <si>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</si>
  <si>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</si>
  <si>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</si>
  <si>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</si>
  <si>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</si>
  <si>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</si>
  <si>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</si>
  <si>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</si>
  <si>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</si>
  <si>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</si>
  <si>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</si>
  <si>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</si>
  <si>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</si>
  <si>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</si>
  <si>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</si>
  <si>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</si>
  <si>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</si>
  <si>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</si>
  <si>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</si>
  <si>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</si>
  <si>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</si>
  <si>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</si>
  <si>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</si>
  <si>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</si>
  <si>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</si>
  <si>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</si>
  <si>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</si>
  <si>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</si>
  <si>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</si>
  <si>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</si>
  <si>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</si>
  <si>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</si>
  <si>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</si>
  <si>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</si>
  <si>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</si>
  <si>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</si>
  <si>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</si>
  <si>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</si>
  <si>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</si>
  <si>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</si>
  <si>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</si>
  <si>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</si>
  <si>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</si>
  <si>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</si>
  <si>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</si>
  <si>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</si>
  <si>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</si>
  <si>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</si>
  <si>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</si>
  <si>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</si>
  <si>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</si>
  <si>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</si>
  <si>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</si>
  <si>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</si>
  <si>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</si>
  <si>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</si>
  <si>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</si>
  <si>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</si>
  <si>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</si>
  <si>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</si>
  <si>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</si>
  <si>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</si>
  <si>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</si>
  <si>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</si>
  <si>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</si>
  <si>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</si>
  <si>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</si>
  <si>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</si>
  <si>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</si>
  <si>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</si>
  <si>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</si>
  <si>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</si>
  <si>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</si>
  <si>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</si>
  <si>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</si>
  <si>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</si>
  <si>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</si>
  <si>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</si>
  <si>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</si>
  <si>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</si>
  <si>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</si>
  <si>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</si>
  <si>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</si>
  <si>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</si>
  <si>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</si>
  <si>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</si>
  <si>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</si>
  <si>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</si>
  <si>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</si>
  <si>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</si>
  <si>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</si>
  <si>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</si>
  <si>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</si>
  <si>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</si>
  <si>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</si>
  <si>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</si>
  <si>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</si>
  <si>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</si>
  <si>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</si>
  <si>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</si>
  <si>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</si>
  <si>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</si>
  <si>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</si>
  <si>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</si>
  <si>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</si>
  <si>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</si>
  <si>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</si>
  <si>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</si>
  <si>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</si>
  <si>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</si>
  <si>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</si>
  <si>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</si>
  <si>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</si>
  <si>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</si>
  <si>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</si>
  <si>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</si>
  <si>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</si>
  <si>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</si>
  <si>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</si>
  <si>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</si>
  <si>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</si>
  <si>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</si>
  <si>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</si>
  <si>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</si>
  <si>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</si>
  <si>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</si>
  <si>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</si>
  <si>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</si>
  <si>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</si>
  <si>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</si>
  <si>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</si>
  <si>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</si>
  <si>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</si>
  <si>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</si>
  <si>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</si>
  <si>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</si>
  <si>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</si>
  <si>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</si>
  <si>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</si>
  <si>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</si>
  <si>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</si>
  <si>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</si>
  <si>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</si>
  <si>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</si>
  <si>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</si>
  <si>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</si>
  <si>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</si>
  <si>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</si>
  <si>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</si>
  <si>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</si>
  <si>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</si>
  <si>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</si>
  <si>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</si>
  <si>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</si>
  <si>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</si>
  <si>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</si>
  <si>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</si>
  <si>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</si>
  <si>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</si>
  <si>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</si>
  <si>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</si>
  <si>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</si>
  <si>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</si>
  <si>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</si>
  <si>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</si>
  <si>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</si>
  <si>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</si>
  <si>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</si>
  <si>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</si>
  <si>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</si>
  <si>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</si>
  <si>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</si>
  <si>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</si>
  <si>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</si>
  <si>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</si>
  <si>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</si>
  <si>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</si>
  <si>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</si>
  <si>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</si>
  <si>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</si>
  <si>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</si>
  <si>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</si>
  <si>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</si>
  <si>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</si>
  <si>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</si>
  <si>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</si>
  <si>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</si>
  <si>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</si>
  <si>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</si>
  <si>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</si>
  <si>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</si>
  <si>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</si>
  <si>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</si>
  <si>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</si>
  <si>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</si>
  <si>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</si>
  <si>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</si>
  <si>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</si>
  <si>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</si>
  <si>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</si>
  <si>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</si>
  <si>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</si>
  <si>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</si>
  <si>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</si>
  <si>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</si>
  <si>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</si>
  <si>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</si>
  <si>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</si>
  <si>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</si>
  <si>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</si>
  <si>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</si>
  <si>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</si>
  <si>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</si>
  <si>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</si>
  <si>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</si>
  <si>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</si>
  <si>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</si>
  <si>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</si>
  <si>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</si>
  <si>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</si>
  <si>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</si>
  <si>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</si>
  <si>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</si>
  <si>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</si>
  <si>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</si>
  <si>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</si>
  <si>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</si>
  <si>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</si>
  <si>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</si>
  <si>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</si>
  <si>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</si>
  <si>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</si>
  <si>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</si>
  <si>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</si>
  <si>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</si>
  <si>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</si>
  <si>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</si>
  <si>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</si>
  <si>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</si>
  <si>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</si>
  <si>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</si>
  <si>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</si>
  <si>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</si>
  <si>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</si>
  <si>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</si>
  <si>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</si>
  <si>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</si>
  <si>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</si>
  <si>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</si>
  <si>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</si>
  <si>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</si>
  <si>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</si>
  <si>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</si>
  <si>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</si>
  <si>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</si>
  <si>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</si>
  <si>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</si>
  <si>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</si>
  <si>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</si>
  <si>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</si>
  <si>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</si>
  <si>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</si>
  <si>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</si>
  <si>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</si>
  <si>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</si>
  <si>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</si>
  <si>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</si>
  <si>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</si>
  <si>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</si>
  <si>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</si>
  <si>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</si>
  <si>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</si>
  <si>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</si>
  <si>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</si>
  <si>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</si>
  <si>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</si>
  <si>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</si>
  <si>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</si>
  <si>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</si>
  <si>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</si>
  <si>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</si>
  <si>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</si>
  <si>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</si>
  <si>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</si>
  <si>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</si>
  <si>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</si>
  <si>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</si>
  <si>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</si>
  <si>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</si>
  <si>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</si>
  <si>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</si>
  <si>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</si>
  <si>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</si>
  <si>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</si>
  <si>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</si>
  <si>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</si>
  <si>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</si>
  <si>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</si>
  <si>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</si>
  <si>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</si>
  <si>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</si>
  <si>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</si>
  <si>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</si>
  <si>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</si>
  <si>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</si>
  <si>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</si>
  <si>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</si>
  <si>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</si>
  <si>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</si>
  <si>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</si>
  <si>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</si>
  <si>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</si>
  <si>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</si>
  <si>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</si>
  <si>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</si>
  <si>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</si>
  <si>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</si>
  <si>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</si>
  <si>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</si>
  <si>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</si>
  <si>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</si>
  <si>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</si>
  <si>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</si>
  <si>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</si>
  <si>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</si>
  <si>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</si>
  <si>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</si>
  <si>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</si>
  <si>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</si>
  <si>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</si>
  <si>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</si>
  <si>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</si>
  <si>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</si>
  <si>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</si>
  <si>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</si>
  <si>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</si>
  <si>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</si>
  <si>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</si>
  <si>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</si>
  <si>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</si>
  <si>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</si>
  <si>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</si>
  <si>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</si>
  <si>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</si>
  <si>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</si>
  <si>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</si>
  <si>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</si>
  <si>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</si>
  <si>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</si>
  <si>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</si>
  <si>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</si>
  <si>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</si>
  <si>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</si>
  <si>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</si>
  <si>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</si>
  <si>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</si>
  <si>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</si>
  <si>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</si>
  <si>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</si>
  <si>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</si>
  <si>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</si>
  <si>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</si>
  <si>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</si>
  <si>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</si>
  <si>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</si>
  <si>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</si>
  <si>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</si>
  <si>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</si>
  <si>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</si>
  <si>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</si>
  <si>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</si>
  <si>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</si>
  <si>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</si>
  <si>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</si>
  <si>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</si>
  <si>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</si>
  <si>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</si>
  <si>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</si>
  <si>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</si>
  <si>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</si>
  <si>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</si>
  <si>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</si>
  <si>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</si>
  <si>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</si>
  <si>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</si>
  <si>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</si>
  <si>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</si>
  <si>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</si>
  <si>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</si>
  <si>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</si>
  <si>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</si>
  <si>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</si>
  <si>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</si>
  <si>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</si>
  <si>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</si>
  <si>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</si>
  <si>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</si>
  <si>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</si>
  <si>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</si>
  <si>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</si>
  <si>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</si>
  <si>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</si>
  <si>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</si>
  <si>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</si>
  <si>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</si>
  <si>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</si>
  <si>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</si>
  <si>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</si>
  <si>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</si>
  <si>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</si>
  <si>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</si>
  <si>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</si>
  <si>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</si>
  <si>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</si>
  <si>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</si>
  <si>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</si>
  <si>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</si>
  <si>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</si>
  <si>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</si>
  <si>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</si>
  <si>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</si>
  <si>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</si>
  <si>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</si>
  <si>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</si>
  <si>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</si>
  <si>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</si>
  <si>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</si>
  <si>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</si>
  <si>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</si>
  <si>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</si>
  <si>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</si>
  <si>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</si>
  <si>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</si>
  <si>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</si>
  <si>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</si>
  <si>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</si>
  <si>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</si>
  <si>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</si>
  <si>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</si>
  <si>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</si>
  <si>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</si>
  <si>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</si>
  <si>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</si>
  <si>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</si>
  <si>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</si>
  <si>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</si>
  <si>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</si>
  <si>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</si>
  <si>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</si>
  <si>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</si>
  <si>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</si>
  <si>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</si>
  <si>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</si>
  <si>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</si>
  <si>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</si>
  <si>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</si>
  <si>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</si>
  <si>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</si>
  <si>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</si>
  <si>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</si>
  <si>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</si>
  <si>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</si>
  <si>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</si>
  <si>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</si>
  <si>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</si>
  <si>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</si>
  <si>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</si>
  <si>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</si>
  <si>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</si>
  <si>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</si>
  <si>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</si>
  <si>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</si>
  <si>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</si>
  <si>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</si>
  <si>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</si>
  <si>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</si>
  <si>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</si>
  <si>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</si>
  <si>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</si>
  <si>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</si>
  <si>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</si>
  <si>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</si>
  <si>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</si>
  <si>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</si>
  <si>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</si>
  <si>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</si>
  <si>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</si>
  <si>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</si>
  <si>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</si>
  <si>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</si>
  <si>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</si>
  <si>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</si>
  <si>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</si>
  <si>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</si>
  <si>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</si>
  <si>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</si>
  <si>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</si>
  <si>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</si>
  <si>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</si>
  <si>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</si>
  <si>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</si>
  <si>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</si>
  <si>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</si>
  <si>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</si>
  <si>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</si>
  <si>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</si>
  <si>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</si>
  <si>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</si>
  <si>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</si>
  <si>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</si>
  <si>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</si>
  <si>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</si>
  <si>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</si>
  <si>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</si>
  <si>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</si>
  <si>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</si>
  <si>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</si>
  <si>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</si>
  <si>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</si>
  <si>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</si>
  <si>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</si>
  <si>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</si>
  <si>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</si>
  <si>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</si>
  <si>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</si>
  <si>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</si>
  <si>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</si>
  <si>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</si>
  <si>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</si>
  <si>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</si>
  <si>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</si>
  <si>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</si>
  <si>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</si>
  <si>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</si>
  <si>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</si>
  <si>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</si>
  <si>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</si>
  <si>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</si>
  <si>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</si>
  <si>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</si>
  <si>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</si>
  <si>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</si>
  <si>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</si>
  <si>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</si>
  <si>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</si>
  <si>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</si>
  <si>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</si>
  <si>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</si>
  <si>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</si>
  <si>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</si>
  <si>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</si>
  <si>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</si>
  <si>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</si>
  <si>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</si>
  <si>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</si>
  <si>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</si>
  <si>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</si>
  <si>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</si>
  <si>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</si>
  <si>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</si>
  <si>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</si>
  <si>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</si>
  <si>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</si>
  <si>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</si>
  <si>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</si>
  <si>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</si>
  <si>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</si>
  <si>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</si>
  <si>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</si>
  <si>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</si>
  <si>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</si>
  <si>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</si>
  <si>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</si>
  <si>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</si>
  <si>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</si>
  <si>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</si>
  <si>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</si>
  <si>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</si>
  <si>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</si>
  <si>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</si>
  <si>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</si>
  <si>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</si>
  <si>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</si>
  <si>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</si>
  <si>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</si>
  <si>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</si>
  <si>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</si>
  <si>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</si>
  <si>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</si>
  <si>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</si>
  <si>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</si>
  <si>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</si>
  <si>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</si>
  <si>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</si>
  <si>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</si>
  <si>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</si>
  <si>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</si>
  <si>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</si>
  <si>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</si>
  <si>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</si>
  <si>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</si>
  <si>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</si>
  <si>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</si>
  <si>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</si>
  <si>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</si>
  <si>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</si>
  <si>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</si>
  <si>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</si>
  <si>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</si>
  <si>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</si>
  <si>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</si>
  <si>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</si>
  <si>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</si>
  <si>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</si>
  <si>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</si>
  <si>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</si>
  <si>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</si>
  <si>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</si>
  <si>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</si>
  <si>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</si>
  <si>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</si>
  <si>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</si>
  <si>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</si>
  <si>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</si>
  <si>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</si>
  <si>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</si>
  <si>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</si>
  <si>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</si>
  <si>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</si>
  <si>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</si>
  <si>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</si>
  <si>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</si>
  <si>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</si>
  <si>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</si>
  <si>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</si>
  <si>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</si>
  <si>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</si>
  <si>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</si>
  <si>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</si>
  <si>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</si>
  <si>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</si>
  <si>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</si>
  <si>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</si>
  <si>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</si>
  <si>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</si>
  <si>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</si>
  <si>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</si>
  <si>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</si>
  <si>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</si>
  <si>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</si>
  <si>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</si>
  <si>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</si>
  <si>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</si>
  <si>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</si>
  <si>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</si>
  <si>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</si>
  <si>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</si>
  <si>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</si>
  <si>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</si>
  <si>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</si>
  <si>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</si>
  <si>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</si>
  <si>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</si>
  <si>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</si>
  <si>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</si>
  <si>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</si>
  <si>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</si>
  <si>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</si>
  <si>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</si>
  <si>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</si>
  <si>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</si>
  <si>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</si>
  <si>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</si>
  <si>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</si>
  <si>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</si>
  <si>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</si>
  <si>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</si>
  <si>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</si>
  <si>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</si>
  <si>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</si>
  <si>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</si>
  <si>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</si>
  <si>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</si>
  <si>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</si>
  <si>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</si>
  <si>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</si>
  <si>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</si>
  <si>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</si>
  <si>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</si>
  <si>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</si>
  <si>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</si>
  <si>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</si>
  <si>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</si>
  <si>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</si>
  <si>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</si>
  <si>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</si>
  <si>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</si>
  <si>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</si>
  <si>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</si>
  <si>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</si>
  <si>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</si>
  <si>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</si>
  <si>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</si>
  <si>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</si>
  <si>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</si>
  <si>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</si>
  <si>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</si>
  <si>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</si>
  <si>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</si>
  <si>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</si>
  <si>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</si>
  <si>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</si>
  <si>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</si>
  <si>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</si>
  <si>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</si>
  <si>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</si>
  <si>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</si>
  <si>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</si>
  <si>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</si>
  <si>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</si>
  <si>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</si>
  <si>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</si>
  <si>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</si>
  <si>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</si>
  <si>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</si>
  <si>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</si>
  <si>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</si>
  <si>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</si>
  <si>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</si>
  <si>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</si>
  <si>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</si>
  <si>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</si>
  <si>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</si>
  <si>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</si>
  <si>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</si>
  <si>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</si>
  <si>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</si>
  <si>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</si>
  <si>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</si>
  <si>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</si>
  <si>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</si>
  <si>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</si>
  <si>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</si>
  <si>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</si>
  <si>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</si>
  <si>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</si>
  <si>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</si>
  <si>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</si>
  <si>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</si>
  <si>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</si>
  <si>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</si>
  <si>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</si>
  <si>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</si>
  <si>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</si>
  <si>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</si>
  <si>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</si>
  <si>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</si>
  <si>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</si>
  <si>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</si>
  <si>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</si>
  <si>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</si>
  <si>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</si>
  <si>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</si>
  <si>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</si>
  <si>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</si>
  <si>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</si>
  <si>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</si>
  <si>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</si>
  <si>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</si>
  <si>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</si>
  <si>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</si>
  <si>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</si>
  <si>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</si>
  <si>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</si>
  <si>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</si>
  <si>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</si>
  <si>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</si>
  <si>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</si>
  <si>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</si>
  <si>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</si>
  <si>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</si>
  <si>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</si>
  <si>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</si>
  <si>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</si>
  <si>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</si>
  <si>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</si>
  <si>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</si>
  <si>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</si>
  <si>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</si>
  <si>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</si>
  <si>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</si>
  <si>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</si>
  <si>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</si>
  <si>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</si>
  <si>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</si>
  <si>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</si>
  <si>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</si>
  <si>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</si>
  <si>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</si>
  <si>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</si>
  <si>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</si>
  <si>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</si>
  <si>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</si>
  <si>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</si>
  <si>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</si>
  <si>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</si>
  <si>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</si>
  <si>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</si>
  <si>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</si>
  <si>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</si>
  <si>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</si>
  <si>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</si>
  <si>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</si>
  <si>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</si>
  <si>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</si>
  <si>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</si>
  <si>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</si>
  <si>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</si>
  <si>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</si>
  <si>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</si>
  <si>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</si>
  <si>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</si>
  <si>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</si>
  <si>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</si>
  <si>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</si>
  <si>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</si>
  <si>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</si>
  <si>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</si>
  <si>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</si>
  <si>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</si>
  <si>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</si>
  <si>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</si>
  <si>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</si>
  <si>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</si>
  <si>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</si>
  <si>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</si>
  <si>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</si>
  <si>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</si>
  <si>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</si>
  <si>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</si>
  <si>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</si>
  <si>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</si>
  <si>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</si>
  <si>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</si>
  <si>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</si>
  <si>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</si>
  <si>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</si>
  <si>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</si>
  <si>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</si>
  <si>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</si>
  <si>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</si>
  <si>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</si>
  <si>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</si>
  <si>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</si>
  <si>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</si>
  <si>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</si>
  <si>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</si>
  <si>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</si>
  <si>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</si>
  <si>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</si>
  <si>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</si>
  <si>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</si>
  <si>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</si>
  <si>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</si>
  <si>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</si>
  <si>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</si>
  <si>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</si>
  <si>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</si>
  <si>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</si>
  <si>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</si>
  <si>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</si>
  <si>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</si>
  <si>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</si>
  <si>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</si>
  <si>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</si>
  <si>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</si>
  <si>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</si>
  <si>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</si>
  <si>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</si>
  <si>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</si>
  <si>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</si>
  <si>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</si>
  <si>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</si>
  <si>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</si>
  <si>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</si>
  <si>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</si>
  <si>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</si>
  <si>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</si>
  <si>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</si>
  <si>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</si>
  <si>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</si>
  <si>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</si>
  <si>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</si>
  <si>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</si>
  <si>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</si>
  <si>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</si>
  <si>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</si>
  <si>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</si>
  <si>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</si>
  <si>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</si>
  <si>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</si>
  <si>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</si>
  <si>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</si>
  <si>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</si>
  <si>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</si>
  <si>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</si>
  <si>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</si>
  <si>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</si>
  <si>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</si>
  <si>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</si>
  <si>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</si>
  <si>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</si>
  <si>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</si>
  <si>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</si>
  <si>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</si>
  <si>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</si>
  <si>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</si>
  <si>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</si>
  <si>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</si>
  <si>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</si>
  <si>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</si>
  <si>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</si>
  <si>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</si>
  <si>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</si>
  <si>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</si>
  <si>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</si>
  <si>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</si>
  <si>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</si>
  <si>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</si>
  <si>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</si>
  <si>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</si>
  <si>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</si>
  <si>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</si>
  <si>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</si>
  <si>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</si>
  <si>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</si>
  <si>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</si>
  <si>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</si>
  <si>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</si>
  <si>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</si>
  <si>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</si>
  <si>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</si>
  <si>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</si>
  <si>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</si>
  <si>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</si>
  <si>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</si>
  <si>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</si>
  <si>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</si>
  <si>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</si>
  <si>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</si>
  <si>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</si>
  <si>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</si>
  <si>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</si>
  <si>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</si>
  <si>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</si>
  <si>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</si>
  <si>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</si>
  <si>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</si>
  <si>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</si>
  <si>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</si>
  <si>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</si>
  <si>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</si>
  <si>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</si>
  <si>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</si>
  <si>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</si>
  <si>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</si>
  <si>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</si>
  <si>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</si>
  <si>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</si>
  <si>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</si>
  <si>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</si>
  <si>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</si>
  <si>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</si>
  <si>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</si>
  <si>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</si>
  <si>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</si>
  <si>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</si>
  <si>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</si>
  <si>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</si>
  <si>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</si>
  <si>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</si>
  <si>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</si>
  <si>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</si>
  <si>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</si>
  <si>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</si>
  <si>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</si>
  <si>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</si>
  <si>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</si>
  <si>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</si>
  <si>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</si>
  <si>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</si>
  <si>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</si>
  <si>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</si>
  <si>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</si>
  <si>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</si>
  <si>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</si>
  <si>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</si>
  <si>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</si>
  <si>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</si>
  <si>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</si>
  <si>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</si>
  <si>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</si>
  <si>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</si>
  <si>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</si>
  <si>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</si>
  <si>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</si>
  <si>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</si>
  <si>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</si>
  <si>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</si>
  <si>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</si>
  <si>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</si>
  <si>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</si>
  <si>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</si>
  <si>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</si>
  <si>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</si>
  <si>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</si>
  <si>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</si>
  <si>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</si>
  <si>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</si>
  <si>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</si>
  <si>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</si>
  <si>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</si>
  <si>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</si>
  <si>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</si>
  <si>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</si>
  <si>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</si>
  <si>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</si>
  <si>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</si>
  <si>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</si>
  <si>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</si>
  <si>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</si>
  <si>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</si>
  <si>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</si>
  <si>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</si>
  <si>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</si>
  <si>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</si>
  <si>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</si>
  <si>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</si>
  <si>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</si>
  <si>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</si>
  <si>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</si>
  <si>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</si>
  <si>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</si>
  <si>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</si>
  <si>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</si>
  <si>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</si>
  <si>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</si>
  <si>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</si>
  <si>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</si>
  <si>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</si>
  <si>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</si>
  <si>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</si>
  <si>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</si>
  <si>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</si>
  <si>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</si>
  <si>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</si>
  <si>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</si>
  <si>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</si>
  <si>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</si>
  <si>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</si>
  <si>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</si>
  <si>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</si>
  <si>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</si>
  <si>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</si>
  <si>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</si>
  <si>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</si>
  <si>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</si>
  <si>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</si>
  <si>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</si>
  <si>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</si>
  <si>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</si>
  <si>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</si>
  <si>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</si>
  <si>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</si>
  <si>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</si>
  <si>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</si>
  <si>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</si>
  <si>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</si>
  <si>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</si>
  <si>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</si>
  <si>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</si>
  <si>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</si>
  <si>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</si>
  <si>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</si>
  <si>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</si>
  <si>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</si>
  <si>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</si>
  <si>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</si>
  <si>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</si>
  <si>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</si>
  <si>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</si>
  <si>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</si>
  <si>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</si>
  <si>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</si>
  <si>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</si>
  <si>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</si>
  <si>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</si>
  <si>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</si>
  <si>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</si>
  <si>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</si>
  <si>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</si>
  <si>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</si>
  <si>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</si>
  <si>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</si>
  <si>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</si>
  <si>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</si>
  <si>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</si>
  <si>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</si>
  <si>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</si>
  <si>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</si>
  <si>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</si>
  <si>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</si>
  <si>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</si>
  <si>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</si>
  <si>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</si>
  <si>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</si>
  <si>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</si>
  <si>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</si>
  <si>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</si>
  <si>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</si>
  <si>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</si>
  <si>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</si>
  <si>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</si>
  <si>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</si>
  <si>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</si>
  <si>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</si>
  <si>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</si>
  <si>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</si>
  <si>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</si>
  <si>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</si>
  <si>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</si>
  <si>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</si>
  <si>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</si>
  <si>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</si>
  <si>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</si>
  <si>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</si>
  <si>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</si>
  <si>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</si>
  <si>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</si>
  <si>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</si>
  <si>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</si>
  <si>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</si>
  <si>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</si>
  <si>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</si>
  <si>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</si>
  <si>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</si>
  <si>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</si>
  <si>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</si>
  <si>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</si>
  <si>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</si>
  <si>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</si>
  <si>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</si>
  <si>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</si>
  <si>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</si>
  <si>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</si>
  <si>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</si>
  <si>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</si>
  <si>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</si>
  <si>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</si>
  <si>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</si>
  <si>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</si>
  <si>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</si>
  <si>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</si>
  <si>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</si>
  <si>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</si>
  <si>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</si>
  <si>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</si>
  <si>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</si>
  <si>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</si>
  <si>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</si>
  <si>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</si>
  <si>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</si>
  <si>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</si>
  <si>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</si>
  <si>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</si>
  <si>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</si>
  <si>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</si>
  <si>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</si>
  <si>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</si>
  <si>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</si>
  <si>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</si>
  <si>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</si>
  <si>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</si>
  <si>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</si>
  <si>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</si>
  <si>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</si>
  <si>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</si>
  <si>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</si>
  <si>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</si>
  <si>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</si>
  <si>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</si>
  <si>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</si>
  <si>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</si>
  <si>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</si>
  <si>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</si>
  <si>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</si>
  <si>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</si>
  <si>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</si>
  <si>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</si>
  <si>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</si>
  <si>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</si>
  <si>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</si>
  <si>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</si>
  <si>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</si>
  <si>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</si>
  <si>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</si>
  <si>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</si>
  <si>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</si>
  <si>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</si>
  <si>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</si>
  <si>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</si>
  <si>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</si>
  <si>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</si>
  <si>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</si>
  <si>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</si>
  <si>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</si>
  <si>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</si>
  <si>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</si>
  <si>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</si>
  <si>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</si>
  <si>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</si>
  <si>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</si>
  <si>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</si>
  <si>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</si>
  <si>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</si>
  <si>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</si>
  <si>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</si>
  <si>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</si>
  <si>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</si>
  <si>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</si>
  <si>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</si>
  <si>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</si>
  <si>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</si>
  <si>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</si>
  <si>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</si>
  <si>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</si>
  <si>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</si>
  <si>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</si>
  <si>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</si>
  <si>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</si>
  <si>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</si>
  <si>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</si>
  <si>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</si>
  <si>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</si>
  <si>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</si>
  <si>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</si>
  <si>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</si>
  <si>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</si>
  <si>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</si>
  <si>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</si>
  <si>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</si>
  <si>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</si>
  <si>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</si>
  <si>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</si>
  <si>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</si>
  <si>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</si>
  <si>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</si>
  <si>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</si>
  <si>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</si>
  <si>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</si>
  <si>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</si>
  <si>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</si>
  <si>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</si>
  <si>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</si>
  <si>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</si>
  <si>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</si>
  <si>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</si>
  <si>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</si>
  <si>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</si>
  <si>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</si>
  <si>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</si>
  <si>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</si>
  <si>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</si>
  <si>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</si>
  <si>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</si>
  <si>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</si>
  <si>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</si>
  <si>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</si>
  <si>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</si>
  <si>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</si>
  <si>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</si>
  <si>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</si>
  <si>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</si>
  <si>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</si>
  <si>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</si>
  <si>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</si>
  <si>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</si>
  <si>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</si>
  <si>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</si>
  <si>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</si>
  <si>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</si>
  <si>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</si>
  <si>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</si>
  <si>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</si>
  <si>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</si>
  <si>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</si>
  <si>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</si>
  <si>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</si>
  <si>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</si>
  <si>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</si>
  <si>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</si>
  <si>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</si>
  <si>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</si>
  <si>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</si>
  <si>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</si>
  <si>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</si>
  <si>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</si>
  <si>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</si>
  <si>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</si>
  <si>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</si>
  <si>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</si>
  <si>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</si>
  <si>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</si>
  <si>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</si>
  <si>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</si>
  <si>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</si>
  <si>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</si>
  <si>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</si>
  <si>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</si>
  <si>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</si>
  <si>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</si>
  <si>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</si>
  <si>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</si>
  <si>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</si>
  <si>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</si>
  <si>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</si>
  <si>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</si>
  <si>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</si>
  <si>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</si>
  <si>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</si>
  <si>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</si>
  <si>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</si>
  <si>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</si>
  <si>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</si>
  <si>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</si>
  <si>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</si>
  <si>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</si>
  <si>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</si>
  <si>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</si>
  <si>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</si>
  <si>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</si>
  <si>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</si>
  <si>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</si>
  <si>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</si>
  <si>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</si>
  <si>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</si>
  <si>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</si>
  <si>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</si>
  <si>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</si>
  <si>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</si>
  <si>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</si>
  <si>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</si>
  <si>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</si>
  <si>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</si>
  <si>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</si>
  <si>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</si>
  <si>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</si>
  <si>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</si>
  <si>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</si>
  <si>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</si>
  <si>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</si>
  <si>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</si>
  <si>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</si>
  <si>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</si>
  <si>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</si>
  <si>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</si>
  <si>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</si>
  <si>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</si>
  <si>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</si>
  <si>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</si>
  <si>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</si>
  <si>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</si>
  <si>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</si>
  <si>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</si>
  <si>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</si>
  <si>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</si>
  <si>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</si>
  <si>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</si>
  <si>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</si>
  <si>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</si>
  <si>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</si>
  <si>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</si>
  <si>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</si>
  <si>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</si>
  <si>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</si>
  <si>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</si>
  <si>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</si>
  <si>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</si>
  <si>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</si>
  <si>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</si>
  <si>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</si>
  <si>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</si>
  <si>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</si>
  <si>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</si>
  <si>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</si>
  <si>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</si>
  <si>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</si>
  <si>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</si>
  <si>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</si>
  <si>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</si>
  <si>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</si>
  <si>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</si>
  <si>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</si>
  <si>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</si>
  <si>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</si>
  <si>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</si>
  <si>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</si>
  <si>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</si>
  <si>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</si>
  <si>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</si>
  <si>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</si>
  <si>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</si>
  <si>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</si>
  <si>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</si>
  <si>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</si>
  <si>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</si>
  <si>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</si>
  <si>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</si>
  <si>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</si>
  <si>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</si>
  <si>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</si>
  <si>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</si>
  <si>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</si>
  <si>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</si>
  <si>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</si>
  <si>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</si>
  <si>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</si>
  <si>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</si>
  <si>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</si>
  <si>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</si>
  <si>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</si>
  <si>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</si>
  <si>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</si>
  <si>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</si>
  <si>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</si>
  <si>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</si>
  <si>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</si>
  <si>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</si>
  <si>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</si>
  <si>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</si>
  <si>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</si>
  <si>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</si>
  <si>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</si>
  <si>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</si>
  <si>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</si>
  <si>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</si>
  <si>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</si>
  <si>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</si>
  <si>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</si>
  <si>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</si>
  <si>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</si>
  <si>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</si>
  <si>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</si>
  <si>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</si>
  <si>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</si>
  <si>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</si>
  <si>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</si>
  <si>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</si>
  <si>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</si>
  <si>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</si>
  <si>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</si>
  <si>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</si>
  <si>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</si>
  <si>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</si>
  <si>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</si>
  <si>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</si>
  <si>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</si>
  <si>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</si>
  <si>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</si>
  <si>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</si>
  <si>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</si>
  <si>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</si>
  <si>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</si>
  <si>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</si>
  <si>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</si>
  <si>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</si>
  <si>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</si>
  <si>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</si>
  <si>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</si>
  <si>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</si>
  <si>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</si>
  <si>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</si>
  <si>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</si>
  <si>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</si>
  <si>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</si>
  <si>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</si>
  <si>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</si>
  <si>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</si>
  <si>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</si>
  <si>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</si>
  <si>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</si>
  <si>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</si>
  <si>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</si>
  <si>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</si>
  <si>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</si>
  <si>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</si>
  <si>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</si>
  <si>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</si>
  <si>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</si>
  <si>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</si>
  <si>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</si>
  <si>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</si>
  <si>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</si>
  <si>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</si>
  <si>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</si>
  <si>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</si>
  <si>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</si>
  <si>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</si>
  <si>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</si>
  <si>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</si>
  <si>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</si>
  <si>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</si>
  <si>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</si>
  <si>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</si>
  <si>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</si>
  <si>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</si>
  <si>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</si>
  <si>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</si>
  <si>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</si>
  <si>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</si>
  <si>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</si>
  <si>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</si>
  <si>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</si>
  <si>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</si>
  <si>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</si>
  <si>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</si>
  <si>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</si>
  <si>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</si>
  <si>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</si>
  <si>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</si>
  <si>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</si>
  <si>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</si>
  <si>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</si>
  <si>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</si>
  <si>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</si>
  <si>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</si>
  <si>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</si>
  <si>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</si>
  <si>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</si>
  <si>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</si>
  <si>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</si>
  <si>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</si>
  <si>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</si>
  <si>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</si>
  <si>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</si>
  <si>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</si>
  <si>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</si>
  <si>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</si>
  <si>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</si>
  <si>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</si>
  <si>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</si>
  <si>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</si>
  <si>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</si>
  <si>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</si>
  <si>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</si>
  <si>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</si>
  <si>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</si>
  <si>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</si>
  <si>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</si>
  <si>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</si>
  <si>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</si>
  <si>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</si>
  <si>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</si>
  <si>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</si>
  <si>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</si>
  <si>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</si>
  <si>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</si>
  <si>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</si>
  <si>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</si>
  <si>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</si>
  <si>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</si>
  <si>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</si>
  <si>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</si>
  <si>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</si>
  <si>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</si>
  <si>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</si>
  <si>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</si>
  <si>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</si>
  <si>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</si>
  <si>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</si>
  <si>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</si>
  <si>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</si>
  <si>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</si>
  <si>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</si>
  <si>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</si>
  <si>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</si>
  <si>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</si>
  <si>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</si>
  <si>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</si>
  <si>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</si>
  <si>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</si>
  <si>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</si>
  <si>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</si>
  <si>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</si>
  <si>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</si>
  <si>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</si>
  <si>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</si>
  <si>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</si>
  <si>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</si>
  <si>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</si>
  <si>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</si>
  <si>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</si>
  <si>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</si>
  <si>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</si>
  <si>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</si>
  <si>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</si>
  <si>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</si>
  <si>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</si>
  <si>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</si>
  <si>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</si>
  <si>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</si>
  <si>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</si>
  <si>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</si>
  <si>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</si>
  <si>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</si>
  <si>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</si>
  <si>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</si>
  <si>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</si>
  <si>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</si>
  <si>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</si>
  <si>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</si>
  <si>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</si>
  <si>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</si>
  <si>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</si>
  <si>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</si>
  <si>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</si>
  <si>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</si>
  <si>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</si>
  <si>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</si>
  <si>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</si>
  <si>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</si>
  <si>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</si>
  <si>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</si>
  <si>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</si>
  <si>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</si>
  <si>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</si>
  <si>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</si>
  <si>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</si>
  <si>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</si>
  <si>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</si>
  <si>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</si>
  <si>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</si>
  <si>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</si>
  <si>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</si>
  <si>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</si>
  <si>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</si>
  <si>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</si>
  <si>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</si>
  <si>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</si>
  <si>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</si>
  <si>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</si>
  <si>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</si>
  <si>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</si>
  <si>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</si>
  <si>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</si>
  <si>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</si>
  <si>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</si>
  <si>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</si>
  <si>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</si>
  <si>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</si>
  <si>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</si>
  <si>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</si>
  <si>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</si>
  <si>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</si>
  <si>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</si>
  <si>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</si>
  <si>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</si>
  <si>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</si>
  <si>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</si>
  <si>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</si>
  <si>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</si>
  <si>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</si>
  <si>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</si>
  <si>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</si>
  <si>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</si>
  <si>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</si>
  <si>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</si>
  <si>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</si>
  <si>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</si>
  <si>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</si>
  <si>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</si>
  <si>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</si>
  <si>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</si>
  <si>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</si>
  <si>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</si>
  <si>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</si>
  <si>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</si>
  <si>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</si>
  <si>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</si>
  <si>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</si>
  <si>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</si>
  <si>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</si>
  <si>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</si>
  <si>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</si>
  <si>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</si>
  <si>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</si>
  <si>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</si>
  <si>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</si>
  <si>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</si>
  <si>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</si>
  <si>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</si>
  <si>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</si>
  <si>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</si>
  <si>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</si>
  <si>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</si>
  <si>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</si>
  <si>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</si>
  <si>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</si>
  <si>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</si>
  <si>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</si>
  <si>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</si>
  <si>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</si>
  <si>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</si>
  <si>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</si>
  <si>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</si>
  <si>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</si>
  <si>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</si>
  <si>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</si>
  <si>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</si>
  <si>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</si>
  <si>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</si>
  <si>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</si>
  <si>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</si>
  <si>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</si>
  <si>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</si>
  <si>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</si>
  <si>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</si>
  <si>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</si>
  <si>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</si>
  <si>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</si>
  <si>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</si>
  <si>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</si>
  <si>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</si>
  <si>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</si>
  <si>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</si>
  <si>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</si>
  <si>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</si>
  <si>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</si>
  <si>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</si>
  <si>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</si>
  <si>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</si>
  <si>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</si>
  <si>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</si>
  <si>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</si>
  <si>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</si>
  <si>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</si>
  <si>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</si>
  <si>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</si>
  <si>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</si>
  <si>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</si>
  <si>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</si>
  <si>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</si>
  <si>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</si>
  <si>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</si>
  <si>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</si>
  <si>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</si>
  <si>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</si>
  <si>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</si>
  <si>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</si>
  <si>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</si>
  <si>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</si>
  <si>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</si>
  <si>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</si>
  <si>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</si>
  <si>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</si>
  <si>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</si>
  <si>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</si>
  <si>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</si>
  <si>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</si>
  <si>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</si>
  <si>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</si>
  <si>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</si>
  <si>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</si>
  <si>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</si>
  <si>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</si>
  <si>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</si>
  <si>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</si>
  <si>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</si>
  <si>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</si>
  <si>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</si>
  <si>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</si>
  <si>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</si>
  <si>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</si>
  <si>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</si>
  <si>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</si>
  <si>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</si>
  <si>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</si>
  <si>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</si>
  <si>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</si>
  <si>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</si>
  <si>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</si>
  <si>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</si>
  <si>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</si>
  <si>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</si>
  <si>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</si>
  <si>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</si>
  <si>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</si>
  <si>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</si>
  <si>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</si>
  <si>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</si>
  <si>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</si>
  <si>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</si>
  <si>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</si>
  <si>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</si>
  <si>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</si>
  <si>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</si>
  <si>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</si>
  <si>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</si>
  <si>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</si>
  <si>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</si>
  <si>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</si>
  <si>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</si>
  <si>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</si>
  <si>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</si>
  <si>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</si>
  <si>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</si>
  <si>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</si>
  <si>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</si>
  <si>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</si>
  <si>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</si>
  <si>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</si>
  <si>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</si>
  <si>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</si>
  <si>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</si>
  <si>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</si>
  <si>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</si>
  <si>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</si>
  <si>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</si>
  <si>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</si>
  <si>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</si>
  <si>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</si>
  <si>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</si>
  <si>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</si>
  <si>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</si>
  <si>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</si>
  <si>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</si>
  <si>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</si>
  <si>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</si>
  <si>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</si>
  <si>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</si>
  <si>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</si>
  <si>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</si>
  <si>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</si>
  <si>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</si>
  <si>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</si>
  <si>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</si>
  <si>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</si>
  <si>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</si>
  <si>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</si>
  <si>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</si>
  <si>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</si>
  <si>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</si>
  <si>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</si>
  <si>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</si>
  <si>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</si>
  <si>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</si>
  <si>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</si>
  <si>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</si>
  <si>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</si>
  <si>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</si>
  <si>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</si>
  <si>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</si>
  <si>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</si>
  <si>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</si>
  <si>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</si>
  <si>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</si>
  <si>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</si>
  <si>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</si>
  <si>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</si>
  <si>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</si>
  <si>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</si>
  <si>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</si>
  <si>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</si>
  <si>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</si>
  <si>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</si>
  <si>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</si>
  <si>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</si>
  <si>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</si>
  <si>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</si>
  <si>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</si>
  <si>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</si>
  <si>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</si>
  <si>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</si>
  <si>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</si>
  <si>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</si>
  <si>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</si>
  <si>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</si>
  <si>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</si>
  <si>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</si>
  <si>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</si>
  <si>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</si>
  <si>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</si>
  <si>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</si>
  <si>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</si>
  <si>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</si>
  <si>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</si>
  <si>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</si>
  <si>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</si>
  <si>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</si>
  <si>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</si>
  <si>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</si>
  <si>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</si>
  <si>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</si>
  <si>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</si>
  <si>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</si>
  <si>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</si>
  <si>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</si>
  <si>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</si>
  <si>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</si>
  <si>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</si>
  <si>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</si>
  <si>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</si>
  <si>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</si>
  <si>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</si>
  <si>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</si>
  <si>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</si>
  <si>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</si>
  <si>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</si>
  <si>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</si>
  <si>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</si>
  <si>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</si>
  <si>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</si>
  <si>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</si>
  <si>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</si>
  <si>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</si>
  <si>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</si>
  <si>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</si>
  <si>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</si>
  <si>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</si>
  <si>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</si>
  <si>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</si>
  <si>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</si>
  <si>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</si>
  <si>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</si>
  <si>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</si>
  <si>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</si>
  <si>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</si>
  <si>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</si>
  <si>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</si>
  <si>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</si>
  <si>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</si>
  <si>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</si>
  <si>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</si>
  <si>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</si>
  <si>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</si>
  <si>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</si>
  <si>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</si>
  <si>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</si>
  <si>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</si>
  <si>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</si>
  <si>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</si>
  <si>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</si>
  <si>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</si>
  <si>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</si>
  <si>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</si>
  <si>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</si>
  <si>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</si>
  <si>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</si>
  <si>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</si>
  <si>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</si>
  <si>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</si>
  <si>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</si>
  <si>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</si>
  <si>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</si>
  <si>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</si>
  <si>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</si>
  <si>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</si>
  <si>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</si>
  <si>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</si>
  <si>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</si>
  <si>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</si>
  <si>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</si>
  <si>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</si>
  <si>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</si>
  <si>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</si>
  <si>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</si>
  <si>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</si>
  <si>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</si>
  <si>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</si>
  <si>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</si>
  <si>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</si>
  <si>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</si>
  <si>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</si>
  <si>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</si>
  <si>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</si>
  <si>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</si>
  <si>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</si>
  <si>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</si>
  <si>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</si>
  <si>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</si>
  <si>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</si>
  <si>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</si>
  <si>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</si>
  <si>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</si>
  <si>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</si>
  <si>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</si>
  <si>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</si>
  <si>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</si>
  <si>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</si>
  <si>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</si>
  <si>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</si>
  <si>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</si>
  <si>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</si>
  <si>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</si>
  <si>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</si>
  <si>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</si>
  <si>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</si>
  <si>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</si>
  <si>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</si>
  <si>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</si>
  <si>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</si>
  <si>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</si>
  <si>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</si>
  <si>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</si>
  <si>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</si>
  <si>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</si>
  <si>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</si>
  <si>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</si>
  <si>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</si>
  <si>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</si>
  <si>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</si>
  <si>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</si>
  <si>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</si>
  <si>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</si>
  <si>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</si>
  <si>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</si>
  <si>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</si>
  <si>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</si>
  <si>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</si>
  <si>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</si>
  <si>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</si>
  <si>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</si>
  <si>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</si>
  <si>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</si>
  <si>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</si>
  <si>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</si>
  <si>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</si>
  <si>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</si>
  <si>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</si>
  <si>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</si>
  <si>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</si>
  <si>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</si>
  <si>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</si>
  <si>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</si>
  <si>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</si>
  <si>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</si>
  <si>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</si>
  <si>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</si>
  <si>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</si>
  <si>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</si>
  <si>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</si>
  <si>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</si>
  <si>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</si>
  <si>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</si>
  <si>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</si>
  <si>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</si>
  <si>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</si>
  <si>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</si>
  <si>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</si>
  <si>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</si>
  <si>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</si>
  <si>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</si>
  <si>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</si>
  <si>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</si>
  <si>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</si>
  <si>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</si>
  <si>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</si>
  <si>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</si>
  <si>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</si>
  <si>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</si>
  <si>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</si>
  <si>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</si>
  <si>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</si>
  <si>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</si>
  <si>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</si>
  <si>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</si>
  <si>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</si>
  <si>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</si>
  <si>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</si>
  <si>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</si>
  <si>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</si>
  <si>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</si>
  <si>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</si>
  <si>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</si>
  <si>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</si>
  <si>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</si>
  <si>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</si>
  <si>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</si>
  <si>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</si>
  <si>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</si>
  <si>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</si>
  <si>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</si>
  <si>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</si>
  <si>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</si>
  <si>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</si>
  <si>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</si>
  <si>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</si>
  <si>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</si>
  <si>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</si>
  <si>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</si>
  <si>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</si>
  <si>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</si>
  <si>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</si>
  <si>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</si>
  <si>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</si>
  <si>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</si>
  <si>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</si>
  <si>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</si>
  <si>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</si>
  <si>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</si>
  <si>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</si>
  <si>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</si>
  <si>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</si>
  <si>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</si>
  <si>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</si>
  <si>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</si>
  <si>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</si>
  <si>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</si>
  <si>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</si>
  <si>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</si>
  <si>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</si>
  <si>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</si>
  <si>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</si>
  <si>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</si>
  <si>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</si>
  <si>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</si>
  <si>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</si>
  <si>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</si>
  <si>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</si>
  <si>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</si>
  <si>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</si>
  <si>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</si>
  <si>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</si>
  <si>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</si>
  <si>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</si>
  <si>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</si>
  <si>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</si>
  <si>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</si>
  <si>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</si>
  <si>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</si>
  <si>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</si>
  <si>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</si>
  <si>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</si>
  <si>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</si>
  <si>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</si>
  <si>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</si>
  <si>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</si>
  <si>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</si>
  <si>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</si>
  <si>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</si>
  <si>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</si>
  <si>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</si>
  <si>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</si>
  <si>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</si>
  <si>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</si>
  <si>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</si>
  <si>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</si>
  <si>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</si>
  <si>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</si>
  <si>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</si>
  <si>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</si>
  <si>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</si>
  <si>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</si>
  <si>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</si>
  <si>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</si>
  <si>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</si>
  <si>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</si>
  <si>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</si>
  <si>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</si>
  <si>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</si>
  <si>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</si>
  <si>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</si>
  <si>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</si>
  <si>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</si>
  <si>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</si>
  <si>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</si>
  <si>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</si>
  <si>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</si>
  <si>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</si>
  <si>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</si>
  <si>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</si>
  <si>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</si>
  <si>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</si>
  <si>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</si>
  <si>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</si>
  <si>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</si>
  <si>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</si>
  <si>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</si>
  <si>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</si>
  <si>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</si>
  <si>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</si>
  <si>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</si>
  <si>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</si>
  <si>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</si>
  <si>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</si>
  <si>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</si>
  <si>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</si>
  <si>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</si>
  <si>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</si>
  <si>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</si>
  <si>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</si>
  <si>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</si>
  <si>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</si>
  <si>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</si>
  <si>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</si>
  <si>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</si>
  <si>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</si>
  <si>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</si>
  <si>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</si>
  <si>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</si>
  <si>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</si>
  <si>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</si>
  <si>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</si>
  <si>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</si>
  <si>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</si>
  <si>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</si>
  <si>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</si>
  <si>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</si>
  <si>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</si>
  <si>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</si>
  <si>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</si>
  <si>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</si>
  <si>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</si>
  <si>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</si>
  <si>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</si>
  <si>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</si>
  <si>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</si>
  <si>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</si>
  <si>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</si>
  <si>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</si>
  <si>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</si>
  <si>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</si>
  <si>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</si>
  <si>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</si>
  <si>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</si>
  <si>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</si>
  <si>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</si>
  <si>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</si>
  <si>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</si>
  <si>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</si>
  <si>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</si>
  <si>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</si>
  <si>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</si>
  <si>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</si>
  <si>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</si>
  <si>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</si>
  <si>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</si>
  <si>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</si>
  <si>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</si>
  <si>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</si>
  <si>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</si>
  <si>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</si>
  <si>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</si>
  <si>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</si>
  <si>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</si>
  <si>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</si>
  <si>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</si>
  <si>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</si>
  <si>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</si>
  <si>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</si>
  <si>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</si>
  <si>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</si>
  <si>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</si>
  <si>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</si>
  <si>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</si>
  <si>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</si>
  <si>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</si>
  <si>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</si>
  <si>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</si>
  <si>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</si>
  <si>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</si>
  <si>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</si>
  <si>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</si>
  <si>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</si>
  <si>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</si>
  <si>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</si>
  <si>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</si>
  <si>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</si>
  <si>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</si>
  <si>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</si>
  <si>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</si>
  <si>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</si>
  <si>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</si>
  <si>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</si>
  <si>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</si>
  <si>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</si>
  <si>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</si>
  <si>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</si>
  <si>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</si>
  <si>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</si>
  <si>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</si>
  <si>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</si>
  <si>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</si>
  <si>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</si>
  <si>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</si>
  <si>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</si>
  <si>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</si>
  <si>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</si>
  <si>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</si>
  <si>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</si>
  <si>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</si>
  <si>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</si>
  <si>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</si>
  <si>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</si>
  <si>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</si>
  <si>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</si>
  <si>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</si>
  <si>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</si>
  <si>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</si>
  <si>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</si>
  <si>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</si>
  <si>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</si>
  <si>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</si>
  <si>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</si>
  <si>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</si>
  <si>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</si>
  <si>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</si>
  <si>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</si>
  <si>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</si>
  <si>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</si>
  <si>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</si>
  <si>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</si>
  <si>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</si>
  <si>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</si>
  <si>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</si>
  <si>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</si>
  <si>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</si>
  <si>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</si>
  <si>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</si>
  <si>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</si>
  <si>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</si>
  <si>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</si>
  <si>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</si>
  <si>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</si>
  <si>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</si>
  <si>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</si>
  <si>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</si>
  <si>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</si>
  <si>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</si>
  <si>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</si>
  <si>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</si>
  <si>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</si>
  <si>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</si>
  <si>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</si>
  <si>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</si>
  <si>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</si>
  <si>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</si>
  <si>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</si>
  <si>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</si>
  <si>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</si>
  <si>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</si>
  <si>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</si>
  <si>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</si>
  <si>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</si>
  <si>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</si>
  <si>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</si>
  <si>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</si>
  <si>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</si>
  <si>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</si>
  <si>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</si>
  <si>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</si>
  <si>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</si>
  <si>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</si>
  <si>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</si>
  <si>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</si>
  <si>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</si>
  <si>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</si>
  <si>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</si>
  <si>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</si>
  <si>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</si>
  <si>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</si>
  <si>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</si>
  <si>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</si>
  <si>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</si>
  <si>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</si>
  <si>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</si>
  <si>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</si>
  <si>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</si>
  <si>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</si>
  <si>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</si>
  <si>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</si>
  <si>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</si>
  <si>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</si>
  <si>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</si>
  <si>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</si>
  <si>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</si>
  <si>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</si>
  <si>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</si>
  <si>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</si>
  <si>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</si>
  <si>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</si>
  <si>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</si>
  <si>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</si>
  <si>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</si>
  <si>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</si>
  <si>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</si>
  <si>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</si>
  <si>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</si>
  <si>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</si>
  <si>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</si>
  <si>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</si>
  <si>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</si>
  <si>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</si>
  <si>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</si>
  <si>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</si>
  <si>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</si>
  <si>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</si>
  <si>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</si>
  <si>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</si>
  <si>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</si>
  <si>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</si>
  <si>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</si>
  <si>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</si>
  <si>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</si>
  <si>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</si>
  <si>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</si>
  <si>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</si>
  <si>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</si>
  <si>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</si>
  <si>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</si>
  <si>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</si>
  <si>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</si>
  <si>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</si>
  <si>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</si>
  <si>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</si>
  <si>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</si>
  <si>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</si>
  <si>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</si>
  <si>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</si>
  <si>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</si>
  <si>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</si>
  <si>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</si>
  <si>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</si>
  <si>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</si>
  <si>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</si>
  <si>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</si>
  <si>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</si>
  <si>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</si>
  <si>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</si>
  <si>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</si>
  <si>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</si>
  <si>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</si>
  <si>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</si>
  <si>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</si>
  <si>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</si>
  <si>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</si>
  <si>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</si>
  <si>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</si>
  <si>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</si>
  <si>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</si>
  <si>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</si>
  <si>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</si>
  <si>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</si>
  <si>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</si>
  <si>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</si>
  <si>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</si>
  <si>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</si>
  <si>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</si>
  <si>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</si>
  <si>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</si>
  <si>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</si>
  <si>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</si>
  <si>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</si>
  <si>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</si>
  <si>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</si>
  <si>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</si>
  <si>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</si>
  <si>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</si>
  <si>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</si>
  <si>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</si>
  <si>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</si>
  <si>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</si>
  <si>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</si>
  <si>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</si>
  <si>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</si>
  <si>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</si>
  <si>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</si>
  <si>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</si>
  <si>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</si>
  <si>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</si>
  <si>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</si>
  <si>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</si>
  <si>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</si>
  <si>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</si>
  <si>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</si>
  <si>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</si>
  <si>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</si>
  <si>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</si>
  <si>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</si>
  <si>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</si>
  <si>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</si>
  <si>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</si>
  <si>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</si>
  <si>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</si>
  <si>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</si>
  <si>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</si>
  <si>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</si>
  <si>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</si>
  <si>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</si>
  <si>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</si>
  <si>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</si>
  <si>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</si>
  <si>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</si>
  <si>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</si>
  <si>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</si>
  <si>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</si>
  <si>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</si>
  <si>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</si>
  <si>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</si>
  <si>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</si>
  <si>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</si>
  <si>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</si>
  <si>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</si>
  <si>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</si>
  <si>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</si>
  <si>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</si>
  <si>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</si>
  <si>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</si>
  <si>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</si>
  <si>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</si>
  <si>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</si>
  <si>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</si>
  <si>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</si>
  <si>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</si>
  <si>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</si>
  <si>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</si>
  <si>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</si>
  <si>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</si>
  <si>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</si>
  <si>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</si>
  <si>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</si>
  <si>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</si>
  <si>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</si>
  <si>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</si>
  <si>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</si>
  <si>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</si>
  <si>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</si>
  <si>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</si>
  <si>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</si>
  <si>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</si>
  <si>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</si>
  <si>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</si>
  <si>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</si>
  <si>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</si>
  <si>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</si>
  <si>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</si>
  <si>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</si>
  <si>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</si>
  <si>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</si>
  <si>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</si>
  <si>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</si>
  <si>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</si>
  <si>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</si>
  <si>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</si>
  <si>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</si>
  <si>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</si>
  <si>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</si>
  <si>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</si>
  <si>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</si>
  <si>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</si>
  <si>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</si>
  <si>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</si>
  <si>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</si>
  <si>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</si>
  <si>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</si>
  <si>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</si>
  <si>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</si>
  <si>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</si>
  <si>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</si>
  <si>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</si>
  <si>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</si>
  <si>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</si>
  <si>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</si>
  <si>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</si>
  <si>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</si>
  <si>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</si>
  <si>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</si>
  <si>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</si>
  <si>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</si>
  <si>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</si>
  <si>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</si>
  <si>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</si>
  <si>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</si>
  <si>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</si>
  <si>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</si>
  <si>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</si>
  <si>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</si>
  <si>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</si>
  <si>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</si>
  <si>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</si>
  <si>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</si>
  <si>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</si>
  <si>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</si>
  <si>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</si>
  <si>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</si>
  <si>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</si>
  <si>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</si>
  <si>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</si>
  <si>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</si>
  <si>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</si>
  <si>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</si>
  <si>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</si>
  <si>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</si>
  <si>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</si>
  <si>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</si>
  <si>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</si>
  <si>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</si>
  <si>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</si>
  <si>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</si>
  <si>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</si>
  <si>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</si>
  <si>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</si>
  <si>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</si>
  <si>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</si>
  <si>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</si>
  <si>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</si>
  <si>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</si>
  <si>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</si>
  <si>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</si>
  <si>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</si>
  <si>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</si>
  <si>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</si>
  <si>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</si>
  <si>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</si>
  <si>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</si>
  <si>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</si>
  <si>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</si>
  <si>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</si>
  <si>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</si>
  <si>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</si>
  <si>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</si>
  <si>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</si>
  <si>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</si>
  <si>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</si>
  <si>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</si>
  <si>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</si>
  <si>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</si>
  <si>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</si>
  <si>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</si>
  <si>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</si>
  <si>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</si>
  <si>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</si>
  <si>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</si>
  <si>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</si>
  <si>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</si>
  <si>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</si>
  <si>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</si>
  <si>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</si>
  <si>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</si>
  <si>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</si>
  <si>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</si>
  <si>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</si>
  <si>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</si>
  <si>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</si>
  <si>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</si>
  <si>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</si>
  <si>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</si>
  <si>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</si>
  <si>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</si>
  <si>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</si>
  <si>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</si>
  <si>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</si>
  <si>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</si>
  <si>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</si>
  <si>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</si>
  <si>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</si>
  <si>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</si>
  <si>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</si>
  <si>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</si>
  <si>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</si>
  <si>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</si>
  <si>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</si>
  <si>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</si>
  <si>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</si>
  <si>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</si>
  <si>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</si>
  <si>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</si>
  <si>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</si>
  <si>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</si>
  <si>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</si>
  <si>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</si>
  <si>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</si>
  <si>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</si>
  <si>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</si>
  <si>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</si>
  <si>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</si>
  <si>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</si>
  <si>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</si>
  <si>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</si>
  <si>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</si>
  <si>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</si>
  <si>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</si>
  <si>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</si>
  <si>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</si>
  <si>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</si>
  <si>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</si>
  <si>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</si>
  <si>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</si>
  <si>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</si>
  <si>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</si>
  <si>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</si>
  <si>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</si>
  <si>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</si>
  <si>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</si>
  <si>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</si>
  <si>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</si>
  <si>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</si>
  <si>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</si>
  <si>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</si>
  <si>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</si>
  <si>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</si>
  <si>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</si>
  <si>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</si>
  <si>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</si>
  <si>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</si>
  <si>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</si>
  <si>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</si>
  <si>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</si>
  <si>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</si>
  <si>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</si>
  <si>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</si>
  <si>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</si>
  <si>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</si>
  <si>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</si>
  <si>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</si>
  <si>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</si>
  <si>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</si>
  <si>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</si>
  <si>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</si>
  <si>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</si>
  <si>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</si>
  <si>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</si>
  <si>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</si>
  <si>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</si>
  <si>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</si>
  <si>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</si>
  <si>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</si>
  <si>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</si>
  <si>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</si>
  <si>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</si>
  <si>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</si>
  <si>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</si>
  <si>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</si>
  <si>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</si>
  <si>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</si>
  <si>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</si>
  <si>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</si>
  <si>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</si>
  <si>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</si>
  <si>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</si>
  <si>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</si>
  <si>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</si>
  <si>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</si>
  <si>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</si>
  <si>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</si>
  <si>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</si>
  <si>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</si>
  <si>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</si>
  <si>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</si>
  <si>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</si>
  <si>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</si>
  <si>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</si>
  <si>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</si>
  <si>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</si>
  <si>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</si>
  <si>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</si>
  <si>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</si>
  <si>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</si>
  <si>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</si>
  <si>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</si>
  <si>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</si>
  <si>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</si>
  <si>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</si>
  <si>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</si>
  <si>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</si>
  <si>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</si>
  <si>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</si>
  <si>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</si>
  <si>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</si>
  <si>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</si>
  <si>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</si>
  <si>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</si>
  <si>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</si>
  <si>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</si>
  <si>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</si>
  <si>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</si>
  <si>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</si>
  <si>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</si>
  <si>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</si>
  <si>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</si>
  <si>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</si>
  <si>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</si>
  <si>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</si>
  <si>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</si>
  <si>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</si>
  <si>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</si>
  <si>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</si>
  <si>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</si>
  <si>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</si>
  <si>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</si>
  <si>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</si>
  <si>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</si>
  <si>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</si>
  <si>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</si>
  <si>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</si>
  <si>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</si>
  <si>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</si>
  <si>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</si>
  <si>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</si>
  <si>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</si>
  <si>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</si>
  <si>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</si>
  <si>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</si>
  <si>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</si>
  <si>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</si>
  <si>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</si>
  <si>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</si>
  <si>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</si>
  <si>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</si>
  <si>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</si>
  <si>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</si>
  <si>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</si>
  <si>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</si>
  <si>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</si>
  <si>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</si>
  <si>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</si>
  <si>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</si>
  <si>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</si>
  <si>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</si>
  <si>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</si>
  <si>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</si>
  <si>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</si>
  <si>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</si>
  <si>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</si>
  <si>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</si>
  <si>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</si>
  <si>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</si>
  <si>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</si>
  <si>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</si>
  <si>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</si>
  <si>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</si>
  <si>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</si>
  <si>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</si>
  <si>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</si>
  <si>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</si>
  <si>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</si>
  <si>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</si>
  <si>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</si>
  <si>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</si>
  <si>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</si>
  <si>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</si>
  <si>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</si>
  <si>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</si>
  <si>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</si>
  <si>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</si>
  <si>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</si>
  <si>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</si>
  <si>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</si>
  <si>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</si>
  <si>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</si>
  <si>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</si>
  <si>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</si>
  <si>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</si>
  <si>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</si>
  <si>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</si>
  <si>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</si>
  <si>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</si>
  <si>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</si>
  <si>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</si>
  <si>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</si>
  <si>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</si>
  <si>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</si>
  <si>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</si>
  <si>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</si>
  <si>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</si>
  <si>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</si>
  <si>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</si>
  <si>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</si>
  <si>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</si>
  <si>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</si>
  <si>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</si>
  <si>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</si>
  <si>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</si>
  <si>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</si>
  <si>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</si>
  <si>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</si>
  <si>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</si>
  <si>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</si>
  <si>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</si>
  <si>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</si>
  <si>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</si>
  <si>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</si>
  <si>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</si>
  <si>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</si>
  <si>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</si>
  <si>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</si>
  <si>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</si>
  <si>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</si>
  <si>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</si>
  <si>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</si>
  <si>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</si>
  <si>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</si>
  <si>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</si>
  <si>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</si>
  <si>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</si>
  <si>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</si>
  <si>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</si>
  <si>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</si>
  <si>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</si>
  <si>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</si>
  <si>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</si>
  <si>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</si>
  <si>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</si>
  <si>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</si>
  <si>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</si>
  <si>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</si>
  <si>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</si>
  <si>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</si>
  <si>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</si>
  <si>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</si>
  <si>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</si>
  <si>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</si>
  <si>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</si>
  <si>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</si>
  <si>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</si>
  <si>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</si>
  <si>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</si>
  <si>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</si>
  <si>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</si>
  <si>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</si>
  <si>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</si>
  <si>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</si>
  <si>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</si>
  <si>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</si>
  <si>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</si>
  <si>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</si>
  <si>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</si>
  <si>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</si>
  <si>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</si>
  <si>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</si>
  <si>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</si>
  <si>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</si>
  <si>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</si>
  <si>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</si>
  <si>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</si>
  <si>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</si>
  <si>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</si>
  <si>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</si>
  <si>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</si>
  <si>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</si>
  <si>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</si>
  <si>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</si>
  <si>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</si>
  <si>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</si>
  <si>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</si>
  <si>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</si>
  <si>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</si>
  <si>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</si>
  <si>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</si>
  <si>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</si>
  <si>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</si>
  <si>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</si>
  <si>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</si>
  <si>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</si>
  <si>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</si>
  <si>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</si>
  <si>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</si>
  <si>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</si>
  <si>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</si>
  <si>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</si>
  <si>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</si>
  <si>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</si>
  <si>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</si>
  <si>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</si>
  <si>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</si>
  <si>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</si>
  <si>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</si>
  <si>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</si>
  <si>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</si>
  <si>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</si>
  <si>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</si>
  <si>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</si>
  <si>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</si>
  <si>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</si>
  <si>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</si>
  <si>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</si>
  <si>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</si>
  <si>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</si>
  <si>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</si>
  <si>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</si>
  <si>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</si>
  <si>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</si>
  <si>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</si>
  <si>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</si>
  <si>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</si>
  <si>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</si>
  <si>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</si>
  <si>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</si>
  <si>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</si>
  <si>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</si>
  <si>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</si>
  <si>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</si>
  <si>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</si>
  <si>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</si>
  <si>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</si>
  <si>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</si>
  <si>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</si>
  <si>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</si>
  <si>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</si>
  <si>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</si>
  <si>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</si>
  <si>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</si>
  <si>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</si>
  <si>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</si>
  <si>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</si>
  <si>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</si>
  <si>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</si>
  <si>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</si>
  <si>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</si>
  <si>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</si>
  <si>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</si>
  <si>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</si>
  <si>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</si>
  <si>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</si>
  <si>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</si>
  <si>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</si>
  <si>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</si>
  <si>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</si>
  <si>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</si>
  <si>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</si>
  <si>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</si>
  <si>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</si>
  <si>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</si>
  <si>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</si>
  <si>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</si>
  <si>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</si>
  <si>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</si>
  <si>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</si>
  <si>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</si>
  <si>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</si>
  <si>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</si>
  <si>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</si>
  <si>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</si>
  <si>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</si>
  <si>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</si>
  <si>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</si>
  <si>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</si>
  <si>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</si>
  <si>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</si>
  <si>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</si>
  <si>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</si>
  <si>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</si>
  <si>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</si>
  <si>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</si>
  <si>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</si>
  <si>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</si>
  <si>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</si>
  <si>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</si>
  <si>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</si>
  <si>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</si>
  <si>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</si>
  <si>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</si>
  <si>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</si>
  <si>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</si>
  <si>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</si>
  <si>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</si>
  <si>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</si>
  <si>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</si>
  <si>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</si>
  <si>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</si>
  <si>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</si>
  <si>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</si>
  <si>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</si>
  <si>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</si>
  <si>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</si>
  <si>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</si>
  <si>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</si>
  <si>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</si>
  <si>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</si>
  <si>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</si>
  <si>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</si>
  <si>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</si>
  <si>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</si>
  <si>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</si>
  <si>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</si>
  <si>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</si>
  <si>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</si>
  <si>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</si>
  <si>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</si>
  <si>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</si>
  <si>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</si>
  <si>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</si>
  <si>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</si>
  <si>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</si>
  <si>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</si>
  <si>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</si>
  <si>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</si>
  <si>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</si>
  <si>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</si>
  <si>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</si>
  <si>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</si>
  <si>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</si>
  <si>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</si>
  <si>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</si>
  <si>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</si>
  <si>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</si>
  <si>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</si>
  <si>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</si>
  <si>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</si>
  <si>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</si>
  <si>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</si>
  <si>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</si>
  <si>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</si>
  <si>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</si>
  <si>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</si>
  <si>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</si>
  <si>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</si>
  <si>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</si>
  <si>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</si>
  <si>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</si>
  <si>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</si>
  <si>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</si>
  <si>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</si>
  <si>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</si>
  <si>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</si>
  <si>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</si>
  <si>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</si>
  <si>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</si>
  <si>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</si>
  <si>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</si>
  <si>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</si>
  <si>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</si>
  <si>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</si>
  <si>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</si>
  <si>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</si>
  <si>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</si>
  <si>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</si>
  <si>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</si>
  <si>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</si>
  <si>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</si>
  <si>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</si>
  <si>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</si>
  <si>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</si>
  <si>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</si>
  <si>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</si>
  <si>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</si>
  <si>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</si>
  <si>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</si>
  <si>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</si>
  <si>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</si>
  <si>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</si>
  <si>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</si>
  <si>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</si>
  <si>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</si>
  <si>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</si>
  <si>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</si>
  <si>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</si>
  <si>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</si>
  <si>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</si>
  <si>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</si>
  <si>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</si>
  <si>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</si>
  <si>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</si>
  <si>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</si>
  <si>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</si>
  <si>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</si>
  <si>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</si>
  <si>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</si>
  <si>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</si>
  <si>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</si>
  <si>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</si>
  <si>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</si>
  <si>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</si>
  <si>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</si>
  <si>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</si>
  <si>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</si>
  <si>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</si>
  <si>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</si>
  <si>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</si>
  <si>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</si>
  <si>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</si>
  <si>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</si>
  <si>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</si>
  <si>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</si>
  <si>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</si>
  <si>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</si>
  <si>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</si>
  <si>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</si>
  <si>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</si>
  <si>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</si>
  <si>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</si>
  <si>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</si>
  <si>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</si>
  <si>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</si>
  <si>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</si>
  <si>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</si>
  <si>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</si>
  <si>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</si>
  <si>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</si>
  <si>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</si>
  <si>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</si>
  <si>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</si>
  <si>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</si>
  <si>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</si>
  <si>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</si>
  <si>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</si>
  <si>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</si>
  <si>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</si>
  <si>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</si>
  <si>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</si>
  <si>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</si>
  <si>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</si>
  <si>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</si>
  <si>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</si>
  <si>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</si>
  <si>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</si>
  <si>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</si>
  <si>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</si>
  <si>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</si>
  <si>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</si>
  <si>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</si>
  <si>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</si>
  <si>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</si>
  <si>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</si>
  <si>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</si>
  <si>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</si>
  <si>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</si>
  <si>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</si>
  <si>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</si>
  <si>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</si>
  <si>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</si>
  <si>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</si>
  <si>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</si>
  <si>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</si>
  <si>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</si>
  <si>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</si>
  <si>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</si>
  <si>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</si>
  <si>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</si>
  <si>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</si>
  <si>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</si>
  <si>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</si>
  <si>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</si>
  <si>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</si>
  <si>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</si>
  <si>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</si>
  <si>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</si>
  <si>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</si>
  <si>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</si>
  <si>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</si>
  <si>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</si>
  <si>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</si>
  <si>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</si>
  <si>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</si>
  <si>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</si>
  <si>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</si>
  <si>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</si>
  <si>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</si>
  <si>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</si>
  <si>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</si>
  <si>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</si>
  <si>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</si>
  <si>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</si>
  <si>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</si>
  <si>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</si>
  <si>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</si>
  <si>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</si>
  <si>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</si>
  <si>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</si>
  <si>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</si>
  <si>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</si>
  <si>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</si>
  <si>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</si>
  <si>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</si>
  <si>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</si>
  <si>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</si>
  <si>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</si>
  <si>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</si>
  <si>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</si>
  <si>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</si>
  <si>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</si>
  <si>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</si>
  <si>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</si>
  <si>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</si>
  <si>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</si>
  <si>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</si>
  <si>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</si>
  <si>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</si>
  <si>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</si>
  <si>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</si>
  <si>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</si>
  <si>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</si>
  <si>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</si>
  <si>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</si>
  <si>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</si>
  <si>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</si>
  <si>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</si>
  <si>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</si>
  <si>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</si>
  <si>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</si>
  <si>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</si>
  <si>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</si>
  <si>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</si>
  <si>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</si>
  <si>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</si>
  <si>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</si>
  <si>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</si>
  <si>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</si>
  <si>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</si>
  <si>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</si>
  <si>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</si>
  <si>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</si>
  <si>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</si>
  <si>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</si>
  <si>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</si>
  <si>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</si>
  <si>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</si>
  <si>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</si>
  <si>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</si>
  <si>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</si>
  <si>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</si>
  <si>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</si>
  <si>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</si>
  <si>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</si>
  <si>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</si>
  <si>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</si>
  <si>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</si>
  <si>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</si>
  <si>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</si>
  <si>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</si>
  <si>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</si>
  <si>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</si>
  <si>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</si>
  <si>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</si>
  <si>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</si>
  <si>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</si>
  <si>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</si>
  <si>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</si>
  <si>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</si>
  <si>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</si>
  <si>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</si>
  <si>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</si>
  <si>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</si>
  <si>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</si>
  <si>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</si>
  <si>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</si>
  <si>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</si>
  <si>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</si>
  <si>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</si>
  <si>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</si>
  <si>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</si>
  <si>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</si>
  <si>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</si>
  <si>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</si>
  <si>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</si>
  <si>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</si>
  <si>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</si>
  <si>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</si>
  <si>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</si>
  <si>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</si>
  <si>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</si>
  <si>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</si>
  <si>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</si>
  <si>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</si>
  <si>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</si>
  <si>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</si>
  <si>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</si>
  <si>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</si>
  <si>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</si>
  <si>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</si>
  <si>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</si>
  <si>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</si>
  <si>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</si>
  <si>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</si>
  <si>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</si>
  <si>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</si>
  <si>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</si>
  <si>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</si>
  <si>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</si>
  <si>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</si>
  <si>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</si>
  <si>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</si>
  <si>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</si>
  <si>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</si>
  <si>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</si>
  <si>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</si>
  <si>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</si>
  <si>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</si>
  <si>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</si>
  <si>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</si>
  <si>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</si>
  <si>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</si>
  <si>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</si>
  <si>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</si>
  <si>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</si>
  <si>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</si>
  <si>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</si>
  <si>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</si>
  <si>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</si>
  <si>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</si>
  <si>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</si>
  <si>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</si>
  <si>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</si>
  <si>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</si>
  <si>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</si>
  <si>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</si>
  <si>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</si>
  <si>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</si>
  <si>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</si>
  <si>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</si>
  <si>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</si>
  <si>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</si>
  <si>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</si>
  <si>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</si>
  <si>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</si>
  <si>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</si>
  <si>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</si>
  <si>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</si>
  <si>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</si>
  <si>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</si>
  <si>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</si>
  <si>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</si>
  <si>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</si>
  <si>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</si>
  <si>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</si>
  <si>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</si>
  <si>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</si>
  <si>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</si>
  <si>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</si>
  <si>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</si>
  <si>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</si>
  <si>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</si>
  <si>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</si>
  <si>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</si>
  <si>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</si>
  <si>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</si>
  <si>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</si>
  <si>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</si>
  <si>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</si>
  <si>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</si>
  <si>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</si>
  <si>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</si>
  <si>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</si>
  <si>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</si>
  <si>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</si>
  <si>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</si>
  <si>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</si>
  <si>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</si>
  <si>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</si>
  <si>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</si>
  <si>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</si>
  <si>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</si>
  <si>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</si>
  <si>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</si>
  <si>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</si>
  <si>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</si>
  <si>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</si>
  <si>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</si>
  <si>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</si>
  <si>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</si>
  <si>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</si>
  <si>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</si>
  <si>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</si>
  <si>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</si>
  <si>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</si>
  <si>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</si>
  <si>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</si>
  <si>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</si>
  <si>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</si>
  <si>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</si>
  <si>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</si>
  <si>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</si>
  <si>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</si>
  <si>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</si>
  <si>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</si>
  <si>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</si>
  <si>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</si>
  <si>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</si>
  <si>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</si>
  <si>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</si>
  <si>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</si>
  <si>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</si>
  <si>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</si>
  <si>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</si>
  <si>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</si>
  <si>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</si>
  <si>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</si>
  <si>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</si>
  <si>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</si>
  <si>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</si>
  <si>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</si>
  <si>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</si>
  <si>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</si>
  <si>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</si>
  <si>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</si>
  <si>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</si>
  <si>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</si>
  <si>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</si>
  <si>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</si>
  <si>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</si>
  <si>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</si>
  <si>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</si>
  <si>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</si>
  <si>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</si>
  <si>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</si>
  <si>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</si>
  <si>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</si>
  <si>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</si>
  <si>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</si>
  <si>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</si>
  <si>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</si>
  <si>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</si>
  <si>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</si>
  <si>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</si>
  <si>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</si>
  <si>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</si>
  <si>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</si>
  <si>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</si>
  <si>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</si>
  <si>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</si>
  <si>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</si>
  <si>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</si>
  <si>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</si>
  <si>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</si>
  <si>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</si>
  <si>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</si>
  <si>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</si>
  <si>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</si>
  <si>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</si>
  <si>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</si>
  <si>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</si>
  <si>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</si>
  <si>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</si>
  <si>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</si>
  <si>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</si>
  <si>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</si>
  <si>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</si>
  <si>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</si>
  <si>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</si>
  <si>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</si>
  <si>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</si>
  <si>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</si>
  <si>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</si>
  <si>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</si>
  <si>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</si>
  <si>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</si>
  <si>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</si>
  <si>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</si>
  <si>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</si>
  <si>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</si>
  <si>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</si>
  <si>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</si>
  <si>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</si>
  <si>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</si>
  <si>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</si>
  <si>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</si>
  <si>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</si>
  <si>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</si>
  <si>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</si>
  <si>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</si>
  <si>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</si>
  <si>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</si>
  <si>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</si>
  <si>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</si>
  <si>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</si>
  <si>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</si>
  <si>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</si>
  <si>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</si>
  <si>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</si>
  <si>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</si>
  <si>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</si>
  <si>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</si>
  <si>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</si>
  <si>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</si>
  <si>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</si>
  <si>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</si>
  <si>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</si>
  <si>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</si>
  <si>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</si>
  <si>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</si>
  <si>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</si>
  <si>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</si>
  <si>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</si>
  <si>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</si>
  <si>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</si>
  <si>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</si>
  <si>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</si>
  <si>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</si>
  <si>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</si>
  <si>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</si>
  <si>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</si>
  <si>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</si>
  <si>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</si>
  <si>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</si>
  <si>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</si>
  <si>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</si>
  <si>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</si>
  <si>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</si>
  <si>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</si>
  <si>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</si>
  <si>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</si>
  <si>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</si>
  <si>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</si>
  <si>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</si>
  <si>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</si>
  <si>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</si>
  <si>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</si>
  <si>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</si>
  <si>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</si>
  <si>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</si>
  <si>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</si>
  <si>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</si>
  <si>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</si>
  <si>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</si>
  <si>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</si>
  <si>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</si>
  <si>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</si>
  <si>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</si>
  <si>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</si>
  <si>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</si>
  <si>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</si>
  <si>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</si>
  <si>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</si>
  <si>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</si>
  <si>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</si>
  <si>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</si>
  <si>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</si>
  <si>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</si>
  <si>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</si>
  <si>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</si>
  <si>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</si>
  <si>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</si>
  <si>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</si>
  <si>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</si>
  <si>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</si>
  <si>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</si>
  <si>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</si>
  <si>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</si>
  <si>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</si>
  <si>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</si>
  <si>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</si>
  <si>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</si>
  <si>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</si>
  <si>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</si>
  <si>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</si>
  <si>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</si>
  <si>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</si>
  <si>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</si>
  <si>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</si>
  <si>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</si>
  <si>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</si>
  <si>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</si>
  <si>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</si>
  <si>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</si>
  <si>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</si>
  <si>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</si>
  <si>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</si>
  <si>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</si>
  <si>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</si>
  <si>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</si>
  <si>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</si>
  <si>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</si>
  <si>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</si>
  <si>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</si>
  <si>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</si>
  <si>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</si>
  <si>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</si>
  <si>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</si>
  <si>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</si>
  <si>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</si>
  <si>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</si>
  <si>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</si>
  <si>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</si>
  <si>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</si>
  <si>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</si>
  <si>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</si>
  <si>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</si>
  <si>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</si>
  <si>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</si>
  <si>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</si>
  <si>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</si>
  <si>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</si>
  <si>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</si>
  <si>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</si>
  <si>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</si>
  <si>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</si>
  <si>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</si>
  <si>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</si>
  <si>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</si>
  <si>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</si>
  <si>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</si>
  <si>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</si>
  <si>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</si>
  <si>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</si>
  <si>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</si>
  <si>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</si>
  <si>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</si>
  <si>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</si>
  <si>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</si>
  <si>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</si>
  <si>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</si>
  <si>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</si>
  <si>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</si>
  <si>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</si>
  <si>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</si>
  <si>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</si>
  <si>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</si>
  <si>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</si>
  <si>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</si>
  <si>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</si>
  <si>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</si>
  <si>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</si>
  <si>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</si>
  <si>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</si>
  <si>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</si>
  <si>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</si>
  <si>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</si>
  <si>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</si>
  <si>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</si>
  <si>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</si>
  <si>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</si>
  <si>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</si>
  <si>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</si>
  <si>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</si>
  <si>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</si>
  <si>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</si>
  <si>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</si>
  <si>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</si>
  <si>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</si>
  <si>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</si>
  <si>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</si>
  <si>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</si>
  <si>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</si>
  <si>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</si>
  <si>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</si>
  <si>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</si>
  <si>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</si>
  <si>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</si>
  <si>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</si>
  <si>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</si>
  <si>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</si>
  <si>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</si>
  <si>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</si>
  <si>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</si>
  <si>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</si>
  <si>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</si>
  <si>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</si>
  <si>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</si>
  <si>
    <t>didn’t make it</t>
  </si>
  <si>
    <t>made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</si>
</sst>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29"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0"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1"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2" fillId="0" borderId="0" applyFont="0" applyFill="0" applyBorder="0" applyAlignment="0" applyProtection="0">
      <alignment horizontal="right"/>
    </xf>
    <xf numFmtId="180" fontId="10" fillId="0" borderId="0" applyFont="0" applyFill="0" applyBorder="0" applyAlignment="0" applyProtection="0">
      <alignment horizontal="right"/>
    </xf>
    <xf numFmtId="37" fontId="33" fillId="0" borderId="0"/>
    <xf numFmtId="186" fontId="34" fillId="0" borderId="0"/>
    <xf numFmtId="0" fontId="26"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2"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9"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6"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1" fillId="0" borderId="0" applyNumberFormat="0" applyFill="0" applyBorder="0" applyAlignment="0" applyProtection="0">
      <alignment vertical="top"/>
      <protection locked="0"/>
    </xf>
    <xf numFmtId="0" fontId="2" fillId="0" borderId="0"/>
  </cellStyleXfs>
  <cellXfs count="3427">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3"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5" fillId="0" borderId="0" xfId="28" applyFont="1" applyBorder="1"/>
    <xf numFmtId="0" fontId="27" fillId="0" borderId="0" xfId="28" applyFont="1"/>
    <xf numFmtId="0" fontId="27" fillId="0" borderId="0" xfId="28" applyFont="1" applyBorder="1"/>
    <xf numFmtId="44" fontId="27" fillId="0" borderId="0" xfId="8" applyFont="1" applyBorder="1"/>
    <xf numFmtId="44" fontId="27" fillId="0" borderId="0" xfId="8" applyFont="1"/>
    <xf numFmtId="0" fontId="27" fillId="0" borderId="0" xfId="26" applyFont="1"/>
    <xf numFmtId="0" fontId="22" fillId="0" borderId="0" xfId="0" applyFont="1" applyBorder="1" applyAlignment="1">
      <alignment horizontal="left"/>
    </xf>
    <xf numFmtId="0" fontId="22" fillId="0" borderId="0" xfId="0" applyFont="1" applyBorder="1" applyAlignment="1">
      <alignment horizontal="right"/>
    </xf>
    <xf numFmtId="0" fontId="37" fillId="0" borderId="0" xfId="0" applyFont="1" applyAlignment="1">
      <alignment horizontal="right"/>
    </xf>
    <xf numFmtId="0" fontId="37" fillId="0" borderId="0" xfId="0" applyFont="1"/>
    <xf numFmtId="0" fontId="0" fillId="0" borderId="0" xfId="0" applyFill="1"/>
    <xf numFmtId="0" fontId="38" fillId="0" borderId="0" xfId="0" applyFont="1"/>
    <xf numFmtId="176" fontId="20" fillId="0" borderId="0" xfId="28" applyNumberFormat="1" applyFont="1" applyBorder="1" applyAlignment="1"/>
    <xf numFmtId="0" fontId="35" fillId="0" borderId="0" xfId="0" applyFont="1" applyBorder="1" applyAlignment="1">
      <alignment horizontal="center" wrapText="1"/>
    </xf>
    <xf numFmtId="44" fontId="39" fillId="0" borderId="0" xfId="6" applyFont="1" applyAlignment="1">
      <alignment horizontal="center" wrapText="1"/>
    </xf>
    <xf numFmtId="44" fontId="40"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6" fillId="0" borderId="0" xfId="40" applyFont="1" applyBorder="1" applyAlignment="1">
      <alignment wrapText="1"/>
    </xf>
    <xf numFmtId="0" fontId="10" fillId="0" borderId="0" xfId="40"/>
    <xf numFmtId="0" fontId="23"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39"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7"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7"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1" fillId="0" borderId="0" xfId="40" applyFont="1" applyFill="1" applyBorder="1"/>
    <xf numFmtId="0" fontId="21" fillId="0" borderId="0" xfId="40" applyFont="1" applyFill="1" applyBorder="1" applyAlignment="1">
      <alignment horizontal="right"/>
    </xf>
    <xf numFmtId="7" fontId="10" fillId="0" borderId="0" xfId="40" applyNumberFormat="1" applyFont="1" applyFill="1" applyBorder="1"/>
    <xf numFmtId="0" fontId="21" fillId="0" borderId="0" xfId="40" applyFont="1" applyFill="1" applyBorder="1" applyAlignment="1">
      <alignment horizontal="left"/>
    </xf>
    <xf numFmtId="0" fontId="42" fillId="0" borderId="0" xfId="40" applyFont="1" applyBorder="1"/>
    <xf numFmtId="0" fontId="42" fillId="0" borderId="0" xfId="40" applyFont="1" applyFill="1" applyBorder="1"/>
    <xf numFmtId="0" fontId="42" fillId="0" borderId="0" xfId="40" applyFont="1" applyFill="1" applyBorder="1" applyAlignment="1">
      <alignment horizontal="right"/>
    </xf>
    <xf numFmtId="5" fontId="42" fillId="0" borderId="0" xfId="40" applyNumberFormat="1" applyFont="1" applyFill="1" applyBorder="1" applyProtection="1"/>
    <xf numFmtId="0" fontId="42"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8" fillId="0" borderId="0" xfId="0" applyFont="1"/>
    <xf numFmtId="0" fontId="48" fillId="0" borderId="0" xfId="0" applyFont="1" applyBorder="1"/>
    <xf numFmtId="0" fontId="46" fillId="0" borderId="0" xfId="0" applyFont="1"/>
    <xf numFmtId="0" fontId="51" fillId="0" borderId="0" xfId="0" applyFont="1" applyAlignment="1">
      <alignment horizontal="right"/>
    </xf>
    <xf numFmtId="0" fontId="46" fillId="0" borderId="0" xfId="0" applyFont="1" applyProtection="1">
      <protection locked="0"/>
    </xf>
    <xf numFmtId="0" fontId="46" fillId="0" borderId="0" xfId="0" applyFont="1" applyBorder="1"/>
    <xf numFmtId="0" fontId="51" fillId="0" borderId="0" xfId="0" applyFont="1" applyBorder="1" applyAlignment="1">
      <alignment horizontal="right"/>
    </xf>
    <xf numFmtId="0" fontId="46" fillId="0" borderId="0" xfId="0" applyFont="1" applyBorder="1" applyProtection="1">
      <protection locked="0"/>
    </xf>
    <xf numFmtId="0" fontId="46" fillId="0" borderId="4" xfId="0" applyFont="1" applyBorder="1"/>
    <xf numFmtId="0" fontId="46" fillId="0" borderId="0" xfId="0" applyFont="1" applyAlignment="1">
      <alignment horizontal="right"/>
    </xf>
    <xf numFmtId="165" fontId="46" fillId="0" borderId="0" xfId="4" applyNumberFormat="1" applyFont="1"/>
    <xf numFmtId="0" fontId="46" fillId="0" borderId="21" xfId="0" applyFont="1" applyBorder="1"/>
    <xf numFmtId="0" fontId="49" fillId="0" borderId="0" xfId="0" applyFont="1"/>
    <xf numFmtId="164" fontId="46" fillId="0" borderId="0" xfId="4" applyNumberFormat="1" applyFont="1"/>
    <xf numFmtId="0" fontId="51" fillId="0" borderId="0" xfId="0" applyFont="1"/>
    <xf numFmtId="0" fontId="46" fillId="0" borderId="0" xfId="0" applyFont="1" applyAlignment="1" applyProtection="1">
      <alignment vertical="top" wrapText="1"/>
      <protection locked="0"/>
    </xf>
    <xf numFmtId="0" fontId="56" fillId="0" borderId="0" xfId="0" applyFont="1"/>
    <xf numFmtId="0" fontId="57" fillId="0" borderId="0" xfId="0" applyFont="1"/>
    <xf numFmtId="0" fontId="49" fillId="0" borderId="4" xfId="0" applyFont="1" applyBorder="1" applyAlignment="1">
      <alignment horizontal="center" wrapText="1"/>
    </xf>
    <xf numFmtId="176" fontId="46" fillId="0" borderId="0" xfId="6" applyNumberFormat="1" applyFont="1" applyFill="1" applyBorder="1" applyAlignment="1">
      <alignment horizontal="center" vertical="top"/>
    </xf>
    <xf numFmtId="0" fontId="46" fillId="0" borderId="0" xfId="0" applyFont="1" applyFill="1" applyBorder="1"/>
    <xf numFmtId="0" fontId="46" fillId="0" borderId="0" xfId="0" applyFont="1" applyFill="1" applyBorder="1" applyAlignment="1">
      <alignment vertical="top" wrapText="1"/>
    </xf>
    <xf numFmtId="0" fontId="46" fillId="0" borderId="4" xfId="0" applyFont="1" applyFill="1" applyBorder="1"/>
    <xf numFmtId="0" fontId="56" fillId="0" borderId="0" xfId="0" applyFont="1" applyAlignment="1">
      <alignment horizontal="right"/>
    </xf>
    <xf numFmtId="0" fontId="60" fillId="0" borderId="0" xfId="28" applyFont="1"/>
    <xf numFmtId="44" fontId="60" fillId="0" borderId="0" xfId="8" applyFont="1"/>
    <xf numFmtId="0" fontId="46" fillId="0" borderId="0" xfId="0" applyNumberFormat="1" applyFont="1" applyBorder="1" applyAlignment="1" applyProtection="1">
      <alignment horizontal="center"/>
      <protection locked="0"/>
    </xf>
    <xf numFmtId="3" fontId="46" fillId="0" borderId="0" xfId="0" applyNumberFormat="1" applyFont="1" applyBorder="1" applyProtection="1">
      <protection locked="0"/>
    </xf>
    <xf numFmtId="173" fontId="46" fillId="0" borderId="0" xfId="6" applyNumberFormat="1" applyFont="1" applyBorder="1" applyProtection="1">
      <protection locked="0"/>
    </xf>
    <xf numFmtId="3" fontId="46" fillId="0" borderId="0" xfId="0" applyNumberFormat="1" applyFont="1" applyBorder="1"/>
    <xf numFmtId="177" fontId="46" fillId="0" borderId="0" xfId="29" applyNumberFormat="1" applyFont="1"/>
    <xf numFmtId="0" fontId="57" fillId="0" borderId="0" xfId="0" applyFont="1" applyBorder="1"/>
    <xf numFmtId="0" fontId="55" fillId="0" borderId="0" xfId="0" applyFont="1" applyAlignment="1" applyProtection="1">
      <alignment horizontal="center"/>
      <protection locked="0"/>
    </xf>
    <xf numFmtId="0" fontId="58" fillId="0" borderId="0" xfId="0" applyFont="1"/>
    <xf numFmtId="0" fontId="51" fillId="0" borderId="0" xfId="0" applyFont="1" applyAlignment="1">
      <alignment horizontal="center"/>
    </xf>
    <xf numFmtId="0" fontId="46" fillId="0" borderId="0" xfId="0" applyFont="1" applyAlignment="1">
      <alignment horizontal="center"/>
    </xf>
    <xf numFmtId="0" fontId="46" fillId="0" borderId="0" xfId="0" applyFont="1" applyBorder="1" applyAlignment="1">
      <alignment horizontal="left"/>
    </xf>
    <xf numFmtId="0" fontId="46" fillId="0" borderId="0" xfId="0" applyFont="1" applyBorder="1" applyAlignment="1">
      <alignment horizontal="center"/>
    </xf>
    <xf numFmtId="165" fontId="46" fillId="0" borderId="0" xfId="0" applyNumberFormat="1" applyFont="1"/>
    <xf numFmtId="43" fontId="46" fillId="0" borderId="0" xfId="4" applyFont="1"/>
    <xf numFmtId="9" fontId="46" fillId="0" borderId="0" xfId="29" applyFont="1"/>
    <xf numFmtId="0" fontId="46" fillId="0" borderId="5" xfId="0" applyFont="1" applyFill="1" applyBorder="1"/>
    <xf numFmtId="0" fontId="46" fillId="0" borderId="13" xfId="0" applyFont="1" applyBorder="1"/>
    <xf numFmtId="0" fontId="51" fillId="0" borderId="5" xfId="0" applyFont="1" applyBorder="1"/>
    <xf numFmtId="0" fontId="46" fillId="0" borderId="5" xfId="0" applyFont="1" applyBorder="1" applyAlignment="1">
      <alignment horizontal="center"/>
    </xf>
    <xf numFmtId="0" fontId="46" fillId="0" borderId="8" xfId="0" applyFont="1" applyBorder="1"/>
    <xf numFmtId="0" fontId="46" fillId="0" borderId="5" xfId="0" applyFont="1" applyBorder="1"/>
    <xf numFmtId="0" fontId="46" fillId="0" borderId="14" xfId="0" applyFont="1" applyBorder="1"/>
    <xf numFmtId="0" fontId="46" fillId="0" borderId="17" xfId="0" applyFont="1" applyBorder="1"/>
    <xf numFmtId="0" fontId="46" fillId="6" borderId="20" xfId="0" applyFont="1" applyFill="1" applyBorder="1"/>
    <xf numFmtId="0" fontId="46" fillId="6" borderId="12" xfId="0" applyFont="1" applyFill="1" applyBorder="1"/>
    <xf numFmtId="165" fontId="46" fillId="0" borderId="5" xfId="4" applyNumberFormat="1" applyFont="1" applyBorder="1"/>
    <xf numFmtId="0" fontId="48" fillId="0" borderId="14" xfId="0" applyFont="1" applyBorder="1"/>
    <xf numFmtId="0" fontId="49" fillId="0" borderId="0" xfId="0" applyFont="1" applyBorder="1"/>
    <xf numFmtId="0" fontId="52" fillId="3" borderId="0" xfId="0" applyFont="1" applyFill="1"/>
    <xf numFmtId="0" fontId="46" fillId="0" borderId="9" xfId="0" applyFont="1" applyBorder="1"/>
    <xf numFmtId="0" fontId="59" fillId="0" borderId="10" xfId="0" applyFont="1" applyBorder="1" applyAlignment="1">
      <alignment horizontal="center"/>
    </xf>
    <xf numFmtId="0" fontId="59" fillId="0" borderId="10" xfId="0" applyFont="1" applyBorder="1" applyAlignment="1">
      <alignment horizontal="left"/>
    </xf>
    <xf numFmtId="0" fontId="59" fillId="0" borderId="10" xfId="0" applyFont="1" applyBorder="1" applyAlignment="1">
      <alignment horizontal="centerContinuous"/>
    </xf>
    <xf numFmtId="0" fontId="51" fillId="0" borderId="11" xfId="0" applyFont="1" applyBorder="1"/>
    <xf numFmtId="0" fontId="46" fillId="0" borderId="12" xfId="0" applyFont="1" applyBorder="1"/>
    <xf numFmtId="0" fontId="46" fillId="0" borderId="8" xfId="0" applyFont="1" applyBorder="1" applyAlignment="1"/>
    <xf numFmtId="0" fontId="46" fillId="0" borderId="13" xfId="0" applyFont="1" applyBorder="1" applyAlignment="1"/>
    <xf numFmtId="0" fontId="59" fillId="0" borderId="15" xfId="0" applyFont="1" applyBorder="1"/>
    <xf numFmtId="0" fontId="59" fillId="0" borderId="16" xfId="0" applyFont="1" applyBorder="1" applyAlignment="1">
      <alignment horizontal="center"/>
    </xf>
    <xf numFmtId="0" fontId="59" fillId="0" borderId="16" xfId="0" applyFont="1" applyBorder="1" applyAlignment="1">
      <alignment horizontal="centerContinuous"/>
    </xf>
    <xf numFmtId="0" fontId="59" fillId="0" borderId="14" xfId="0" applyFont="1" applyBorder="1" applyAlignment="1">
      <alignment horizontal="center"/>
    </xf>
    <xf numFmtId="0" fontId="59" fillId="0" borderId="17" xfId="0" applyFont="1" applyBorder="1"/>
    <xf numFmtId="0" fontId="59" fillId="0" borderId="18" xfId="0" applyFont="1" applyBorder="1"/>
    <xf numFmtId="0" fontId="59" fillId="0" borderId="19" xfId="0" applyFont="1" applyBorder="1" applyAlignment="1">
      <alignment horizontal="center"/>
    </xf>
    <xf numFmtId="0" fontId="59" fillId="0" borderId="19" xfId="0" applyFont="1" applyBorder="1" applyAlignment="1">
      <alignment horizontal="centerContinuous"/>
    </xf>
    <xf numFmtId="0" fontId="59" fillId="0" borderId="17" xfId="0" applyFont="1" applyBorder="1" applyAlignment="1">
      <alignment horizontal="center"/>
    </xf>
    <xf numFmtId="0" fontId="59" fillId="0" borderId="4" xfId="0" applyFont="1" applyBorder="1" applyAlignment="1">
      <alignment horizontal="center"/>
    </xf>
    <xf numFmtId="0" fontId="59" fillId="0" borderId="4" xfId="0" applyFont="1" applyBorder="1"/>
    <xf numFmtId="0" fontId="59" fillId="0" borderId="18" xfId="0" applyFont="1" applyBorder="1" applyAlignment="1">
      <alignment horizontal="center"/>
    </xf>
    <xf numFmtId="0" fontId="46" fillId="0" borderId="8" xfId="0" applyFont="1" applyBorder="1" applyAlignment="1">
      <alignment horizontal="center"/>
    </xf>
    <xf numFmtId="164" fontId="51" fillId="0" borderId="13" xfId="4" applyNumberFormat="1" applyFont="1" applyBorder="1"/>
    <xf numFmtId="164" fontId="46" fillId="0" borderId="13" xfId="4" applyNumberFormat="1" applyFont="1" applyBorder="1"/>
    <xf numFmtId="169" fontId="46" fillId="0" borderId="13" xfId="0" applyNumberFormat="1" applyFont="1" applyBorder="1"/>
    <xf numFmtId="169" fontId="46" fillId="0" borderId="9" xfId="0" applyNumberFormat="1" applyFont="1" applyBorder="1"/>
    <xf numFmtId="0" fontId="46" fillId="0" borderId="14" xfId="0" applyFont="1" applyBorder="1" applyAlignment="1">
      <alignment horizontal="center"/>
    </xf>
    <xf numFmtId="164" fontId="51" fillId="0" borderId="0" xfId="4" applyNumberFormat="1" applyFont="1" applyBorder="1"/>
    <xf numFmtId="164" fontId="46" fillId="0" borderId="0" xfId="4" applyNumberFormat="1" applyFont="1" applyBorder="1"/>
    <xf numFmtId="0" fontId="55" fillId="0" borderId="0" xfId="0" applyFont="1" applyBorder="1" applyAlignment="1" applyProtection="1">
      <alignment horizontal="center"/>
      <protection locked="0"/>
    </xf>
    <xf numFmtId="18" fontId="55" fillId="0" borderId="0" xfId="0" applyNumberFormat="1" applyFont="1" applyBorder="1" applyProtection="1">
      <protection locked="0"/>
    </xf>
    <xf numFmtId="169" fontId="46" fillId="0" borderId="0" xfId="0" applyNumberFormat="1" applyFont="1" applyBorder="1"/>
    <xf numFmtId="169" fontId="46" fillId="0" borderId="15" xfId="0" applyNumberFormat="1" applyFont="1" applyBorder="1"/>
    <xf numFmtId="0" fontId="46" fillId="0" borderId="17" xfId="0" applyFont="1" applyBorder="1" applyAlignment="1">
      <alignment horizontal="center"/>
    </xf>
    <xf numFmtId="164" fontId="51" fillId="0" borderId="4" xfId="4" applyNumberFormat="1" applyFont="1" applyBorder="1"/>
    <xf numFmtId="164" fontId="46" fillId="0" borderId="4" xfId="4" applyNumberFormat="1" applyFont="1" applyBorder="1"/>
    <xf numFmtId="169" fontId="46" fillId="0" borderId="4" xfId="0" applyNumberFormat="1" applyFont="1" applyBorder="1"/>
    <xf numFmtId="169" fontId="46" fillId="0" borderId="18" xfId="0" applyNumberFormat="1" applyFont="1" applyBorder="1"/>
    <xf numFmtId="164" fontId="55" fillId="0" borderId="0" xfId="4" applyNumberFormat="1" applyFont="1"/>
    <xf numFmtId="18" fontId="46" fillId="0" borderId="0" xfId="0" applyNumberFormat="1" applyFont="1" applyBorder="1"/>
    <xf numFmtId="0" fontId="46" fillId="0" borderId="0" xfId="4" applyNumberFormat="1" applyFont="1" applyBorder="1" applyAlignment="1">
      <alignment horizontal="center"/>
    </xf>
    <xf numFmtId="168" fontId="55" fillId="0" borderId="0" xfId="0" applyNumberFormat="1" applyFont="1" applyBorder="1"/>
    <xf numFmtId="0" fontId="51" fillId="0" borderId="8" xfId="0" applyFont="1" applyBorder="1"/>
    <xf numFmtId="164" fontId="52" fillId="0" borderId="13" xfId="4" applyNumberFormat="1" applyFont="1" applyBorder="1"/>
    <xf numFmtId="164" fontId="55" fillId="0" borderId="13" xfId="4" applyNumberFormat="1" applyFont="1" applyBorder="1"/>
    <xf numFmtId="9" fontId="46" fillId="0" borderId="9" xfId="29" applyFont="1" applyBorder="1"/>
    <xf numFmtId="164" fontId="52" fillId="0" borderId="0" xfId="4" applyNumberFormat="1" applyFont="1" applyBorder="1"/>
    <xf numFmtId="164" fontId="55" fillId="0" borderId="0" xfId="4" applyNumberFormat="1" applyFont="1" applyBorder="1"/>
    <xf numFmtId="9" fontId="46" fillId="0" borderId="15" xfId="29" applyFont="1" applyBorder="1"/>
    <xf numFmtId="0" fontId="51" fillId="0" borderId="0" xfId="0" applyFont="1" applyBorder="1"/>
    <xf numFmtId="0" fontId="46" fillId="0" borderId="18" xfId="0" applyFont="1" applyBorder="1"/>
    <xf numFmtId="0" fontId="69" fillId="10" borderId="10" xfId="0" applyFont="1" applyFill="1" applyBorder="1" applyAlignment="1">
      <alignment horizontal="center" wrapText="1"/>
    </xf>
    <xf numFmtId="166" fontId="46" fillId="3" borderId="5" xfId="0" applyNumberFormat="1" applyFont="1" applyFill="1" applyBorder="1" applyAlignment="1">
      <alignment horizontal="center"/>
    </xf>
    <xf numFmtId="0" fontId="50" fillId="0" borderId="0" xfId="0" applyFont="1"/>
    <xf numFmtId="9" fontId="46" fillId="0" borderId="13" xfId="29" applyFont="1" applyBorder="1" applyProtection="1">
      <protection locked="0"/>
    </xf>
    <xf numFmtId="0" fontId="46" fillId="0" borderId="13" xfId="0" applyFont="1" applyBorder="1" applyAlignment="1" applyProtection="1">
      <alignment horizontal="center"/>
      <protection locked="0"/>
    </xf>
    <xf numFmtId="18" fontId="46" fillId="0" borderId="13" xfId="0" applyNumberFormat="1" applyFont="1" applyBorder="1" applyProtection="1">
      <protection locked="0"/>
    </xf>
    <xf numFmtId="0" fontId="46" fillId="0" borderId="13" xfId="4" applyNumberFormat="1" applyFont="1" applyBorder="1" applyAlignment="1" applyProtection="1">
      <alignment horizontal="center"/>
      <protection locked="0"/>
    </xf>
    <xf numFmtId="9" fontId="46" fillId="0" borderId="0" xfId="29" applyFont="1" applyBorder="1" applyProtection="1">
      <protection locked="0"/>
    </xf>
    <xf numFmtId="0" fontId="46" fillId="0" borderId="0" xfId="0" applyFont="1" applyBorder="1" applyAlignment="1" applyProtection="1">
      <alignment horizontal="center"/>
      <protection locked="0"/>
    </xf>
    <xf numFmtId="18" fontId="46" fillId="0" borderId="0" xfId="0" applyNumberFormat="1" applyFont="1" applyBorder="1" applyProtection="1">
      <protection locked="0"/>
    </xf>
    <xf numFmtId="0" fontId="46" fillId="0" borderId="0" xfId="4" applyNumberFormat="1" applyFont="1" applyBorder="1" applyAlignment="1" applyProtection="1">
      <alignment horizontal="center"/>
      <protection locked="0"/>
    </xf>
    <xf numFmtId="9" fontId="46" fillId="0" borderId="4" xfId="29" applyFont="1" applyBorder="1" applyProtection="1">
      <protection locked="0"/>
    </xf>
    <xf numFmtId="0" fontId="46" fillId="0" borderId="4" xfId="0" applyFont="1" applyBorder="1" applyAlignment="1" applyProtection="1">
      <alignment horizontal="center"/>
      <protection locked="0"/>
    </xf>
    <xf numFmtId="18" fontId="46" fillId="0" borderId="4" xfId="0" applyNumberFormat="1" applyFont="1" applyBorder="1" applyProtection="1">
      <protection locked="0"/>
    </xf>
    <xf numFmtId="0" fontId="46" fillId="0" borderId="4" xfId="4" applyNumberFormat="1" applyFont="1" applyBorder="1" applyAlignment="1" applyProtection="1">
      <alignment horizontal="center"/>
      <protection locked="0"/>
    </xf>
    <xf numFmtId="0" fontId="46" fillId="0" borderId="0" xfId="0" applyFont="1" applyFill="1"/>
    <xf numFmtId="43" fontId="46" fillId="0" borderId="0" xfId="0" applyNumberFormat="1" applyFont="1"/>
    <xf numFmtId="0" fontId="51" fillId="0" borderId="0" xfId="0" applyFont="1" applyBorder="1" applyAlignment="1">
      <alignment horizontal="center"/>
    </xf>
    <xf numFmtId="0" fontId="51" fillId="0" borderId="0" xfId="0" applyFont="1" applyFill="1"/>
    <xf numFmtId="0" fontId="46" fillId="0" borderId="13" xfId="0" applyFont="1" applyFill="1" applyBorder="1"/>
    <xf numFmtId="0" fontId="46" fillId="0" borderId="15" xfId="0" applyFont="1" applyBorder="1"/>
    <xf numFmtId="0" fontId="46" fillId="0" borderId="14" xfId="0" applyFont="1" applyFill="1" applyBorder="1"/>
    <xf numFmtId="0" fontId="46" fillId="0" borderId="8" xfId="0" applyFont="1" applyFill="1" applyBorder="1"/>
    <xf numFmtId="0" fontId="46" fillId="0" borderId="0" xfId="0" applyFont="1" applyAlignment="1" applyProtection="1">
      <alignment horizontal="left" vertical="top" wrapText="1"/>
      <protection locked="0"/>
    </xf>
    <xf numFmtId="0" fontId="53" fillId="0" borderId="0" xfId="0" applyFont="1" applyBorder="1" applyAlignment="1">
      <alignment wrapText="1"/>
    </xf>
    <xf numFmtId="0" fontId="53" fillId="0" borderId="0" xfId="0" applyFont="1" applyFill="1" applyBorder="1" applyAlignment="1">
      <alignment wrapText="1"/>
    </xf>
    <xf numFmtId="0" fontId="46" fillId="0" borderId="0" xfId="0" applyFont="1" applyFill="1" applyAlignment="1">
      <alignment vertical="top" wrapText="1"/>
    </xf>
    <xf numFmtId="0" fontId="54" fillId="0" borderId="0" xfId="0" applyFont="1" applyBorder="1"/>
    <xf numFmtId="0" fontId="55" fillId="0" borderId="0" xfId="0" applyFont="1" applyBorder="1"/>
    <xf numFmtId="0" fontId="48" fillId="0" borderId="0" xfId="0" applyFont="1" applyFill="1"/>
    <xf numFmtId="44" fontId="75" fillId="0" borderId="0" xfId="6" applyFont="1" applyAlignment="1">
      <alignment horizontal="center" wrapText="1"/>
    </xf>
    <xf numFmtId="44" fontId="46" fillId="0" borderId="0" xfId="0" applyNumberFormat="1" applyFont="1"/>
    <xf numFmtId="9" fontId="48" fillId="8" borderId="0" xfId="29" applyFont="1" applyFill="1"/>
    <xf numFmtId="0" fontId="60" fillId="0" borderId="0" xfId="26" applyFont="1"/>
    <xf numFmtId="0" fontId="65" fillId="0" borderId="0" xfId="0" applyFont="1" applyFill="1" applyAlignment="1">
      <alignment horizontal="right"/>
    </xf>
    <xf numFmtId="0" fontId="76" fillId="0" borderId="0" xfId="0" applyFont="1"/>
    <xf numFmtId="0" fontId="49" fillId="6" borderId="0" xfId="0" applyFont="1" applyFill="1" applyAlignment="1">
      <alignment horizontal="center"/>
    </xf>
    <xf numFmtId="0" fontId="48" fillId="6" borderId="0" xfId="0" applyFont="1" applyFill="1"/>
    <xf numFmtId="164" fontId="48" fillId="6" borderId="0" xfId="4" applyNumberFormat="1" applyFont="1" applyFill="1"/>
    <xf numFmtId="173" fontId="48" fillId="6" borderId="0" xfId="0" applyNumberFormat="1" applyFont="1" applyFill="1"/>
    <xf numFmtId="3" fontId="48" fillId="6" borderId="0" xfId="0" applyNumberFormat="1" applyFont="1" applyFill="1"/>
    <xf numFmtId="165" fontId="48" fillId="6" borderId="0" xfId="4" applyNumberFormat="1" applyFont="1" applyFill="1"/>
    <xf numFmtId="44" fontId="46" fillId="0" borderId="0" xfId="6" applyFont="1" applyFill="1"/>
    <xf numFmtId="165" fontId="50" fillId="12" borderId="5" xfId="4" applyNumberFormat="1" applyFont="1" applyFill="1" applyBorder="1" applyProtection="1">
      <protection locked="0"/>
    </xf>
    <xf numFmtId="0" fontId="51" fillId="6" borderId="0" xfId="0" applyFont="1" applyFill="1"/>
    <xf numFmtId="0" fontId="51" fillId="0" borderId="14" xfId="0" applyFont="1" applyBorder="1"/>
    <xf numFmtId="43" fontId="51" fillId="0" borderId="0" xfId="4" applyFont="1" applyBorder="1" applyAlignment="1">
      <alignment horizontal="right"/>
    </xf>
    <xf numFmtId="9" fontId="55" fillId="0" borderId="0" xfId="29" applyFont="1" applyAlignment="1" applyProtection="1">
      <alignment horizontal="center"/>
      <protection locked="0"/>
    </xf>
    <xf numFmtId="0" fontId="51" fillId="0" borderId="0" xfId="0" applyFont="1" applyFill="1" applyBorder="1" applyAlignment="1">
      <alignment horizontal="center"/>
    </xf>
    <xf numFmtId="0" fontId="51" fillId="0" borderId="18" xfId="0" applyFont="1" applyBorder="1" applyAlignment="1">
      <alignment horizontal="center"/>
    </xf>
    <xf numFmtId="0" fontId="51" fillId="0" borderId="17" xfId="0" applyFont="1" applyBorder="1" applyAlignment="1">
      <alignment horizontal="center"/>
    </xf>
    <xf numFmtId="0" fontId="51" fillId="0" borderId="4" xfId="0" applyFont="1" applyFill="1" applyBorder="1" applyAlignment="1">
      <alignment horizontal="center"/>
    </xf>
    <xf numFmtId="168" fontId="46" fillId="0" borderId="0" xfId="0" applyNumberFormat="1" applyFont="1" applyFill="1" applyBorder="1" applyAlignment="1">
      <alignment horizontal="right"/>
    </xf>
    <xf numFmtId="177" fontId="46" fillId="0" borderId="0" xfId="29" quotePrefix="1" applyNumberFormat="1" applyFont="1" applyFill="1" applyBorder="1" applyAlignment="1">
      <alignment horizontal="right"/>
    </xf>
    <xf numFmtId="9" fontId="46" fillId="0" borderId="0" xfId="29" applyFont="1" applyAlignment="1">
      <alignment horizontal="center"/>
    </xf>
    <xf numFmtId="164" fontId="46" fillId="0" borderId="0" xfId="4" applyNumberFormat="1" applyFont="1" applyAlignment="1">
      <alignment horizontal="center"/>
    </xf>
    <xf numFmtId="0" fontId="51" fillId="0" borderId="0" xfId="0" applyFont="1" applyBorder="1" applyAlignment="1">
      <alignment horizontal="right" wrapText="1"/>
    </xf>
    <xf numFmtId="0" fontId="55" fillId="0" borderId="0" xfId="0" applyFont="1" applyAlignment="1">
      <alignment horizontal="center"/>
    </xf>
    <xf numFmtId="9" fontId="55" fillId="0" borderId="0" xfId="0" applyNumberFormat="1" applyFont="1"/>
    <xf numFmtId="0" fontId="51" fillId="0" borderId="0" xfId="27" applyFont="1"/>
    <xf numFmtId="0" fontId="46" fillId="0" borderId="0" xfId="27" applyFont="1" applyAlignment="1">
      <alignment horizontal="center"/>
    </xf>
    <xf numFmtId="0" fontId="78" fillId="0" borderId="0" xfId="0" applyFont="1" applyFill="1" applyBorder="1" applyAlignment="1" applyProtection="1">
      <alignment horizontal="left"/>
    </xf>
    <xf numFmtId="0" fontId="78" fillId="0" borderId="0" xfId="0" applyFont="1" applyFill="1" applyBorder="1" applyAlignment="1" applyProtection="1"/>
    <xf numFmtId="0" fontId="78" fillId="0" borderId="0" xfId="0" applyFont="1" applyFill="1" applyBorder="1" applyAlignment="1" applyProtection="1">
      <alignment horizontal="center"/>
    </xf>
    <xf numFmtId="0" fontId="78" fillId="0" borderId="4" xfId="0" applyFont="1" applyFill="1" applyBorder="1" applyAlignment="1" applyProtection="1"/>
    <xf numFmtId="0" fontId="78" fillId="0" borderId="4" xfId="0" applyFont="1" applyFill="1" applyBorder="1" applyAlignment="1" applyProtection="1">
      <alignment horizontal="left"/>
    </xf>
    <xf numFmtId="0" fontId="78" fillId="0" borderId="4" xfId="0" applyFont="1" applyFill="1" applyBorder="1" applyAlignment="1" applyProtection="1">
      <alignment horizontal="center"/>
    </xf>
    <xf numFmtId="0" fontId="78" fillId="0" borderId="0" xfId="0" applyFont="1" applyFill="1" applyBorder="1" applyAlignment="1" applyProtection="1">
      <alignment vertical="center"/>
    </xf>
    <xf numFmtId="0" fontId="78" fillId="0" borderId="4" xfId="0" applyFont="1" applyFill="1" applyBorder="1" applyAlignment="1" applyProtection="1">
      <alignment vertical="center"/>
    </xf>
    <xf numFmtId="0" fontId="57" fillId="0" borderId="0" xfId="0" applyFont="1" applyFill="1" applyBorder="1" applyAlignment="1" applyProtection="1"/>
    <xf numFmtId="0" fontId="57" fillId="0" borderId="0" xfId="0" applyFont="1" applyFill="1" applyBorder="1" applyAlignment="1" applyProtection="1">
      <alignment horizontal="left"/>
    </xf>
    <xf numFmtId="0" fontId="78" fillId="0" borderId="0" xfId="0" applyFont="1" applyFill="1" applyBorder="1" applyAlignment="1"/>
    <xf numFmtId="0" fontId="78" fillId="0" borderId="4" xfId="0" applyFont="1" applyFill="1" applyBorder="1" applyAlignment="1"/>
    <xf numFmtId="165" fontId="78" fillId="0" borderId="0" xfId="4" applyNumberFormat="1" applyFont="1"/>
    <xf numFmtId="0" fontId="78" fillId="0" borderId="0" xfId="0" applyFont="1"/>
    <xf numFmtId="165" fontId="78" fillId="0" borderId="4" xfId="4" applyNumberFormat="1" applyFont="1" applyBorder="1"/>
    <xf numFmtId="0" fontId="78" fillId="0" borderId="0" xfId="0" applyFont="1" applyFill="1" applyBorder="1" applyAlignment="1" applyProtection="1">
      <alignment horizontal="left" shrinkToFit="1"/>
    </xf>
    <xf numFmtId="0" fontId="78" fillId="0" borderId="0" xfId="0" applyFont="1" applyFill="1" applyBorder="1" applyAlignment="1" applyProtection="1">
      <alignment horizontal="center" shrinkToFit="1"/>
    </xf>
    <xf numFmtId="165" fontId="78" fillId="0" borderId="0" xfId="4" applyNumberFormat="1" applyFont="1" applyBorder="1"/>
    <xf numFmtId="0" fontId="57" fillId="0" borderId="0" xfId="0" applyFont="1" applyFill="1" applyBorder="1" applyAlignment="1" applyProtection="1">
      <alignment horizontal="left" shrinkToFit="1"/>
    </xf>
    <xf numFmtId="0" fontId="78" fillId="0" borderId="4" xfId="0" applyFont="1" applyFill="1" applyBorder="1" applyAlignment="1" applyProtection="1">
      <alignment horizontal="left" shrinkToFit="1"/>
    </xf>
    <xf numFmtId="164" fontId="46" fillId="0" borderId="0" xfId="5" applyNumberFormat="1" applyFont="1" applyAlignment="1">
      <alignment horizontal="center"/>
    </xf>
    <xf numFmtId="44" fontId="46" fillId="0" borderId="0" xfId="6" applyFont="1"/>
    <xf numFmtId="0" fontId="51" fillId="0" borderId="4" xfId="0" applyFont="1" applyBorder="1" applyAlignment="1">
      <alignment wrapText="1"/>
    </xf>
    <xf numFmtId="0" fontId="46" fillId="0" borderId="0" xfId="0" applyFont="1" applyAlignment="1">
      <alignment horizontal="left"/>
    </xf>
    <xf numFmtId="164" fontId="81" fillId="0" borderId="0" xfId="4" applyNumberFormat="1" applyFont="1" applyBorder="1"/>
    <xf numFmtId="0" fontId="0" fillId="18" borderId="0" xfId="0" applyFill="1"/>
    <xf numFmtId="0" fontId="46" fillId="18" borderId="0" xfId="0" applyFont="1" applyFill="1"/>
    <xf numFmtId="0" fontId="46" fillId="19" borderId="0" xfId="0" applyFont="1" applyFill="1"/>
    <xf numFmtId="0" fontId="47" fillId="19" borderId="0" xfId="0" applyFont="1" applyFill="1"/>
    <xf numFmtId="0" fontId="46" fillId="19" borderId="0" xfId="0" applyFont="1" applyFill="1" applyBorder="1"/>
    <xf numFmtId="0" fontId="57" fillId="19" borderId="0" xfId="0" applyFont="1" applyFill="1" applyAlignment="1">
      <alignment horizontal="left"/>
    </xf>
    <xf numFmtId="164" fontId="67" fillId="19" borderId="0" xfId="4" applyNumberFormat="1" applyFont="1" applyFill="1" applyBorder="1" applyAlignment="1">
      <alignment horizontal="center"/>
    </xf>
    <xf numFmtId="0" fontId="57" fillId="19" borderId="0" xfId="0" applyFont="1" applyFill="1" applyAlignment="1">
      <alignment horizontal="right"/>
    </xf>
    <xf numFmtId="49" fontId="47" fillId="19" borderId="0" xfId="0" applyNumberFormat="1" applyFont="1" applyFill="1" applyAlignment="1">
      <alignment horizontal="right" vertical="top"/>
    </xf>
    <xf numFmtId="0" fontId="55" fillId="0" borderId="0" xfId="0" applyFont="1" applyFill="1" applyBorder="1" applyProtection="1">
      <protection locked="0"/>
    </xf>
    <xf numFmtId="0" fontId="84" fillId="20" borderId="0" xfId="0" applyFont="1" applyFill="1" applyBorder="1" applyAlignment="1">
      <alignment horizontal="center" vertical="center" wrapText="1"/>
    </xf>
    <xf numFmtId="0" fontId="84"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6" fillId="0" borderId="0" xfId="0" applyFont="1" applyFill="1" applyBorder="1" applyAlignment="1">
      <alignment horizontal="center" vertical="top" wrapText="1"/>
    </xf>
    <xf numFmtId="0" fontId="85" fillId="0" borderId="0" xfId="0" applyFont="1" applyFill="1" applyBorder="1" applyAlignment="1" applyProtection="1"/>
    <xf numFmtId="0" fontId="51" fillId="0" borderId="4" xfId="0" applyFont="1" applyBorder="1" applyAlignment="1">
      <alignment horizontal="center" wrapText="1"/>
    </xf>
    <xf numFmtId="0" fontId="51" fillId="0" borderId="0" xfId="0" applyFont="1" applyAlignment="1">
      <alignment horizontal="center"/>
    </xf>
    <xf numFmtId="0" fontId="46" fillId="0" borderId="0" xfId="0" applyFont="1" applyBorder="1" applyAlignment="1">
      <alignment horizontal="center" vertical="center"/>
    </xf>
    <xf numFmtId="44" fontId="46" fillId="0" borderId="0" xfId="6" applyFont="1" applyBorder="1" applyAlignment="1">
      <alignment horizontal="center" vertical="center"/>
    </xf>
    <xf numFmtId="0" fontId="46" fillId="0" borderId="0" xfId="0" applyFont="1" applyAlignment="1">
      <alignment horizontal="center" vertical="center"/>
    </xf>
    <xf numFmtId="0" fontId="78" fillId="0" borderId="4" xfId="0" applyFont="1" applyBorder="1"/>
    <xf numFmtId="0" fontId="51" fillId="0" borderId="0" xfId="27" applyFont="1" applyBorder="1"/>
    <xf numFmtId="3" fontId="51" fillId="0" borderId="0" xfId="0" applyNumberFormat="1" applyFont="1" applyBorder="1"/>
    <xf numFmtId="0" fontId="49" fillId="0" borderId="0" xfId="0" applyFont="1" applyBorder="1" applyAlignment="1">
      <alignment horizontal="center" wrapText="1"/>
    </xf>
    <xf numFmtId="0" fontId="49" fillId="0" borderId="0" xfId="0" applyFont="1" applyBorder="1" applyAlignment="1">
      <alignment horizontal="center"/>
    </xf>
    <xf numFmtId="0" fontId="46" fillId="0" borderId="4" xfId="0" applyFont="1" applyBorder="1" applyAlignment="1">
      <alignment horizontal="center"/>
    </xf>
    <xf numFmtId="0" fontId="89" fillId="0" borderId="0" xfId="0" applyFont="1" applyProtection="1">
      <protection locked="0"/>
    </xf>
    <xf numFmtId="3" fontId="46" fillId="0" borderId="0" xfId="4" applyNumberFormat="1" applyFont="1" applyBorder="1"/>
    <xf numFmtId="0" fontId="51" fillId="0" borderId="4" xfId="0" applyFont="1" applyBorder="1" applyAlignment="1">
      <alignment horizontal="center"/>
    </xf>
    <xf numFmtId="43" fontId="46" fillId="0" borderId="0" xfId="4" applyFont="1" applyBorder="1"/>
    <xf numFmtId="0" fontId="46" fillId="0" borderId="0" xfId="0" applyFont="1" applyFill="1" applyBorder="1" applyAlignment="1" applyProtection="1">
      <alignment horizontal="left"/>
    </xf>
    <xf numFmtId="202" fontId="46" fillId="0" borderId="0" xfId="0" applyNumberFormat="1" applyFont="1" applyFill="1" applyBorder="1" applyProtection="1"/>
    <xf numFmtId="0" fontId="51" fillId="0" borderId="0" xfId="0" applyFont="1" applyFill="1" applyBorder="1" applyAlignment="1" applyProtection="1">
      <alignment horizontal="left"/>
    </xf>
    <xf numFmtId="7" fontId="55" fillId="0" borderId="0" xfId="0" applyNumberFormat="1" applyFont="1" applyFill="1" applyBorder="1" applyProtection="1">
      <protection locked="0"/>
    </xf>
    <xf numFmtId="185" fontId="55" fillId="0" borderId="0" xfId="0" applyNumberFormat="1" applyFont="1" applyFill="1" applyBorder="1" applyProtection="1">
      <protection locked="0"/>
    </xf>
    <xf numFmtId="164" fontId="55" fillId="0" borderId="0" xfId="0" applyNumberFormat="1" applyFont="1" applyFill="1" applyBorder="1"/>
    <xf numFmtId="9" fontId="55" fillId="0" borderId="0" xfId="29" applyFont="1" applyFill="1" applyBorder="1"/>
    <xf numFmtId="181" fontId="55" fillId="0" borderId="0" xfId="0" applyNumberFormat="1" applyFont="1" applyFill="1" applyBorder="1" applyProtection="1">
      <protection locked="0"/>
    </xf>
    <xf numFmtId="165" fontId="55" fillId="0" borderId="0" xfId="0" applyNumberFormat="1" applyFont="1" applyFill="1" applyBorder="1"/>
    <xf numFmtId="9" fontId="55" fillId="0" borderId="0" xfId="29" applyNumberFormat="1" applyFont="1" applyFill="1" applyBorder="1" applyAlignment="1" applyProtection="1">
      <alignment horizontal="right"/>
    </xf>
    <xf numFmtId="44" fontId="55" fillId="0" borderId="0" xfId="6" applyFont="1" applyFill="1" applyBorder="1"/>
    <xf numFmtId="0" fontId="87" fillId="0" borderId="0" xfId="40" applyFont="1" applyFill="1" applyAlignment="1">
      <alignment horizontal="left" vertical="center"/>
    </xf>
    <xf numFmtId="0" fontId="46" fillId="0" borderId="0" xfId="40" applyFont="1"/>
    <xf numFmtId="0" fontId="58" fillId="0" borderId="0" xfId="0" applyFont="1" applyProtection="1">
      <protection locked="0"/>
    </xf>
    <xf numFmtId="0" fontId="48" fillId="8" borderId="0" xfId="40" applyFont="1" applyFill="1" applyAlignment="1">
      <alignment horizontal="right"/>
    </xf>
    <xf numFmtId="0" fontId="48" fillId="8" borderId="0" xfId="40" applyFont="1" applyFill="1"/>
    <xf numFmtId="0" fontId="56" fillId="0" borderId="0" xfId="40" applyFont="1" applyAlignment="1">
      <alignment horizontal="right"/>
    </xf>
    <xf numFmtId="0" fontId="46" fillId="0" borderId="0" xfId="40" applyFont="1" applyFill="1"/>
    <xf numFmtId="0" fontId="48" fillId="0" borderId="0" xfId="40" applyFont="1" applyFill="1"/>
    <xf numFmtId="0" fontId="51" fillId="0" borderId="0" xfId="40" applyFont="1"/>
    <xf numFmtId="0" fontId="46" fillId="0" borderId="0" xfId="40" applyFont="1" applyAlignment="1">
      <alignment horizontal="center"/>
    </xf>
    <xf numFmtId="0" fontId="46" fillId="0" borderId="0" xfId="40" applyFont="1" applyBorder="1" applyAlignment="1">
      <alignment horizontal="center"/>
    </xf>
    <xf numFmtId="0" fontId="46" fillId="0" borderId="0" xfId="40" applyFont="1" applyBorder="1"/>
    <xf numFmtId="0" fontId="55" fillId="6" borderId="0" xfId="0" applyFont="1" applyFill="1"/>
    <xf numFmtId="0" fontId="51" fillId="0" borderId="0" xfId="0" applyFont="1" applyFill="1" applyAlignment="1">
      <alignment horizontal="right"/>
    </xf>
    <xf numFmtId="164" fontId="46" fillId="0" borderId="0" xfId="4" applyNumberFormat="1" applyFont="1" applyFill="1"/>
    <xf numFmtId="0" fontId="51" fillId="0" borderId="5" xfId="0" applyFont="1" applyBorder="1" applyAlignment="1">
      <alignment horizontal="center" wrapText="1"/>
    </xf>
    <xf numFmtId="0" fontId="51" fillId="18" borderId="0" xfId="0" applyFont="1" applyFill="1"/>
    <xf numFmtId="0" fontId="46" fillId="14" borderId="24" xfId="0" applyFont="1" applyFill="1" applyBorder="1"/>
    <xf numFmtId="43" fontId="46" fillId="14" borderId="24" xfId="4" applyFont="1" applyFill="1" applyBorder="1"/>
    <xf numFmtId="43" fontId="51" fillId="12" borderId="24" xfId="4" applyFont="1" applyFill="1" applyBorder="1"/>
    <xf numFmtId="0" fontId="46" fillId="14" borderId="5" xfId="0" applyFont="1" applyFill="1" applyBorder="1"/>
    <xf numFmtId="43" fontId="46" fillId="14" borderId="5" xfId="4" applyFont="1" applyFill="1" applyBorder="1"/>
    <xf numFmtId="43" fontId="51" fillId="12" borderId="5" xfId="4" applyFont="1" applyFill="1" applyBorder="1"/>
    <xf numFmtId="0" fontId="46" fillId="14" borderId="19" xfId="0" applyFont="1" applyFill="1" applyBorder="1"/>
    <xf numFmtId="43" fontId="46" fillId="14" borderId="19" xfId="4" applyFont="1" applyFill="1" applyBorder="1"/>
    <xf numFmtId="43" fontId="51" fillId="12" borderId="19" xfId="4" applyFont="1" applyFill="1" applyBorder="1"/>
    <xf numFmtId="43" fontId="46" fillId="0" borderId="5" xfId="4" applyFont="1" applyBorder="1"/>
    <xf numFmtId="0" fontId="46" fillId="11" borderId="25" xfId="0" applyFont="1" applyFill="1" applyBorder="1"/>
    <xf numFmtId="43" fontId="46" fillId="11" borderId="25" xfId="4" applyFont="1" applyFill="1" applyBorder="1"/>
    <xf numFmtId="2" fontId="46" fillId="11" borderId="25" xfId="0" applyNumberFormat="1" applyFont="1" applyFill="1" applyBorder="1"/>
    <xf numFmtId="43" fontId="51" fillId="13" borderId="25" xfId="4" applyFont="1" applyFill="1" applyBorder="1"/>
    <xf numFmtId="0" fontId="51" fillId="6" borderId="11" xfId="0" applyFont="1" applyFill="1" applyBorder="1"/>
    <xf numFmtId="0" fontId="51" fillId="0" borderId="14" xfId="0" applyFont="1" applyFill="1" applyBorder="1"/>
    <xf numFmtId="0" fontId="51" fillId="9" borderId="8" xfId="0" applyFont="1" applyFill="1" applyBorder="1"/>
    <xf numFmtId="0" fontId="46" fillId="9" borderId="13" xfId="0" applyFont="1" applyFill="1" applyBorder="1"/>
    <xf numFmtId="0" fontId="46" fillId="9" borderId="9" xfId="0" applyFont="1" applyFill="1" applyBorder="1"/>
    <xf numFmtId="0" fontId="51" fillId="0" borderId="11" xfId="0" applyFont="1" applyBorder="1" applyAlignment="1">
      <alignment horizontal="center" wrapText="1"/>
    </xf>
    <xf numFmtId="0" fontId="51" fillId="0" borderId="17" xfId="0" applyFont="1" applyFill="1" applyBorder="1" applyAlignment="1">
      <alignment horizontal="center" wrapText="1"/>
    </xf>
    <xf numFmtId="0" fontId="51" fillId="0" borderId="4" xfId="0" applyFont="1" applyFill="1" applyBorder="1" applyAlignment="1">
      <alignment horizontal="center" wrapText="1"/>
    </xf>
    <xf numFmtId="164" fontId="46" fillId="0" borderId="5" xfId="4" applyNumberFormat="1" applyFont="1" applyBorder="1"/>
    <xf numFmtId="43" fontId="46" fillId="0" borderId="5" xfId="0" applyNumberFormat="1" applyFont="1" applyBorder="1"/>
    <xf numFmtId="0" fontId="92" fillId="0" borderId="0" xfId="0" applyFont="1" applyAlignment="1">
      <alignment vertical="top" wrapText="1"/>
    </xf>
    <xf numFmtId="168" fontId="46" fillId="0" borderId="0" xfId="0" applyNumberFormat="1" applyFont="1" applyBorder="1" applyAlignment="1">
      <alignment horizontal="center"/>
    </xf>
    <xf numFmtId="168" fontId="46" fillId="0" borderId="15" xfId="0" applyNumberFormat="1" applyFont="1" applyBorder="1" applyAlignment="1">
      <alignment horizontal="center"/>
    </xf>
    <xf numFmtId="168" fontId="46" fillId="0" borderId="4" xfId="0" applyNumberFormat="1" applyFont="1" applyBorder="1" applyAlignment="1">
      <alignment horizontal="center"/>
    </xf>
    <xf numFmtId="168" fontId="46" fillId="0" borderId="18" xfId="0" applyNumberFormat="1" applyFont="1" applyBorder="1" applyAlignment="1">
      <alignment horizontal="center"/>
    </xf>
    <xf numFmtId="0" fontId="51" fillId="0" borderId="4" xfId="0" applyFont="1" applyBorder="1" applyAlignment="1">
      <alignment horizontal="center" wrapText="1"/>
    </xf>
    <xf numFmtId="0" fontId="49" fillId="0" borderId="4" xfId="0" applyFont="1" applyBorder="1" applyAlignment="1">
      <alignment horizontal="center"/>
    </xf>
    <xf numFmtId="0" fontId="51" fillId="0" borderId="0" xfId="0" applyFont="1" applyAlignment="1">
      <alignment horizontal="center"/>
    </xf>
    <xf numFmtId="167" fontId="46" fillId="0" borderId="0" xfId="4" applyNumberFormat="1" applyFont="1"/>
    <xf numFmtId="0" fontId="59" fillId="5" borderId="11" xfId="0" applyFont="1" applyFill="1" applyBorder="1" applyAlignment="1">
      <alignment wrapText="1"/>
    </xf>
    <xf numFmtId="0" fontId="59" fillId="5" borderId="20" xfId="0" applyFont="1" applyFill="1" applyBorder="1" applyAlignment="1">
      <alignment wrapText="1"/>
    </xf>
    <xf numFmtId="0" fontId="59" fillId="5" borderId="20" xfId="0" applyFont="1" applyFill="1" applyBorder="1" applyAlignment="1">
      <alignment horizontal="center" wrapText="1"/>
    </xf>
    <xf numFmtId="0" fontId="59" fillId="5" borderId="12" xfId="0" applyFont="1" applyFill="1" applyBorder="1" applyAlignment="1">
      <alignment horizontal="center" wrapText="1"/>
    </xf>
    <xf numFmtId="0" fontId="59" fillId="5" borderId="8" xfId="0" applyFont="1" applyFill="1" applyBorder="1" applyAlignment="1">
      <alignment horizontal="center" wrapText="1"/>
    </xf>
    <xf numFmtId="0" fontId="59" fillId="5" borderId="9" xfId="0" applyFont="1" applyFill="1" applyBorder="1" applyAlignment="1">
      <alignment horizontal="center" wrapText="1"/>
    </xf>
    <xf numFmtId="9" fontId="46" fillId="0" borderId="5" xfId="29" applyFont="1" applyBorder="1"/>
    <xf numFmtId="173" fontId="46" fillId="0" borderId="5" xfId="6" applyNumberFormat="1" applyFont="1" applyBorder="1"/>
    <xf numFmtId="164" fontId="46" fillId="0" borderId="5" xfId="0" applyNumberFormat="1" applyFont="1" applyBorder="1"/>
    <xf numFmtId="175" fontId="46" fillId="0" borderId="5" xfId="0" applyNumberFormat="1" applyFont="1" applyBorder="1"/>
    <xf numFmtId="173" fontId="46" fillId="0" borderId="0" xfId="0" applyNumberFormat="1" applyFont="1"/>
    <xf numFmtId="174" fontId="51" fillId="0" borderId="5" xfId="0" applyNumberFormat="1" applyFont="1" applyBorder="1"/>
    <xf numFmtId="43" fontId="51" fillId="0" borderId="5" xfId="0" applyNumberFormat="1" applyFont="1" applyBorder="1"/>
    <xf numFmtId="0" fontId="62" fillId="0" borderId="0" xfId="0" applyFont="1"/>
    <xf numFmtId="0" fontId="58" fillId="0" borderId="0" xfId="0" applyFont="1" applyAlignment="1">
      <alignment horizontal="right"/>
    </xf>
    <xf numFmtId="0" fontId="46" fillId="0" borderId="21" xfId="0" applyFont="1" applyBorder="1" applyAlignment="1">
      <alignment vertical="top" wrapText="1"/>
    </xf>
    <xf numFmtId="0" fontId="46" fillId="0" borderId="21" xfId="0" applyFont="1" applyBorder="1" applyAlignment="1">
      <alignment horizontal="center" vertical="top" wrapText="1"/>
    </xf>
    <xf numFmtId="0" fontId="46" fillId="0" borderId="22" xfId="0" applyFont="1" applyBorder="1" applyAlignment="1">
      <alignment horizontal="center" vertical="top" wrapText="1"/>
    </xf>
    <xf numFmtId="0" fontId="46" fillId="0" borderId="2" xfId="0" applyFont="1" applyBorder="1" applyAlignment="1">
      <alignment horizontal="right" vertical="top"/>
    </xf>
    <xf numFmtId="0" fontId="46" fillId="0" borderId="0" xfId="0" applyFont="1" applyBorder="1" applyAlignment="1">
      <alignment horizontal="right" vertical="top"/>
    </xf>
    <xf numFmtId="44" fontId="46" fillId="0" borderId="0" xfId="6" applyFont="1" applyBorder="1" applyAlignment="1">
      <alignment horizontal="right" vertical="top"/>
    </xf>
    <xf numFmtId="0" fontId="46" fillId="0" borderId="21" xfId="0" applyFont="1" applyBorder="1" applyAlignment="1">
      <alignment horizontal="right" vertical="top"/>
    </xf>
    <xf numFmtId="0" fontId="46" fillId="0" borderId="21" xfId="0" applyFont="1" applyBorder="1" applyAlignment="1">
      <alignment horizontal="center" vertical="top"/>
    </xf>
    <xf numFmtId="168" fontId="46" fillId="0" borderId="35" xfId="0" applyNumberFormat="1" applyFont="1" applyBorder="1" applyAlignment="1">
      <alignment horizontal="center" vertical="top"/>
    </xf>
    <xf numFmtId="0" fontId="90" fillId="0" borderId="0" xfId="0" applyFont="1"/>
    <xf numFmtId="2" fontId="46" fillId="0" borderId="35" xfId="0" applyNumberFormat="1" applyFont="1" applyBorder="1" applyAlignment="1">
      <alignment horizontal="center" vertical="top"/>
    </xf>
    <xf numFmtId="0" fontId="51" fillId="0" borderId="4" xfId="0" applyFont="1" applyBorder="1" applyAlignment="1">
      <alignment horizontal="center"/>
    </xf>
    <xf numFmtId="0" fontId="63" fillId="0" borderId="0" xfId="0" applyFont="1" applyBorder="1"/>
    <xf numFmtId="0" fontId="68" fillId="0" borderId="0" xfId="0" applyFont="1" applyBorder="1" applyAlignment="1">
      <alignment horizontal="center"/>
    </xf>
    <xf numFmtId="0" fontId="63" fillId="0" borderId="15" xfId="0" applyFont="1" applyBorder="1"/>
    <xf numFmtId="0" fontId="46" fillId="0" borderId="14" xfId="0" applyFont="1" applyBorder="1" applyAlignment="1">
      <alignment horizontal="left"/>
    </xf>
    <xf numFmtId="0" fontId="49" fillId="0" borderId="18" xfId="0" applyFont="1" applyBorder="1" applyAlignment="1">
      <alignment horizontal="center" wrapText="1"/>
    </xf>
    <xf numFmtId="0" fontId="46" fillId="0" borderId="15" xfId="0" applyFont="1" applyBorder="1" applyAlignment="1">
      <alignment horizontal="center"/>
    </xf>
    <xf numFmtId="2" fontId="46" fillId="0" borderId="0" xfId="0" applyNumberFormat="1" applyFont="1" applyBorder="1" applyAlignment="1">
      <alignment horizontal="center"/>
    </xf>
    <xf numFmtId="0" fontId="90" fillId="0" borderId="14" xfId="0" applyFont="1" applyBorder="1"/>
    <xf numFmtId="9" fontId="46" fillId="0" borderId="4" xfId="0" applyNumberFormat="1" applyFont="1" applyBorder="1" applyAlignment="1">
      <alignment horizontal="center"/>
    </xf>
    <xf numFmtId="9" fontId="51" fillId="0" borderId="5" xfId="0" applyNumberFormat="1" applyFont="1" applyBorder="1" applyAlignment="1">
      <alignment horizontal="center"/>
    </xf>
    <xf numFmtId="1" fontId="51" fillId="0" borderId="5" xfId="0" applyNumberFormat="1" applyFont="1" applyBorder="1" applyAlignment="1">
      <alignment horizontal="center"/>
    </xf>
    <xf numFmtId="4" fontId="46" fillId="0" borderId="0" xfId="0" applyNumberFormat="1" applyFont="1" applyBorder="1" applyAlignment="1">
      <alignment horizontal="center"/>
    </xf>
    <xf numFmtId="0" fontId="46" fillId="0" borderId="13" xfId="0" applyFont="1" applyBorder="1" applyAlignment="1">
      <alignment horizontal="left"/>
    </xf>
    <xf numFmtId="9" fontId="46" fillId="0" borderId="0" xfId="0" applyNumberFormat="1" applyFont="1" applyBorder="1" applyAlignment="1">
      <alignment horizontal="center"/>
    </xf>
    <xf numFmtId="9" fontId="46" fillId="0" borderId="15" xfId="0" applyNumberFormat="1" applyFont="1" applyBorder="1" applyAlignment="1">
      <alignment horizontal="center"/>
    </xf>
    <xf numFmtId="9" fontId="46" fillId="0" borderId="18" xfId="0" applyNumberFormat="1" applyFont="1" applyBorder="1" applyAlignment="1">
      <alignment horizontal="center"/>
    </xf>
    <xf numFmtId="0" fontId="46" fillId="0" borderId="4" xfId="0" applyFont="1" applyBorder="1" applyAlignment="1">
      <alignment horizontal="left"/>
    </xf>
    <xf numFmtId="0" fontId="90" fillId="0" borderId="14" xfId="0" applyFont="1" applyBorder="1" applyAlignment="1">
      <alignment horizontal="left"/>
    </xf>
    <xf numFmtId="2" fontId="51" fillId="0" borderId="5" xfId="0" applyNumberFormat="1" applyFont="1" applyBorder="1" applyAlignment="1">
      <alignment horizontal="center"/>
    </xf>
    <xf numFmtId="0" fontId="90" fillId="0" borderId="0" xfId="0" applyFont="1" applyBorder="1" applyAlignment="1">
      <alignment horizontal="left"/>
    </xf>
    <xf numFmtId="1" fontId="51" fillId="0" borderId="0" xfId="0" applyNumberFormat="1" applyFont="1" applyBorder="1" applyAlignment="1">
      <alignment horizontal="center"/>
    </xf>
    <xf numFmtId="9" fontId="51" fillId="0" borderId="0" xfId="0" applyNumberFormat="1" applyFont="1" applyBorder="1" applyAlignment="1">
      <alignment horizontal="center"/>
    </xf>
    <xf numFmtId="2" fontId="51" fillId="0" borderId="0" xfId="0" applyNumberFormat="1" applyFont="1" applyBorder="1" applyAlignment="1">
      <alignment horizontal="center"/>
    </xf>
    <xf numFmtId="0" fontId="68" fillId="0" borderId="0" xfId="0" applyFont="1" applyBorder="1" applyAlignment="1"/>
    <xf numFmtId="0" fontId="68" fillId="0" borderId="15" xfId="0" applyFont="1" applyBorder="1" applyAlignment="1">
      <alignment horizontal="center"/>
    </xf>
    <xf numFmtId="4" fontId="51" fillId="0" borderId="5" xfId="0" applyNumberFormat="1" applyFont="1" applyBorder="1" applyAlignment="1">
      <alignment horizontal="center"/>
    </xf>
    <xf numFmtId="2" fontId="46" fillId="0" borderId="0" xfId="0" applyNumberFormat="1" applyFont="1" applyFill="1" applyBorder="1" applyAlignment="1">
      <alignment horizontal="center"/>
    </xf>
    <xf numFmtId="2" fontId="51" fillId="0" borderId="5" xfId="0" applyNumberFormat="1" applyFont="1" applyFill="1" applyBorder="1" applyAlignment="1">
      <alignment horizontal="center"/>
    </xf>
    <xf numFmtId="0" fontId="46" fillId="0" borderId="14" xfId="0" applyFont="1" applyBorder="1" applyAlignment="1"/>
    <xf numFmtId="0" fontId="46" fillId="0" borderId="0" xfId="0" applyFont="1" applyBorder="1" applyAlignment="1"/>
    <xf numFmtId="0" fontId="46" fillId="0" borderId="17" xfId="0" applyFont="1" applyBorder="1" applyAlignment="1"/>
    <xf numFmtId="0" fontId="46" fillId="0" borderId="4" xfId="0" applyFont="1" applyBorder="1" applyAlignment="1"/>
    <xf numFmtId="0" fontId="46" fillId="0" borderId="8" xfId="0" applyFont="1" applyBorder="1" applyAlignment="1">
      <alignment horizontal="left"/>
    </xf>
    <xf numFmtId="168" fontId="93" fillId="0" borderId="15" xfId="0" applyNumberFormat="1" applyFont="1" applyBorder="1" applyAlignment="1">
      <alignment horizontal="center"/>
    </xf>
    <xf numFmtId="0" fontId="93" fillId="0" borderId="0" xfId="0" applyFont="1" applyAlignment="1">
      <alignment horizontal="center"/>
    </xf>
    <xf numFmtId="0" fontId="46" fillId="12" borderId="0" xfId="0" applyFont="1" applyFill="1"/>
    <xf numFmtId="0" fontId="46" fillId="12" borderId="21" xfId="0" applyFont="1" applyFill="1" applyBorder="1"/>
    <xf numFmtId="177" fontId="46" fillId="0" borderId="17" xfId="0" applyNumberFormat="1" applyFont="1" applyBorder="1" applyAlignment="1">
      <alignment horizontal="center"/>
    </xf>
    <xf numFmtId="177" fontId="46" fillId="0" borderId="20" xfId="0" applyNumberFormat="1" applyFont="1" applyBorder="1" applyAlignment="1">
      <alignment horizontal="center"/>
    </xf>
    <xf numFmtId="9" fontId="46" fillId="12" borderId="24" xfId="0" applyNumberFormat="1" applyFont="1" applyFill="1" applyBorder="1" applyAlignment="1">
      <alignment horizontal="center"/>
    </xf>
    <xf numFmtId="9" fontId="46" fillId="12" borderId="48" xfId="0" applyNumberFormat="1" applyFont="1" applyFill="1" applyBorder="1" applyAlignment="1">
      <alignment horizontal="center"/>
    </xf>
    <xf numFmtId="9" fontId="46" fillId="12" borderId="5" xfId="0" applyNumberFormat="1" applyFont="1" applyFill="1" applyBorder="1" applyAlignment="1">
      <alignment horizontal="center"/>
    </xf>
    <xf numFmtId="9" fontId="46" fillId="12" borderId="46" xfId="0" applyNumberFormat="1" applyFont="1" applyFill="1" applyBorder="1" applyAlignment="1">
      <alignment horizontal="center"/>
    </xf>
    <xf numFmtId="9" fontId="46" fillId="13" borderId="25" xfId="0" applyNumberFormat="1" applyFont="1" applyFill="1" applyBorder="1" applyAlignment="1">
      <alignment horizontal="center"/>
    </xf>
    <xf numFmtId="177" fontId="46" fillId="11" borderId="35" xfId="0" applyNumberFormat="1" applyFont="1" applyFill="1" applyBorder="1" applyAlignment="1">
      <alignment horizontal="center"/>
    </xf>
    <xf numFmtId="177" fontId="46" fillId="11" borderId="25" xfId="0" applyNumberFormat="1" applyFont="1" applyFill="1" applyBorder="1" applyAlignment="1">
      <alignment horizontal="center"/>
    </xf>
    <xf numFmtId="9" fontId="46" fillId="12" borderId="19" xfId="0" applyNumberFormat="1" applyFont="1" applyFill="1" applyBorder="1" applyAlignment="1">
      <alignment horizontal="center"/>
    </xf>
    <xf numFmtId="0" fontId="46" fillId="12" borderId="0" xfId="0" applyFont="1" applyFill="1" applyBorder="1"/>
    <xf numFmtId="0" fontId="46" fillId="12" borderId="43" xfId="0" applyFont="1" applyFill="1" applyBorder="1"/>
    <xf numFmtId="0" fontId="46" fillId="12" borderId="20" xfId="0" applyFont="1" applyFill="1" applyBorder="1"/>
    <xf numFmtId="165" fontId="50" fillId="12" borderId="47" xfId="4" applyNumberFormat="1" applyFont="1" applyFill="1" applyBorder="1" applyProtection="1">
      <protection locked="0"/>
    </xf>
    <xf numFmtId="165" fontId="50" fillId="12" borderId="14" xfId="4" applyNumberFormat="1" applyFont="1" applyFill="1" applyBorder="1" applyProtection="1">
      <protection locked="0"/>
    </xf>
    <xf numFmtId="165" fontId="50" fillId="12" borderId="11" xfId="4" applyNumberFormat="1" applyFont="1" applyFill="1" applyBorder="1" applyProtection="1">
      <protection locked="0"/>
    </xf>
    <xf numFmtId="0" fontId="46" fillId="12" borderId="11" xfId="0" applyFont="1" applyFill="1" applyBorder="1"/>
    <xf numFmtId="0" fontId="46" fillId="12" borderId="14" xfId="0" applyFont="1" applyFill="1" applyBorder="1"/>
    <xf numFmtId="0" fontId="46" fillId="12" borderId="45" xfId="0" applyFont="1" applyFill="1" applyBorder="1"/>
    <xf numFmtId="0" fontId="46" fillId="12" borderId="47" xfId="0" applyFont="1" applyFill="1" applyBorder="1"/>
    <xf numFmtId="165" fontId="50" fillId="12" borderId="11" xfId="0" applyNumberFormat="1" applyFont="1" applyFill="1" applyBorder="1" applyProtection="1">
      <protection locked="0"/>
    </xf>
    <xf numFmtId="0" fontId="46" fillId="12" borderId="47" xfId="0" applyFont="1" applyFill="1" applyBorder="1" applyProtection="1">
      <protection locked="0"/>
    </xf>
    <xf numFmtId="0" fontId="46" fillId="12" borderId="14" xfId="0" applyFont="1" applyFill="1" applyBorder="1" applyProtection="1">
      <protection locked="0"/>
    </xf>
    <xf numFmtId="0" fontId="46" fillId="12" borderId="11" xfId="0" applyFont="1" applyFill="1" applyBorder="1" applyProtection="1">
      <protection locked="0"/>
    </xf>
    <xf numFmtId="0" fontId="51" fillId="12" borderId="11" xfId="0" applyFont="1" applyFill="1" applyBorder="1" applyProtection="1">
      <protection locked="0"/>
    </xf>
    <xf numFmtId="165" fontId="50" fillId="12" borderId="17" xfId="4" applyNumberFormat="1" applyFont="1" applyFill="1" applyBorder="1" applyProtection="1">
      <protection locked="0"/>
    </xf>
    <xf numFmtId="165" fontId="50" fillId="12" borderId="48" xfId="4" applyNumberFormat="1" applyFont="1" applyFill="1" applyBorder="1" applyProtection="1">
      <protection locked="0"/>
    </xf>
    <xf numFmtId="165" fontId="50" fillId="12" borderId="19" xfId="4" applyNumberFormat="1" applyFont="1" applyFill="1" applyBorder="1" applyProtection="1">
      <protection locked="0"/>
    </xf>
    <xf numFmtId="165" fontId="50" fillId="12" borderId="24" xfId="4" applyNumberFormat="1" applyFont="1" applyFill="1" applyBorder="1" applyProtection="1">
      <protection locked="0"/>
    </xf>
    <xf numFmtId="0" fontId="59" fillId="0" borderId="4" xfId="0" applyFont="1" applyFill="1" applyBorder="1" applyAlignment="1">
      <alignment horizontal="center"/>
    </xf>
    <xf numFmtId="0" fontId="59" fillId="0" borderId="4" xfId="0" applyFont="1" applyFill="1" applyBorder="1" applyAlignment="1">
      <alignment horizontal="left"/>
    </xf>
    <xf numFmtId="178" fontId="94" fillId="0" borderId="0" xfId="0" applyNumberFormat="1" applyFont="1" applyAlignment="1">
      <alignment horizontal="center"/>
    </xf>
    <xf numFmtId="0" fontId="46" fillId="0" borderId="20" xfId="0" applyFont="1" applyFill="1" applyBorder="1"/>
    <xf numFmtId="0" fontId="46" fillId="0" borderId="11" xfId="0" applyFont="1" applyFill="1" applyBorder="1"/>
    <xf numFmtId="165" fontId="50" fillId="0" borderId="5" xfId="4" applyNumberFormat="1" applyFont="1" applyFill="1" applyBorder="1" applyProtection="1">
      <protection locked="0"/>
    </xf>
    <xf numFmtId="177" fontId="46" fillId="14" borderId="44" xfId="0" applyNumberFormat="1" applyFont="1" applyFill="1" applyBorder="1" applyAlignment="1">
      <alignment horizontal="center"/>
    </xf>
    <xf numFmtId="177" fontId="46" fillId="14" borderId="47" xfId="0" applyNumberFormat="1" applyFont="1" applyFill="1" applyBorder="1" applyAlignment="1">
      <alignment horizontal="center"/>
    </xf>
    <xf numFmtId="177" fontId="46" fillId="14" borderId="43" xfId="0" applyNumberFormat="1" applyFont="1" applyFill="1" applyBorder="1" applyAlignment="1">
      <alignment horizontal="center"/>
    </xf>
    <xf numFmtId="177" fontId="46" fillId="14" borderId="17" xfId="0" applyNumberFormat="1" applyFont="1" applyFill="1" applyBorder="1" applyAlignment="1">
      <alignment horizontal="center"/>
    </xf>
    <xf numFmtId="177" fontId="46" fillId="14" borderId="20" xfId="0" applyNumberFormat="1" applyFont="1" applyFill="1" applyBorder="1" applyAlignment="1">
      <alignment horizontal="center"/>
    </xf>
    <xf numFmtId="177" fontId="46" fillId="14" borderId="11" xfId="0" applyNumberFormat="1" applyFont="1" applyFill="1" applyBorder="1" applyAlignment="1">
      <alignment horizontal="center"/>
    </xf>
    <xf numFmtId="177" fontId="46" fillId="14" borderId="21" xfId="0" applyNumberFormat="1" applyFont="1" applyFill="1" applyBorder="1" applyAlignment="1">
      <alignment horizontal="center"/>
    </xf>
    <xf numFmtId="177" fontId="46" fillId="14" borderId="24" xfId="0" applyNumberFormat="1" applyFont="1" applyFill="1" applyBorder="1" applyAlignment="1">
      <alignment horizontal="center"/>
    </xf>
    <xf numFmtId="177" fontId="46" fillId="14" borderId="5" xfId="0" applyNumberFormat="1" applyFont="1" applyFill="1" applyBorder="1" applyAlignment="1">
      <alignment horizontal="center"/>
    </xf>
    <xf numFmtId="177" fontId="46" fillId="14" borderId="46" xfId="0" applyNumberFormat="1" applyFont="1" applyFill="1" applyBorder="1" applyAlignment="1">
      <alignment horizontal="center"/>
    </xf>
    <xf numFmtId="177" fontId="46" fillId="14" borderId="48" xfId="0" applyNumberFormat="1" applyFont="1" applyFill="1" applyBorder="1" applyAlignment="1">
      <alignment horizontal="center"/>
    </xf>
    <xf numFmtId="177" fontId="46" fillId="0" borderId="5" xfId="0" applyNumberFormat="1" applyFont="1" applyFill="1" applyBorder="1" applyAlignment="1">
      <alignment horizontal="center"/>
    </xf>
    <xf numFmtId="2" fontId="46" fillId="14" borderId="24" xfId="0" applyNumberFormat="1" applyFont="1" applyFill="1" applyBorder="1" applyAlignment="1">
      <alignment horizontal="center"/>
    </xf>
    <xf numFmtId="2" fontId="46" fillId="12" borderId="24" xfId="0" applyNumberFormat="1" applyFont="1" applyFill="1" applyBorder="1" applyAlignment="1">
      <alignment horizontal="center"/>
    </xf>
    <xf numFmtId="2" fontId="46" fillId="14" borderId="48" xfId="0" applyNumberFormat="1" applyFont="1" applyFill="1" applyBorder="1" applyAlignment="1">
      <alignment horizontal="center"/>
    </xf>
    <xf numFmtId="2" fontId="46" fillId="12" borderId="48" xfId="0" applyNumberFormat="1" applyFont="1" applyFill="1" applyBorder="1" applyAlignment="1">
      <alignment horizontal="center"/>
    </xf>
    <xf numFmtId="2" fontId="46" fillId="14" borderId="5" xfId="0" applyNumberFormat="1" applyFont="1" applyFill="1" applyBorder="1" applyAlignment="1">
      <alignment horizontal="center"/>
    </xf>
    <xf numFmtId="2" fontId="46" fillId="12" borderId="5" xfId="0" applyNumberFormat="1" applyFont="1" applyFill="1" applyBorder="1" applyAlignment="1">
      <alignment horizontal="center"/>
    </xf>
    <xf numFmtId="2" fontId="46" fillId="0" borderId="5" xfId="0" applyNumberFormat="1" applyFont="1" applyFill="1" applyBorder="1" applyAlignment="1">
      <alignment horizontal="center"/>
    </xf>
    <xf numFmtId="2" fontId="46" fillId="12" borderId="19" xfId="0" applyNumberFormat="1" applyFont="1" applyFill="1" applyBorder="1" applyAlignment="1">
      <alignment horizontal="center"/>
    </xf>
    <xf numFmtId="2" fontId="46" fillId="14" borderId="46" xfId="0" applyNumberFormat="1" applyFont="1" applyFill="1" applyBorder="1" applyAlignment="1">
      <alignment horizontal="center"/>
    </xf>
    <xf numFmtId="2" fontId="46" fillId="12" borderId="46" xfId="0" applyNumberFormat="1" applyFont="1" applyFill="1" applyBorder="1" applyAlignment="1">
      <alignment horizontal="center"/>
    </xf>
    <xf numFmtId="2" fontId="46" fillId="11" borderId="25" xfId="0" applyNumberFormat="1" applyFont="1" applyFill="1" applyBorder="1" applyAlignment="1">
      <alignment horizontal="center"/>
    </xf>
    <xf numFmtId="2" fontId="46" fillId="13" borderId="25" xfId="0" applyNumberFormat="1" applyFont="1" applyFill="1" applyBorder="1" applyAlignment="1">
      <alignment horizontal="center"/>
    </xf>
    <xf numFmtId="43" fontId="51" fillId="12" borderId="46" xfId="4" applyFont="1" applyFill="1" applyBorder="1"/>
    <xf numFmtId="43" fontId="51" fillId="12" borderId="48" xfId="4" applyFont="1" applyFill="1" applyBorder="1"/>
    <xf numFmtId="0" fontId="46" fillId="14" borderId="46" xfId="0" applyFont="1" applyFill="1" applyBorder="1"/>
    <xf numFmtId="165" fontId="51" fillId="14" borderId="48" xfId="4" applyNumberFormat="1" applyFont="1" applyFill="1" applyBorder="1" applyProtection="1">
      <protection locked="0"/>
    </xf>
    <xf numFmtId="165" fontId="51" fillId="14" borderId="16" xfId="4" applyNumberFormat="1" applyFont="1" applyFill="1" applyBorder="1" applyProtection="1">
      <protection locked="0"/>
    </xf>
    <xf numFmtId="165" fontId="51" fillId="14" borderId="5" xfId="4" applyNumberFormat="1" applyFont="1" applyFill="1" applyBorder="1" applyProtection="1">
      <protection locked="0"/>
    </xf>
    <xf numFmtId="0" fontId="46" fillId="14" borderId="16" xfId="0" applyFont="1" applyFill="1" applyBorder="1"/>
    <xf numFmtId="0" fontId="46" fillId="14" borderId="48" xfId="0" applyFont="1" applyFill="1" applyBorder="1"/>
    <xf numFmtId="0" fontId="51" fillId="0" borderId="0" xfId="0" applyFont="1" applyBorder="1" applyAlignment="1">
      <alignment horizontal="center" wrapText="1"/>
    </xf>
    <xf numFmtId="0" fontId="58" fillId="0" borderId="0" xfId="0" applyFont="1" applyFill="1"/>
    <xf numFmtId="0" fontId="11" fillId="0" borderId="0" xfId="0" applyFont="1"/>
    <xf numFmtId="0" fontId="46" fillId="0" borderId="0" xfId="0" applyFont="1" applyAlignment="1">
      <alignment vertical="center"/>
    </xf>
    <xf numFmtId="3" fontId="46" fillId="0" borderId="0" xfId="0" applyNumberFormat="1" applyFont="1" applyFill="1" applyBorder="1" applyAlignment="1">
      <alignment horizontal="center" vertical="top" wrapText="1"/>
    </xf>
    <xf numFmtId="4" fontId="46" fillId="0" borderId="0" xfId="0" applyNumberFormat="1" applyFont="1" applyFill="1" applyBorder="1" applyAlignment="1">
      <alignment horizontal="center" vertical="top"/>
    </xf>
    <xf numFmtId="176" fontId="46" fillId="0" borderId="0" xfId="0" applyNumberFormat="1" applyFont="1" applyFill="1" applyBorder="1" applyAlignment="1">
      <alignment horizontal="center" vertical="top"/>
    </xf>
    <xf numFmtId="0" fontId="46" fillId="0" borderId="0" xfId="0" quotePrefix="1" applyFont="1" applyFill="1" applyBorder="1" applyAlignment="1">
      <alignment horizontal="left" vertical="top" wrapText="1"/>
    </xf>
    <xf numFmtId="0" fontId="51" fillId="0" borderId="0" xfId="0" applyFont="1" applyFill="1" applyBorder="1" applyAlignment="1">
      <alignment horizontal="left" vertical="top" wrapText="1"/>
    </xf>
    <xf numFmtId="0" fontId="51" fillId="0" borderId="0" xfId="0" applyFont="1" applyBorder="1" applyAlignment="1">
      <alignment wrapText="1"/>
    </xf>
    <xf numFmtId="0" fontId="51" fillId="0" borderId="0" xfId="0" applyFont="1" applyBorder="1" applyAlignment="1">
      <alignment horizontal="left" wrapText="1"/>
    </xf>
    <xf numFmtId="0" fontId="46" fillId="17" borderId="0" xfId="0" applyFont="1" applyFill="1" applyAlignment="1">
      <alignment horizontal="center"/>
    </xf>
    <xf numFmtId="44" fontId="78" fillId="17" borderId="0" xfId="6" applyFont="1" applyFill="1" applyAlignment="1">
      <alignment horizontal="center"/>
    </xf>
    <xf numFmtId="0" fontId="78" fillId="0" borderId="0" xfId="0" applyFont="1" applyBorder="1"/>
    <xf numFmtId="44" fontId="78" fillId="17" borderId="0" xfId="6" applyFont="1" applyFill="1" applyBorder="1" applyAlignment="1">
      <alignment horizontal="center"/>
    </xf>
    <xf numFmtId="44" fontId="78" fillId="17" borderId="4" xfId="6" applyFont="1" applyFill="1" applyBorder="1" applyAlignment="1">
      <alignment horizontal="center"/>
    </xf>
    <xf numFmtId="0" fontId="11" fillId="0" borderId="0" xfId="0" applyFont="1" applyFill="1" applyBorder="1"/>
    <xf numFmtId="0" fontId="16" fillId="0" borderId="0" xfId="0" applyFont="1" applyFill="1"/>
    <xf numFmtId="0" fontId="89" fillId="12" borderId="0" xfId="0" applyFont="1" applyFill="1" applyProtection="1">
      <protection locked="0"/>
    </xf>
    <xf numFmtId="0" fontId="16" fillId="12" borderId="0" xfId="0" applyFont="1" applyFill="1"/>
    <xf numFmtId="0" fontId="11" fillId="12" borderId="0" xfId="0" applyFont="1" applyFill="1"/>
    <xf numFmtId="0" fontId="88" fillId="12" borderId="0" xfId="0" applyFont="1" applyFill="1"/>
    <xf numFmtId="0" fontId="89" fillId="0" borderId="0" xfId="0" applyFont="1" applyFill="1" applyProtection="1">
      <protection locked="0"/>
    </xf>
    <xf numFmtId="0" fontId="46" fillId="0" borderId="13" xfId="0" applyFont="1" applyBorder="1" applyAlignment="1">
      <alignment horizontal="center" vertical="center"/>
    </xf>
    <xf numFmtId="0" fontId="46" fillId="0" borderId="4" xfId="0" applyFont="1" applyBorder="1" applyAlignment="1">
      <alignment horizontal="center" vertical="center"/>
    </xf>
    <xf numFmtId="9" fontId="78" fillId="0" borderId="5" xfId="0" applyNumberFormat="1" applyFont="1" applyBorder="1" applyProtection="1">
      <protection locked="0"/>
    </xf>
    <xf numFmtId="0" fontId="0" fillId="0" borderId="14" xfId="0" applyBorder="1"/>
    <xf numFmtId="0" fontId="101" fillId="0" borderId="0" xfId="0" applyFont="1" applyBorder="1" applyAlignment="1">
      <alignment horizontal="center" vertical="center" wrapText="1"/>
    </xf>
    <xf numFmtId="0" fontId="102" fillId="0" borderId="21" xfId="0" applyFont="1" applyBorder="1" applyAlignment="1">
      <alignment horizontal="center" vertical="center" wrapText="1"/>
    </xf>
    <xf numFmtId="0" fontId="102" fillId="0" borderId="21" xfId="0" applyFont="1" applyBorder="1" applyAlignment="1">
      <alignment horizontal="center" vertical="center"/>
    </xf>
    <xf numFmtId="0" fontId="100" fillId="0" borderId="21" xfId="0" applyFont="1" applyFill="1" applyBorder="1" applyAlignment="1">
      <alignment horizontal="left"/>
    </xf>
    <xf numFmtId="0" fontId="46" fillId="0" borderId="0" xfId="0" applyFont="1" applyAlignment="1"/>
    <xf numFmtId="0" fontId="0" fillId="0" borderId="0" xfId="0" applyAlignment="1"/>
    <xf numFmtId="0" fontId="20" fillId="0" borderId="0" xfId="0" applyFont="1" applyAlignment="1"/>
    <xf numFmtId="0" fontId="46" fillId="0" borderId="0" xfId="0" applyFont="1" applyFill="1" applyAlignment="1"/>
    <xf numFmtId="0" fontId="0" fillId="0" borderId="0" xfId="0" applyBorder="1" applyAlignment="1"/>
    <xf numFmtId="0" fontId="97" fillId="23" borderId="0" xfId="0" applyFont="1" applyFill="1" applyAlignment="1"/>
    <xf numFmtId="0" fontId="104" fillId="23" borderId="21" xfId="0" applyFont="1" applyFill="1" applyBorder="1" applyAlignment="1">
      <alignment horizontal="left"/>
    </xf>
    <xf numFmtId="0" fontId="97" fillId="23" borderId="0" xfId="0" applyFont="1" applyFill="1" applyBorder="1" applyAlignment="1"/>
    <xf numFmtId="0" fontId="105" fillId="23" borderId="0" xfId="0" applyFont="1" applyFill="1" applyBorder="1" applyAlignment="1">
      <alignment horizontal="center" vertical="center" wrapText="1"/>
    </xf>
    <xf numFmtId="0" fontId="106" fillId="23" borderId="21" xfId="0" applyFont="1" applyFill="1" applyBorder="1" applyAlignment="1">
      <alignment horizontal="left"/>
    </xf>
    <xf numFmtId="0" fontId="108" fillId="23" borderId="0" xfId="0" applyFont="1" applyFill="1" applyAlignment="1"/>
    <xf numFmtId="0" fontId="108" fillId="23" borderId="21" xfId="0" applyFont="1" applyFill="1" applyBorder="1" applyAlignment="1">
      <alignment horizontal="left"/>
    </xf>
    <xf numFmtId="0" fontId="0" fillId="0" borderId="0" xfId="0" applyFill="1" applyAlignment="1"/>
    <xf numFmtId="0" fontId="108" fillId="0" borderId="0" xfId="0" applyFont="1" applyFill="1" applyAlignment="1"/>
    <xf numFmtId="0" fontId="97" fillId="0" borderId="0" xfId="0" applyFont="1" applyFill="1" applyAlignment="1"/>
    <xf numFmtId="0" fontId="108" fillId="0" borderId="0" xfId="0" applyFont="1" applyFill="1" applyBorder="1" applyAlignment="1"/>
    <xf numFmtId="0" fontId="107" fillId="23" borderId="21" xfId="0" applyFont="1" applyFill="1" applyBorder="1" applyAlignment="1"/>
    <xf numFmtId="0" fontId="97" fillId="23" borderId="21" xfId="0" applyFont="1" applyFill="1" applyBorder="1" applyAlignment="1"/>
    <xf numFmtId="0" fontId="110" fillId="23" borderId="21" xfId="0" applyFont="1" applyFill="1" applyBorder="1" applyAlignment="1"/>
    <xf numFmtId="0" fontId="46" fillId="0" borderId="0" xfId="40" applyFont="1" applyAlignment="1">
      <alignment vertical="top" wrapText="1"/>
    </xf>
    <xf numFmtId="0" fontId="46" fillId="0" borderId="0" xfId="40" applyFont="1" applyAlignment="1"/>
    <xf numFmtId="0" fontId="51" fillId="0" borderId="0" xfId="40" applyFont="1" applyAlignment="1">
      <alignment horizontal="center"/>
    </xf>
    <xf numFmtId="0" fontId="112" fillId="0" borderId="0" xfId="0" applyFont="1" applyBorder="1" applyAlignment="1" applyProtection="1">
      <alignment horizontal="center" vertical="center"/>
      <protection hidden="1"/>
    </xf>
    <xf numFmtId="5" fontId="46" fillId="0" borderId="0" xfId="6" applyNumberFormat="1" applyFont="1" applyFill="1" applyBorder="1" applyAlignment="1">
      <alignment horizontal="center" vertical="center" wrapText="1"/>
    </xf>
    <xf numFmtId="0" fontId="112" fillId="0" borderId="0" xfId="0" applyFont="1" applyBorder="1" applyAlignment="1">
      <alignment horizontal="center" vertical="center"/>
    </xf>
    <xf numFmtId="0" fontId="96" fillId="23" borderId="0" xfId="0" applyFont="1" applyFill="1" applyAlignment="1"/>
    <xf numFmtId="0" fontId="96" fillId="23" borderId="0" xfId="0" applyFont="1" applyFill="1" applyAlignment="1">
      <alignment horizontal="center"/>
    </xf>
    <xf numFmtId="0" fontId="112" fillId="0" borderId="0" xfId="0" applyFont="1" applyBorder="1" applyAlignment="1"/>
    <xf numFmtId="0" fontId="111" fillId="0" borderId="21" xfId="0" applyFont="1" applyBorder="1" applyAlignment="1" applyProtection="1">
      <alignment horizontal="center" wrapText="1"/>
      <protection hidden="1"/>
    </xf>
    <xf numFmtId="176" fontId="51" fillId="14" borderId="45" xfId="0" applyNumberFormat="1" applyFont="1" applyFill="1" applyBorder="1" applyAlignment="1">
      <alignment horizontal="center"/>
    </xf>
    <xf numFmtId="176" fontId="51" fillId="14" borderId="49" xfId="0" applyNumberFormat="1" applyFont="1" applyFill="1" applyBorder="1" applyAlignment="1">
      <alignment horizontal="center"/>
    </xf>
    <xf numFmtId="176" fontId="98" fillId="22" borderId="15" xfId="0" applyNumberFormat="1" applyFont="1" applyFill="1" applyBorder="1" applyAlignment="1">
      <alignment horizontal="center" vertical="center"/>
    </xf>
    <xf numFmtId="0" fontId="46" fillId="0" borderId="0" xfId="40" applyFont="1" applyAlignment="1">
      <alignment vertical="top"/>
    </xf>
    <xf numFmtId="0" fontId="68" fillId="0" borderId="0" xfId="40" applyFont="1" applyAlignment="1">
      <alignment vertical="top" wrapText="1"/>
    </xf>
    <xf numFmtId="0" fontId="64" fillId="0" borderId="0" xfId="40" applyFont="1" applyAlignment="1">
      <alignment vertical="top"/>
    </xf>
    <xf numFmtId="0" fontId="46" fillId="0" borderId="0" xfId="40" applyFont="1" applyAlignment="1">
      <alignment vertical="center"/>
    </xf>
    <xf numFmtId="7" fontId="46" fillId="0" borderId="0" xfId="6" applyNumberFormat="1" applyFont="1" applyFill="1" applyBorder="1" applyAlignment="1">
      <alignment horizontal="center" vertical="center"/>
    </xf>
    <xf numFmtId="7" fontId="46" fillId="0" borderId="0" xfId="40" applyNumberFormat="1" applyFont="1" applyBorder="1" applyAlignment="1">
      <alignment horizontal="center" vertical="center"/>
    </xf>
    <xf numFmtId="0" fontId="46" fillId="0" borderId="0" xfId="40" applyFont="1" applyBorder="1" applyAlignment="1">
      <alignment vertical="center"/>
    </xf>
    <xf numFmtId="3" fontId="46" fillId="0" borderId="0" xfId="40" applyNumberFormat="1" applyFont="1" applyBorder="1" applyAlignment="1">
      <alignment horizontal="center" vertical="center"/>
    </xf>
    <xf numFmtId="39" fontId="46" fillId="0" borderId="0" xfId="40" applyNumberFormat="1" applyFont="1" applyBorder="1" applyAlignment="1">
      <alignment horizontal="center" vertical="center"/>
    </xf>
    <xf numFmtId="5" fontId="46" fillId="0" borderId="0" xfId="40" applyNumberFormat="1" applyFont="1" applyBorder="1" applyAlignment="1">
      <alignment horizontal="center" vertical="center"/>
    </xf>
    <xf numFmtId="0" fontId="10" fillId="18" borderId="0" xfId="0" applyFont="1" applyFill="1"/>
    <xf numFmtId="0" fontId="10" fillId="0" borderId="0" xfId="0" applyFont="1"/>
    <xf numFmtId="0" fontId="116"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5" fillId="0" borderId="5" xfId="0" applyFont="1" applyBorder="1" applyAlignment="1">
      <alignment horizontal="center" vertical="center"/>
    </xf>
    <xf numFmtId="7" fontId="115" fillId="0" borderId="5" xfId="0" applyNumberFormat="1" applyFont="1" applyBorder="1" applyAlignment="1">
      <alignment horizontal="right" vertical="center"/>
    </xf>
    <xf numFmtId="0" fontId="116"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4" fillId="0" borderId="5" xfId="67" applyFont="1" applyBorder="1" applyAlignment="1">
      <alignment horizontal="center"/>
    </xf>
    <xf numFmtId="0" fontId="7" fillId="0" borderId="5" xfId="67" applyBorder="1" applyAlignment="1">
      <alignment horizontal="left" indent="1"/>
    </xf>
    <xf numFmtId="0" fontId="127" fillId="0" borderId="5" xfId="67" applyFont="1" applyBorder="1" applyAlignment="1">
      <alignment horizontal="center"/>
    </xf>
    <xf numFmtId="0" fontId="7" fillId="0" borderId="5" xfId="67" applyBorder="1" applyAlignment="1">
      <alignment horizontal="left"/>
    </xf>
    <xf numFmtId="0" fontId="117" fillId="24" borderId="52" xfId="67" applyFont="1" applyFill="1" applyBorder="1" applyAlignment="1" applyProtection="1">
      <alignment horizontal="center" vertical="center" wrapText="1"/>
    </xf>
    <xf numFmtId="0" fontId="117" fillId="24" borderId="25" xfId="67" applyFont="1" applyFill="1" applyBorder="1" applyAlignment="1" applyProtection="1">
      <alignment horizontal="center" vertical="center" wrapText="1"/>
    </xf>
    <xf numFmtId="0" fontId="117" fillId="24" borderId="54" xfId="67" applyFont="1" applyFill="1" applyBorder="1" applyAlignment="1" applyProtection="1">
      <alignment horizontal="center" vertical="center" wrapText="1"/>
    </xf>
    <xf numFmtId="177" fontId="118" fillId="27" borderId="64" xfId="71" applyNumberFormat="1" applyFont="1" applyFill="1" applyBorder="1" applyAlignment="1" applyProtection="1">
      <alignment horizontal="right" vertical="center"/>
    </xf>
    <xf numFmtId="9" fontId="118" fillId="27" borderId="65" xfId="71" applyFont="1" applyFill="1" applyBorder="1" applyAlignment="1" applyProtection="1">
      <alignment horizontal="right" vertical="center"/>
    </xf>
    <xf numFmtId="0" fontId="115" fillId="0" borderId="0" xfId="67" applyFont="1"/>
    <xf numFmtId="0" fontId="7" fillId="0" borderId="39" xfId="67" applyBorder="1"/>
    <xf numFmtId="0" fontId="115" fillId="0" borderId="41" xfId="67" applyFont="1" applyBorder="1"/>
    <xf numFmtId="0" fontId="7" fillId="0" borderId="38" xfId="67" applyBorder="1"/>
    <xf numFmtId="0" fontId="7" fillId="0" borderId="0" xfId="67" applyBorder="1"/>
    <xf numFmtId="0" fontId="115"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8" fillId="0" borderId="0" xfId="0" applyNumberFormat="1" applyFont="1" applyBorder="1" applyAlignment="1">
      <alignment horizontal="right"/>
    </xf>
    <xf numFmtId="0" fontId="78" fillId="0" borderId="0" xfId="0" applyFont="1" applyFill="1" applyBorder="1" applyAlignment="1" applyProtection="1">
      <alignment horizontal="right"/>
    </xf>
    <xf numFmtId="1" fontId="78" fillId="0" borderId="0" xfId="0" applyNumberFormat="1" applyFont="1" applyFill="1" applyBorder="1" applyAlignment="1" applyProtection="1">
      <alignment horizontal="right"/>
    </xf>
    <xf numFmtId="0" fontId="78" fillId="0" borderId="0" xfId="0" applyFont="1" applyFill="1" applyBorder="1" applyAlignment="1">
      <alignment horizontal="right"/>
    </xf>
    <xf numFmtId="164" fontId="78" fillId="0" borderId="0" xfId="5" applyNumberFormat="1" applyFont="1" applyBorder="1" applyAlignment="1" applyProtection="1">
      <alignment horizontal="right"/>
      <protection locked="0"/>
    </xf>
    <xf numFmtId="164" fontId="78" fillId="0" borderId="4" xfId="5" applyNumberFormat="1" applyFont="1" applyBorder="1" applyAlignment="1" applyProtection="1">
      <alignment horizontal="right"/>
      <protection locked="0"/>
    </xf>
    <xf numFmtId="0" fontId="78" fillId="0" borderId="4" xfId="0" applyFont="1" applyFill="1" applyBorder="1" applyAlignment="1" applyProtection="1">
      <alignment horizontal="right"/>
    </xf>
    <xf numFmtId="1" fontId="78" fillId="0" borderId="4" xfId="0" applyNumberFormat="1" applyFont="1" applyFill="1" applyBorder="1" applyAlignment="1" applyProtection="1">
      <alignment horizontal="right"/>
    </xf>
    <xf numFmtId="0" fontId="78" fillId="0" borderId="4" xfId="0" applyFont="1" applyFill="1" applyBorder="1" applyAlignment="1">
      <alignment horizontal="right"/>
    </xf>
    <xf numFmtId="206" fontId="78" fillId="0" borderId="4" xfId="5" applyNumberFormat="1" applyFont="1" applyBorder="1" applyAlignment="1" applyProtection="1">
      <alignment horizontal="right"/>
      <protection locked="0"/>
    </xf>
    <xf numFmtId="164" fontId="78" fillId="0" borderId="4" xfId="0" applyNumberFormat="1" applyFont="1" applyBorder="1" applyAlignment="1">
      <alignment horizontal="right"/>
    </xf>
    <xf numFmtId="0" fontId="78" fillId="0" borderId="0" xfId="0" applyFont="1" applyFill="1" applyBorder="1" applyAlignment="1" applyProtection="1">
      <alignment horizontal="right" vertical="center"/>
    </xf>
    <xf numFmtId="205" fontId="78" fillId="0" borderId="0" xfId="41" applyFont="1" applyFill="1" applyBorder="1" applyAlignment="1" applyProtection="1">
      <alignment horizontal="right" vertical="center"/>
    </xf>
    <xf numFmtId="0" fontId="78" fillId="0" borderId="4" xfId="0" applyFont="1" applyFill="1" applyBorder="1" applyAlignment="1" applyProtection="1">
      <alignment horizontal="right" vertical="center"/>
    </xf>
    <xf numFmtId="205" fontId="78" fillId="0" borderId="4" xfId="41" applyFont="1" applyFill="1" applyBorder="1" applyAlignment="1" applyProtection="1">
      <alignment horizontal="right" vertical="center"/>
    </xf>
    <xf numFmtId="206" fontId="78" fillId="0" borderId="0" xfId="5" applyNumberFormat="1" applyFont="1" applyBorder="1" applyAlignment="1" applyProtection="1">
      <alignment horizontal="right"/>
      <protection locked="0"/>
    </xf>
    <xf numFmtId="0" fontId="78" fillId="0" borderId="0" xfId="0" applyFont="1" applyBorder="1" applyAlignment="1">
      <alignment horizontal="right"/>
    </xf>
    <xf numFmtId="0" fontId="48" fillId="0" borderId="0" xfId="0" applyFont="1" applyAlignment="1"/>
    <xf numFmtId="0" fontId="131" fillId="23" borderId="0" xfId="0" applyFont="1" applyFill="1" applyAlignment="1"/>
    <xf numFmtId="0" fontId="95" fillId="23" borderId="0" xfId="0" applyFont="1" applyFill="1" applyAlignment="1"/>
    <xf numFmtId="0" fontId="20" fillId="0" borderId="0" xfId="0" applyFont="1" applyBorder="1"/>
    <xf numFmtId="0" fontId="51" fillId="0" borderId="20" xfId="0" applyFont="1" applyBorder="1" applyAlignment="1">
      <alignment horizontal="center" wrapText="1"/>
    </xf>
    <xf numFmtId="0" fontId="49" fillId="0" borderId="14" xfId="0" applyFont="1" applyBorder="1" applyAlignment="1">
      <alignment horizontal="right"/>
    </xf>
    <xf numFmtId="0" fontId="49" fillId="0" borderId="17" xfId="0" applyFont="1" applyBorder="1" applyAlignment="1">
      <alignment horizontal="right"/>
    </xf>
    <xf numFmtId="39" fontId="46"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6" fillId="0" borderId="0" xfId="0" applyNumberFormat="1" applyFont="1" applyBorder="1" applyAlignment="1">
      <alignment horizontal="center" vertical="center"/>
    </xf>
    <xf numFmtId="39" fontId="46" fillId="0" borderId="4" xfId="0" applyNumberFormat="1" applyFont="1" applyBorder="1" applyAlignment="1">
      <alignment horizontal="center" vertical="center"/>
    </xf>
    <xf numFmtId="44" fontId="46" fillId="0" borderId="13" xfId="6" applyFont="1" applyBorder="1" applyAlignment="1">
      <alignment horizontal="center" vertical="center"/>
    </xf>
    <xf numFmtId="44" fontId="46" fillId="0" borderId="15" xfId="6" applyFont="1" applyBorder="1" applyAlignment="1">
      <alignment horizontal="center" vertical="center"/>
    </xf>
    <xf numFmtId="44" fontId="46" fillId="0" borderId="4" xfId="6" applyFont="1" applyBorder="1" applyAlignment="1">
      <alignment horizontal="center" vertical="center"/>
    </xf>
    <xf numFmtId="0" fontId="0" fillId="17" borderId="0" xfId="0" applyFill="1"/>
    <xf numFmtId="0" fontId="0" fillId="17" borderId="11" xfId="0" applyFill="1" applyBorder="1"/>
    <xf numFmtId="0" fontId="99" fillId="17" borderId="20" xfId="0" applyFont="1" applyFill="1" applyBorder="1"/>
    <xf numFmtId="0" fontId="22" fillId="17" borderId="12" xfId="0" applyFont="1" applyFill="1" applyBorder="1"/>
    <xf numFmtId="0" fontId="14" fillId="17" borderId="14" xfId="0" applyFont="1" applyFill="1" applyBorder="1"/>
    <xf numFmtId="0" fontId="96" fillId="17" borderId="0" xfId="0" applyFont="1" applyFill="1" applyBorder="1"/>
    <xf numFmtId="0" fontId="46" fillId="17" borderId="0" xfId="0" applyFont="1" applyFill="1" applyBorder="1"/>
    <xf numFmtId="0" fontId="48" fillId="17" borderId="15" xfId="0" applyFont="1" applyFill="1" applyBorder="1"/>
    <xf numFmtId="0" fontId="0" fillId="17" borderId="12" xfId="0" applyFill="1" applyBorder="1"/>
    <xf numFmtId="0" fontId="48" fillId="17" borderId="0" xfId="0" applyFont="1" applyFill="1" applyBorder="1"/>
    <xf numFmtId="0" fontId="14" fillId="17" borderId="17" xfId="0" applyFont="1" applyFill="1" applyBorder="1"/>
    <xf numFmtId="0" fontId="48" fillId="17" borderId="18" xfId="0" applyFont="1" applyFill="1" applyBorder="1"/>
    <xf numFmtId="0" fontId="14" fillId="17" borderId="11" xfId="0" applyFont="1" applyFill="1" applyBorder="1"/>
    <xf numFmtId="0" fontId="22"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3" fillId="17" borderId="0" xfId="0" applyFont="1" applyFill="1" applyBorder="1" applyProtection="1">
      <protection locked="0"/>
    </xf>
    <xf numFmtId="0" fontId="11" fillId="17" borderId="11" xfId="0" applyFont="1" applyFill="1" applyBorder="1"/>
    <xf numFmtId="0" fontId="89" fillId="17" borderId="20" xfId="0" applyFont="1" applyFill="1" applyBorder="1" applyProtection="1">
      <protection locked="0"/>
    </xf>
    <xf numFmtId="0" fontId="11" fillId="17" borderId="14" xfId="0" applyFont="1" applyFill="1" applyBorder="1"/>
    <xf numFmtId="0" fontId="133" fillId="17" borderId="4" xfId="0" applyFont="1" applyFill="1" applyBorder="1" applyProtection="1">
      <protection locked="0"/>
    </xf>
    <xf numFmtId="0" fontId="132" fillId="17" borderId="0" xfId="0" applyFont="1" applyFill="1" applyAlignment="1">
      <alignment horizontal="center"/>
    </xf>
    <xf numFmtId="0" fontId="134"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4" fillId="0" borderId="5" xfId="67" applyFont="1" applyBorder="1"/>
    <xf numFmtId="39" fontId="46" fillId="0" borderId="0" xfId="0" applyNumberFormat="1" applyFont="1" applyAlignment="1">
      <alignment horizontal="center"/>
    </xf>
    <xf numFmtId="210" fontId="46" fillId="0" borderId="0" xfId="0" applyNumberFormat="1" applyFont="1"/>
    <xf numFmtId="0" fontId="0" fillId="0" borderId="0" xfId="0" applyAlignment="1">
      <alignment vertical="center"/>
    </xf>
    <xf numFmtId="0" fontId="51" fillId="0" borderId="12" xfId="0" applyFont="1" applyFill="1" applyBorder="1" applyAlignment="1">
      <alignment horizontal="center" wrapText="1"/>
    </xf>
    <xf numFmtId="44" fontId="46"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6" fillId="0" borderId="18" xfId="6" applyFont="1" applyFill="1" applyBorder="1" applyAlignment="1">
      <alignment horizontal="center" vertical="center"/>
    </xf>
    <xf numFmtId="3" fontId="46" fillId="0" borderId="0" xfId="0" applyNumberFormat="1" applyFont="1" applyAlignment="1">
      <alignment horizontal="center" vertical="center"/>
    </xf>
    <xf numFmtId="39" fontId="46" fillId="0" borderId="0" xfId="0" applyNumberFormat="1" applyFont="1" applyAlignment="1">
      <alignment horizontal="center" vertical="center"/>
    </xf>
    <xf numFmtId="173" fontId="46" fillId="0" borderId="0" xfId="0" applyNumberFormat="1" applyFont="1" applyAlignment="1">
      <alignment vertical="center"/>
    </xf>
    <xf numFmtId="173" fontId="98" fillId="22" borderId="14" xfId="0" applyNumberFormat="1" applyFont="1" applyFill="1" applyBorder="1" applyAlignment="1">
      <alignment horizontal="right" vertical="center"/>
    </xf>
    <xf numFmtId="0" fontId="46" fillId="0" borderId="42" xfId="0" applyFont="1" applyFill="1" applyBorder="1" applyAlignment="1">
      <alignment horizontal="center" vertical="center" wrapText="1"/>
    </xf>
    <xf numFmtId="176" fontId="46" fillId="0" borderId="74" xfId="6" applyNumberFormat="1" applyFont="1" applyFill="1" applyBorder="1" applyAlignment="1">
      <alignment horizontal="center" vertical="center" wrapText="1"/>
    </xf>
    <xf numFmtId="0" fontId="46" fillId="0" borderId="74" xfId="0" applyFont="1" applyFill="1" applyBorder="1" applyAlignment="1">
      <alignment vertical="center" wrapText="1"/>
    </xf>
    <xf numFmtId="0" fontId="46" fillId="0" borderId="19" xfId="0" applyFont="1" applyFill="1" applyBorder="1" applyAlignment="1">
      <alignment vertical="center" wrapText="1"/>
    </xf>
    <xf numFmtId="0" fontId="46" fillId="0" borderId="16" xfId="0" applyFont="1" applyFill="1" applyBorder="1" applyAlignment="1">
      <alignment vertical="center" wrapText="1"/>
    </xf>
    <xf numFmtId="4" fontId="112" fillId="0" borderId="0" xfId="40" applyNumberFormat="1" applyFont="1" applyBorder="1" applyAlignment="1">
      <alignment horizontal="center" vertical="center"/>
    </xf>
    <xf numFmtId="173" fontId="112" fillId="0" borderId="74" xfId="40" applyNumberFormat="1" applyFont="1" applyBorder="1" applyAlignment="1">
      <alignment horizontal="center" vertical="center"/>
    </xf>
    <xf numFmtId="5" fontId="46" fillId="0" borderId="0" xfId="40" applyNumberFormat="1" applyFont="1" applyBorder="1" applyAlignment="1">
      <alignment vertical="center"/>
    </xf>
    <xf numFmtId="165" fontId="46" fillId="0" borderId="0" xfId="0" applyNumberFormat="1" applyFont="1" applyBorder="1"/>
    <xf numFmtId="37" fontId="51" fillId="0" borderId="0" xfId="4" applyNumberFormat="1" applyFont="1" applyBorder="1" applyAlignment="1">
      <alignment horizontal="center"/>
    </xf>
    <xf numFmtId="0" fontId="51" fillId="0" borderId="0" xfId="40" applyFont="1" applyBorder="1" applyAlignment="1">
      <alignment horizontal="center"/>
    </xf>
    <xf numFmtId="0" fontId="51" fillId="0" borderId="0" xfId="0" applyFont="1" applyAlignment="1">
      <alignment horizontal="center"/>
    </xf>
    <xf numFmtId="0" fontId="51"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4" fillId="0" borderId="0" xfId="72" applyFont="1" applyFill="1" applyBorder="1"/>
    <xf numFmtId="0" fontId="115" fillId="0" borderId="0" xfId="72" applyFont="1" applyBorder="1" applyAlignment="1">
      <alignment wrapText="1"/>
    </xf>
    <xf numFmtId="0" fontId="115" fillId="0" borderId="0" xfId="72" applyFont="1" applyFill="1" applyBorder="1"/>
    <xf numFmtId="0" fontId="115" fillId="0" borderId="0" xfId="72" applyFont="1" applyBorder="1"/>
    <xf numFmtId="0" fontId="115" fillId="0" borderId="0" xfId="72" applyFont="1"/>
    <xf numFmtId="0" fontId="124"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19" fillId="0" borderId="0" xfId="72" applyFont="1" applyBorder="1"/>
    <xf numFmtId="0" fontId="119" fillId="0" borderId="0" xfId="72" applyFont="1" applyFill="1" applyBorder="1"/>
    <xf numFmtId="0" fontId="6" fillId="0" borderId="0" xfId="72" applyFill="1" applyBorder="1"/>
    <xf numFmtId="0" fontId="6" fillId="18" borderId="0" xfId="72" applyFill="1" applyBorder="1"/>
    <xf numFmtId="0" fontId="137"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19" fillId="0" borderId="0" xfId="72" applyFont="1"/>
    <xf numFmtId="0" fontId="129" fillId="30" borderId="5" xfId="72" applyFont="1" applyFill="1" applyBorder="1" applyAlignment="1">
      <alignment vertical="top" wrapText="1"/>
    </xf>
    <xf numFmtId="0" fontId="130" fillId="30" borderId="5" xfId="72" applyFont="1" applyFill="1" applyBorder="1" applyAlignment="1">
      <alignment horizontal="left" vertical="top"/>
    </xf>
    <xf numFmtId="0" fontId="138" fillId="30" borderId="5" xfId="72" applyFont="1" applyFill="1" applyBorder="1" applyAlignment="1">
      <alignment horizontal="left" vertical="top"/>
    </xf>
    <xf numFmtId="0" fontId="129" fillId="30" borderId="5" xfId="72" applyFont="1" applyFill="1" applyBorder="1" applyAlignment="1" applyProtection="1">
      <alignment vertical="top" wrapText="1"/>
      <protection hidden="1"/>
    </xf>
    <xf numFmtId="0" fontId="129" fillId="35" borderId="5" xfId="72" applyFont="1" applyFill="1" applyBorder="1" applyAlignment="1">
      <alignment vertical="top" wrapText="1"/>
    </xf>
    <xf numFmtId="0" fontId="130" fillId="35" borderId="5" xfId="72" applyFont="1" applyFill="1" applyBorder="1" applyAlignment="1">
      <alignment horizontal="left" vertical="top"/>
    </xf>
    <xf numFmtId="0" fontId="138" fillId="35" borderId="5" xfId="72" applyFont="1" applyFill="1" applyBorder="1" applyAlignment="1">
      <alignment horizontal="left" vertical="top"/>
    </xf>
    <xf numFmtId="0" fontId="129" fillId="35" borderId="5" xfId="72" applyFont="1" applyFill="1" applyBorder="1" applyAlignment="1" applyProtection="1">
      <alignment vertical="top" wrapText="1"/>
      <protection hidden="1"/>
    </xf>
    <xf numFmtId="0" fontId="130" fillId="30" borderId="5" xfId="72" applyFont="1" applyFill="1" applyBorder="1" applyAlignment="1">
      <alignment vertical="top" wrapText="1"/>
    </xf>
    <xf numFmtId="0" fontId="130" fillId="35" borderId="5" xfId="72" applyFont="1" applyFill="1" applyBorder="1" applyAlignment="1" applyProtection="1">
      <alignment vertical="top" wrapText="1"/>
      <protection hidden="1"/>
    </xf>
    <xf numFmtId="0" fontId="122" fillId="0" borderId="0" xfId="72" applyFont="1"/>
    <xf numFmtId="0" fontId="6" fillId="0" borderId="0" xfId="72" quotePrefix="1"/>
    <xf numFmtId="204" fontId="119"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8" fillId="27" borderId="65" xfId="74" applyFont="1" applyFill="1" applyBorder="1" applyAlignment="1" applyProtection="1">
      <alignment horizontal="right" vertical="center"/>
    </xf>
    <xf numFmtId="10" fontId="23" fillId="36" borderId="37" xfId="72" applyNumberFormat="1" applyFont="1" applyFill="1" applyBorder="1" applyAlignment="1">
      <alignment horizontal="right"/>
    </xf>
    <xf numFmtId="0" fontId="117" fillId="24" borderId="54" xfId="72" applyFont="1" applyFill="1" applyBorder="1" applyAlignment="1" applyProtection="1">
      <alignment horizontal="center" vertical="center" wrapText="1"/>
    </xf>
    <xf numFmtId="0" fontId="117" fillId="24" borderId="25" xfId="72" applyFont="1" applyFill="1" applyBorder="1" applyAlignment="1" applyProtection="1">
      <alignment horizontal="center" vertical="center" wrapText="1"/>
    </xf>
    <xf numFmtId="0" fontId="117"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19" fillId="0" borderId="0" xfId="74" applyFont="1"/>
    <xf numFmtId="0" fontId="139" fillId="0" borderId="0" xfId="72" applyFont="1"/>
    <xf numFmtId="0" fontId="119" fillId="0" borderId="37" xfId="72" applyFont="1" applyBorder="1"/>
    <xf numFmtId="44" fontId="119" fillId="0" borderId="21" xfId="75" applyFont="1" applyBorder="1"/>
    <xf numFmtId="0" fontId="119" fillId="0" borderId="30" xfId="72" applyFont="1" applyBorder="1"/>
    <xf numFmtId="0" fontId="119" fillId="0" borderId="41" xfId="72" applyFont="1" applyBorder="1"/>
    <xf numFmtId="44" fontId="119" fillId="0" borderId="40" xfId="75" applyFont="1" applyBorder="1"/>
    <xf numFmtId="0" fontId="119" fillId="0" borderId="39" xfId="72" applyFont="1" applyBorder="1"/>
    <xf numFmtId="0" fontId="119" fillId="0" borderId="0" xfId="72" applyFont="1" applyAlignment="1">
      <alignment horizontal="right"/>
    </xf>
    <xf numFmtId="0" fontId="124" fillId="0" borderId="9" xfId="72" applyFont="1" applyBorder="1"/>
    <xf numFmtId="0" fontId="124" fillId="0" borderId="13" xfId="72" applyFont="1" applyBorder="1"/>
    <xf numFmtId="0" fontId="124" fillId="0" borderId="8" xfId="72" applyFont="1" applyBorder="1"/>
    <xf numFmtId="0" fontId="119" fillId="0" borderId="0" xfId="72" applyFont="1" applyAlignment="1">
      <alignment horizontal="center"/>
    </xf>
    <xf numFmtId="0" fontId="140" fillId="0" borderId="0" xfId="72" applyFont="1" applyAlignment="1">
      <alignment horizontal="left"/>
    </xf>
    <xf numFmtId="0" fontId="140" fillId="0" borderId="0" xfId="72" applyFont="1"/>
    <xf numFmtId="0" fontId="119" fillId="0" borderId="0" xfId="72" applyFont="1" applyAlignment="1">
      <alignment vertical="center"/>
    </xf>
    <xf numFmtId="0" fontId="119" fillId="0" borderId="58" xfId="72" applyFont="1" applyBorder="1"/>
    <xf numFmtId="0" fontId="117" fillId="0" borderId="0" xfId="72" applyFont="1"/>
    <xf numFmtId="0" fontId="119" fillId="18" borderId="0" xfId="72" applyFont="1" applyFill="1"/>
    <xf numFmtId="0" fontId="117" fillId="18" borderId="0" xfId="72" applyFont="1" applyFill="1"/>
    <xf numFmtId="212" fontId="123" fillId="0" borderId="5" xfId="72" applyNumberFormat="1" applyFont="1" applyBorder="1" applyAlignment="1">
      <alignment horizontal="center"/>
    </xf>
    <xf numFmtId="212" fontId="119" fillId="37" borderId="73" xfId="72" applyNumberFormat="1" applyFont="1" applyFill="1" applyBorder="1" applyAlignment="1">
      <alignment horizontal="center" vertical="center"/>
    </xf>
    <xf numFmtId="176" fontId="119" fillId="0" borderId="5" xfId="72" applyNumberFormat="1" applyFont="1" applyBorder="1" applyAlignment="1">
      <alignment horizontal="center"/>
    </xf>
    <xf numFmtId="176" fontId="119" fillId="37" borderId="55" xfId="75" applyNumberFormat="1" applyFont="1" applyFill="1" applyBorder="1" applyAlignment="1">
      <alignment horizontal="center"/>
    </xf>
    <xf numFmtId="212" fontId="119" fillId="0" borderId="58" xfId="72" applyNumberFormat="1" applyFont="1" applyBorder="1" applyAlignment="1">
      <alignment horizontal="center"/>
    </xf>
    <xf numFmtId="212" fontId="119" fillId="0" borderId="24" xfId="72" applyNumberFormat="1" applyFont="1" applyBorder="1"/>
    <xf numFmtId="212" fontId="119" fillId="38" borderId="72" xfId="72" applyNumberFormat="1" applyFont="1" applyFill="1" applyBorder="1"/>
    <xf numFmtId="212" fontId="119" fillId="37" borderId="57" xfId="72" applyNumberFormat="1" applyFont="1" applyFill="1" applyBorder="1" applyAlignment="1">
      <alignment vertical="center"/>
    </xf>
    <xf numFmtId="212" fontId="119" fillId="0" borderId="73" xfId="72" applyNumberFormat="1" applyFont="1" applyBorder="1" applyAlignment="1"/>
    <xf numFmtId="212" fontId="119" fillId="0" borderId="24" xfId="72" applyNumberFormat="1" applyFont="1" applyBorder="1" applyAlignment="1"/>
    <xf numFmtId="212" fontId="119" fillId="0" borderId="72" xfId="72" applyNumberFormat="1" applyFont="1" applyBorder="1" applyAlignment="1"/>
    <xf numFmtId="212" fontId="119" fillId="0" borderId="58" xfId="72" applyNumberFormat="1" applyFont="1" applyBorder="1"/>
    <xf numFmtId="212" fontId="119" fillId="0" borderId="5" xfId="72" applyNumberFormat="1" applyFont="1" applyBorder="1"/>
    <xf numFmtId="0" fontId="119" fillId="0" borderId="73" xfId="72" applyFont="1" applyBorder="1"/>
    <xf numFmtId="0" fontId="119" fillId="0" borderId="72" xfId="72" applyFont="1" applyBorder="1"/>
    <xf numFmtId="0" fontId="119" fillId="0" borderId="55" xfId="72" applyFont="1" applyBorder="1"/>
    <xf numFmtId="0" fontId="117" fillId="37" borderId="41" xfId="72" applyFont="1" applyFill="1" applyBorder="1" applyAlignment="1">
      <alignment horizontal="center" vertical="center" wrapText="1"/>
    </xf>
    <xf numFmtId="0" fontId="117" fillId="37" borderId="27" xfId="72" applyFont="1" applyFill="1" applyBorder="1" applyAlignment="1">
      <alignment horizontal="center" vertical="center" wrapText="1"/>
    </xf>
    <xf numFmtId="212" fontId="119" fillId="39" borderId="68" xfId="72" applyNumberFormat="1" applyFont="1" applyFill="1" applyBorder="1" applyAlignment="1">
      <alignment horizontal="center" vertical="center"/>
    </xf>
    <xf numFmtId="212" fontId="119" fillId="39" borderId="74" xfId="72" applyNumberFormat="1" applyFont="1" applyFill="1" applyBorder="1" applyAlignment="1">
      <alignment horizontal="center" vertical="center"/>
    </xf>
    <xf numFmtId="212" fontId="119" fillId="39" borderId="84" xfId="72" applyNumberFormat="1" applyFont="1" applyFill="1" applyBorder="1" applyAlignment="1">
      <alignment horizontal="center" vertical="center"/>
    </xf>
    <xf numFmtId="212" fontId="119" fillId="37" borderId="14" xfId="72" applyNumberFormat="1" applyFont="1" applyFill="1" applyBorder="1" applyAlignment="1">
      <alignment vertical="center"/>
    </xf>
    <xf numFmtId="212" fontId="119" fillId="37" borderId="74" xfId="72" applyNumberFormat="1" applyFont="1" applyFill="1" applyBorder="1" applyAlignment="1">
      <alignment vertical="center"/>
    </xf>
    <xf numFmtId="212" fontId="119" fillId="37" borderId="84" xfId="72" applyNumberFormat="1" applyFont="1" applyFill="1" applyBorder="1" applyAlignment="1">
      <alignment horizontal="center" vertical="center"/>
    </xf>
    <xf numFmtId="212" fontId="119" fillId="39" borderId="42" xfId="72" applyNumberFormat="1" applyFont="1" applyFill="1" applyBorder="1" applyAlignment="1">
      <alignment horizontal="center" vertical="center"/>
    </xf>
    <xf numFmtId="212" fontId="119" fillId="39" borderId="74" xfId="72" applyNumberFormat="1" applyFont="1" applyFill="1" applyBorder="1" applyAlignment="1">
      <alignment vertical="center"/>
    </xf>
    <xf numFmtId="212" fontId="119" fillId="39" borderId="84" xfId="72" applyNumberFormat="1" applyFont="1" applyFill="1" applyBorder="1" applyAlignment="1">
      <alignment vertical="center"/>
    </xf>
    <xf numFmtId="212" fontId="119" fillId="39" borderId="14" xfId="72" applyNumberFormat="1" applyFont="1" applyFill="1" applyBorder="1" applyAlignment="1">
      <alignment vertical="center"/>
    </xf>
    <xf numFmtId="212" fontId="119" fillId="39" borderId="15" xfId="72" applyNumberFormat="1" applyFont="1" applyFill="1" applyBorder="1" applyAlignment="1">
      <alignment vertical="center"/>
    </xf>
    <xf numFmtId="0" fontId="119" fillId="39" borderId="85" xfId="72" applyFont="1" applyFill="1" applyBorder="1"/>
    <xf numFmtId="0" fontId="119" fillId="39" borderId="70" xfId="72" applyFont="1" applyFill="1" applyBorder="1"/>
    <xf numFmtId="0" fontId="119" fillId="39" borderId="27" xfId="72" applyFont="1" applyFill="1" applyBorder="1"/>
    <xf numFmtId="0" fontId="119" fillId="39" borderId="40" xfId="72" applyFont="1" applyFill="1" applyBorder="1"/>
    <xf numFmtId="212" fontId="119" fillId="0" borderId="75" xfId="72" applyNumberFormat="1" applyFont="1" applyBorder="1"/>
    <xf numFmtId="212" fontId="119" fillId="38" borderId="57" xfId="72" applyNumberFormat="1" applyFont="1" applyFill="1" applyBorder="1"/>
    <xf numFmtId="212" fontId="119" fillId="0" borderId="19" xfId="72" applyNumberFormat="1" applyFont="1" applyBorder="1"/>
    <xf numFmtId="212" fontId="119" fillId="37" borderId="86" xfId="72" applyNumberFormat="1" applyFont="1" applyFill="1" applyBorder="1" applyAlignment="1">
      <alignment horizontal="center" vertical="center"/>
    </xf>
    <xf numFmtId="176" fontId="119" fillId="37" borderId="28" xfId="75" applyNumberFormat="1" applyFont="1" applyFill="1" applyBorder="1" applyAlignment="1">
      <alignment horizontal="center"/>
    </xf>
    <xf numFmtId="212" fontId="119" fillId="0" borderId="8" xfId="72" applyNumberFormat="1" applyFont="1" applyBorder="1"/>
    <xf numFmtId="212" fontId="119" fillId="0" borderId="10" xfId="72" applyNumberFormat="1" applyFont="1" applyBorder="1"/>
    <xf numFmtId="212" fontId="119" fillId="18" borderId="87" xfId="72" applyNumberFormat="1" applyFont="1" applyFill="1" applyBorder="1" applyAlignment="1">
      <alignment horizontal="center"/>
    </xf>
    <xf numFmtId="212" fontId="119" fillId="18" borderId="19" xfId="72" applyNumberFormat="1" applyFont="1" applyFill="1" applyBorder="1" applyAlignment="1"/>
    <xf numFmtId="212" fontId="119" fillId="18" borderId="69" xfId="72" applyNumberFormat="1" applyFont="1" applyFill="1" applyBorder="1" applyAlignment="1"/>
    <xf numFmtId="212" fontId="119" fillId="0" borderId="87" xfId="72" applyNumberFormat="1" applyFont="1" applyBorder="1"/>
    <xf numFmtId="0" fontId="119" fillId="0" borderId="57" xfId="72" applyFont="1" applyBorder="1"/>
    <xf numFmtId="0" fontId="119" fillId="0" borderId="51" xfId="72" applyFont="1" applyBorder="1"/>
    <xf numFmtId="0" fontId="119" fillId="0" borderId="88" xfId="72" applyFont="1" applyBorder="1"/>
    <xf numFmtId="212" fontId="119" fillId="37" borderId="58" xfId="72" applyNumberFormat="1" applyFont="1" applyFill="1" applyBorder="1" applyAlignment="1">
      <alignment horizontal="center" vertical="center"/>
    </xf>
    <xf numFmtId="176" fontId="119" fillId="37" borderId="66" xfId="75" applyNumberFormat="1" applyFont="1" applyFill="1" applyBorder="1" applyAlignment="1">
      <alignment horizontal="center"/>
    </xf>
    <xf numFmtId="212" fontId="119" fillId="0" borderId="11" xfId="72" applyNumberFormat="1" applyFont="1" applyBorder="1"/>
    <xf numFmtId="212" fontId="119" fillId="0" borderId="58" xfId="72" applyNumberFormat="1" applyFont="1" applyBorder="1" applyAlignment="1"/>
    <xf numFmtId="212" fontId="119" fillId="0" borderId="5" xfId="72" applyNumberFormat="1" applyFont="1" applyBorder="1" applyAlignment="1"/>
    <xf numFmtId="212" fontId="119" fillId="0" borderId="57" xfId="72" applyNumberFormat="1" applyFont="1" applyBorder="1" applyAlignment="1"/>
    <xf numFmtId="0" fontId="119" fillId="0" borderId="60" xfId="72" applyFont="1" applyBorder="1"/>
    <xf numFmtId="176" fontId="119" fillId="37" borderId="60" xfId="75" applyNumberFormat="1" applyFont="1" applyFill="1" applyBorder="1" applyAlignment="1">
      <alignment horizontal="center"/>
    </xf>
    <xf numFmtId="212" fontId="119" fillId="38" borderId="58" xfId="72" applyNumberFormat="1" applyFont="1" applyFill="1" applyBorder="1" applyAlignment="1">
      <alignment horizontal="center" vertical="center"/>
    </xf>
    <xf numFmtId="212" fontId="119" fillId="37" borderId="87" xfId="72" applyNumberFormat="1" applyFont="1" applyFill="1" applyBorder="1" applyAlignment="1">
      <alignment horizontal="center" vertical="center"/>
    </xf>
    <xf numFmtId="212" fontId="119" fillId="38" borderId="69" xfId="72" applyNumberFormat="1" applyFont="1" applyFill="1" applyBorder="1"/>
    <xf numFmtId="0" fontId="119" fillId="0" borderId="69" xfId="72" applyFont="1" applyBorder="1"/>
    <xf numFmtId="0" fontId="119" fillId="0" borderId="66" xfId="72" applyFont="1" applyBorder="1"/>
    <xf numFmtId="212" fontId="119" fillId="37" borderId="65" xfId="72" applyNumberFormat="1" applyFont="1" applyFill="1" applyBorder="1" applyAlignment="1">
      <alignment horizontal="center" vertical="center"/>
    </xf>
    <xf numFmtId="176" fontId="119" fillId="37" borderId="51" xfId="75" applyNumberFormat="1" applyFont="1" applyFill="1" applyBorder="1" applyAlignment="1">
      <alignment horizontal="center"/>
    </xf>
    <xf numFmtId="212" fontId="119" fillId="0" borderId="48" xfId="72" applyNumberFormat="1" applyFont="1" applyBorder="1"/>
    <xf numFmtId="212" fontId="119" fillId="38" borderId="61" xfId="72" applyNumberFormat="1" applyFont="1" applyFill="1" applyBorder="1"/>
    <xf numFmtId="212" fontId="119" fillId="0" borderId="65" xfId="72" applyNumberFormat="1" applyFont="1" applyBorder="1" applyAlignment="1">
      <alignment horizontal="center"/>
    </xf>
    <xf numFmtId="212" fontId="119" fillId="0" borderId="48" xfId="72" applyNumberFormat="1" applyFont="1" applyBorder="1" applyAlignment="1"/>
    <xf numFmtId="212" fontId="119" fillId="0" borderId="61" xfId="72" applyNumberFormat="1" applyFont="1" applyBorder="1" applyAlignment="1"/>
    <xf numFmtId="0" fontId="119" fillId="0" borderId="65" xfId="72" applyFont="1" applyBorder="1"/>
    <xf numFmtId="0" fontId="119" fillId="0" borderId="61" xfId="72" applyFont="1" applyBorder="1"/>
    <xf numFmtId="212" fontId="119" fillId="18" borderId="61" xfId="72" applyNumberFormat="1" applyFont="1" applyFill="1" applyBorder="1"/>
    <xf numFmtId="212" fontId="123" fillId="18" borderId="48" xfId="72" applyNumberFormat="1" applyFont="1" applyFill="1" applyBorder="1" applyAlignment="1"/>
    <xf numFmtId="212" fontId="123" fillId="18" borderId="61" xfId="72" applyNumberFormat="1" applyFont="1" applyFill="1" applyBorder="1" applyAlignment="1"/>
    <xf numFmtId="0" fontId="123" fillId="0" borderId="0" xfId="72" applyFont="1"/>
    <xf numFmtId="0" fontId="117" fillId="37" borderId="26" xfId="72" applyFont="1" applyFill="1" applyBorder="1" applyAlignment="1">
      <alignment horizontal="center" vertical="center" wrapText="1"/>
    </xf>
    <xf numFmtId="212" fontId="119" fillId="39" borderId="54" xfId="72" applyNumberFormat="1" applyFont="1" applyFill="1" applyBorder="1" applyAlignment="1">
      <alignment horizontal="center" vertical="center"/>
    </xf>
    <xf numFmtId="212" fontId="119" fillId="39" borderId="25" xfId="72" applyNumberFormat="1" applyFont="1" applyFill="1" applyBorder="1" applyAlignment="1">
      <alignment horizontal="center" vertical="center"/>
    </xf>
    <xf numFmtId="212" fontId="119" fillId="39" borderId="52" xfId="72" applyNumberFormat="1" applyFont="1" applyFill="1" applyBorder="1" applyAlignment="1">
      <alignment horizontal="center" vertical="center"/>
    </xf>
    <xf numFmtId="212" fontId="119" fillId="37" borderId="56" xfId="72" applyNumberFormat="1" applyFont="1" applyFill="1" applyBorder="1" applyAlignment="1">
      <alignment vertical="center"/>
    </xf>
    <xf numFmtId="212" fontId="119" fillId="37" borderId="25" xfId="72" applyNumberFormat="1" applyFont="1" applyFill="1" applyBorder="1" applyAlignment="1">
      <alignment vertical="center"/>
    </xf>
    <xf numFmtId="212" fontId="119" fillId="37" borderId="52" xfId="72" applyNumberFormat="1" applyFont="1" applyFill="1" applyBorder="1" applyAlignment="1">
      <alignment horizontal="center" vertical="center"/>
    </xf>
    <xf numFmtId="212" fontId="119" fillId="39" borderId="56" xfId="72" applyNumberFormat="1" applyFont="1" applyFill="1" applyBorder="1" applyAlignment="1">
      <alignment horizontal="center" vertical="center"/>
    </xf>
    <xf numFmtId="212" fontId="119" fillId="39" borderId="25" xfId="72" applyNumberFormat="1" applyFont="1" applyFill="1" applyBorder="1" applyAlignment="1">
      <alignment vertical="center"/>
    </xf>
    <xf numFmtId="212" fontId="119" fillId="39" borderId="52" xfId="72" applyNumberFormat="1" applyFont="1" applyFill="1" applyBorder="1" applyAlignment="1">
      <alignment vertical="center"/>
    </xf>
    <xf numFmtId="212" fontId="119" fillId="39" borderId="53" xfId="72" applyNumberFormat="1" applyFont="1" applyFill="1" applyBorder="1" applyAlignment="1">
      <alignment vertical="center"/>
    </xf>
    <xf numFmtId="0" fontId="119" fillId="39" borderId="54" xfId="72" applyFont="1" applyFill="1" applyBorder="1"/>
    <xf numFmtId="0" fontId="119" fillId="39" borderId="53" xfId="72" applyFont="1" applyFill="1" applyBorder="1"/>
    <xf numFmtId="0" fontId="119" fillId="39" borderId="26" xfId="72" applyFont="1" applyFill="1" applyBorder="1"/>
    <xf numFmtId="0" fontId="119" fillId="39" borderId="56" xfId="72" applyFont="1" applyFill="1" applyBorder="1"/>
    <xf numFmtId="212" fontId="119" fillId="37" borderId="55" xfId="72" applyNumberFormat="1" applyFont="1" applyFill="1" applyBorder="1" applyAlignment="1">
      <alignment horizontal="center" vertical="center"/>
    </xf>
    <xf numFmtId="6" fontId="119" fillId="0" borderId="11" xfId="72" applyNumberFormat="1" applyFont="1" applyBorder="1" applyAlignment="1">
      <alignment horizontal="center"/>
    </xf>
    <xf numFmtId="176" fontId="119" fillId="0" borderId="24" xfId="72" applyNumberFormat="1" applyFont="1" applyBorder="1" applyAlignment="1">
      <alignment horizontal="center"/>
    </xf>
    <xf numFmtId="176" fontId="119" fillId="37" borderId="55" xfId="72" applyNumberFormat="1" applyFont="1" applyFill="1" applyBorder="1" applyAlignment="1">
      <alignment horizontal="center"/>
    </xf>
    <xf numFmtId="212" fontId="119"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19" fillId="0" borderId="89" xfId="72" applyFont="1" applyBorder="1"/>
    <xf numFmtId="212" fontId="119" fillId="37" borderId="60" xfId="72" applyNumberFormat="1" applyFont="1" applyFill="1" applyBorder="1" applyAlignment="1">
      <alignment horizontal="center" vertical="center"/>
    </xf>
    <xf numFmtId="176" fontId="119" fillId="37" borderId="60" xfId="72" applyNumberFormat="1" applyFont="1" applyFill="1" applyBorder="1" applyAlignment="1">
      <alignment horizontal="center"/>
    </xf>
    <xf numFmtId="212" fontId="119" fillId="0" borderId="5" xfId="72" applyNumberFormat="1" applyFont="1" applyBorder="1" applyAlignment="1">
      <alignment vertical="center"/>
    </xf>
    <xf numFmtId="212" fontId="119" fillId="0" borderId="11" xfId="72" applyNumberFormat="1" applyFont="1" applyFill="1" applyBorder="1"/>
    <xf numFmtId="212" fontId="119" fillId="37" borderId="51" xfId="72" applyNumberFormat="1" applyFont="1" applyFill="1" applyBorder="1" applyAlignment="1">
      <alignment horizontal="center" vertical="center"/>
    </xf>
    <xf numFmtId="176" fontId="119" fillId="37" borderId="51" xfId="72" applyNumberFormat="1" applyFont="1" applyFill="1" applyBorder="1" applyAlignment="1">
      <alignment horizontal="center"/>
    </xf>
    <xf numFmtId="212" fontId="119" fillId="0" borderId="47" xfId="72" applyNumberFormat="1" applyFont="1" applyFill="1" applyBorder="1"/>
    <xf numFmtId="0" fontId="119" fillId="0" borderId="69" xfId="72" applyFont="1" applyFill="1" applyBorder="1"/>
    <xf numFmtId="0" fontId="117" fillId="37" borderId="29" xfId="72" applyFont="1" applyFill="1" applyBorder="1" applyAlignment="1">
      <alignment horizontal="center" vertical="center" wrapText="1"/>
    </xf>
    <xf numFmtId="212" fontId="119" fillId="39" borderId="54" xfId="72" applyNumberFormat="1" applyFont="1" applyFill="1" applyBorder="1" applyAlignment="1">
      <alignment vertical="center"/>
    </xf>
    <xf numFmtId="212" fontId="119" fillId="39" borderId="52" xfId="72" applyNumberFormat="1" applyFont="1" applyFill="1" applyBorder="1" applyAlignment="1">
      <alignment horizontal="right" vertical="center"/>
    </xf>
    <xf numFmtId="212" fontId="119" fillId="39" borderId="56" xfId="72" applyNumberFormat="1" applyFont="1" applyFill="1" applyBorder="1" applyAlignment="1">
      <alignment vertical="center"/>
    </xf>
    <xf numFmtId="0" fontId="142" fillId="30" borderId="5" xfId="72" applyFont="1" applyFill="1" applyBorder="1" applyAlignment="1">
      <alignment vertical="top" wrapText="1"/>
    </xf>
    <xf numFmtId="212" fontId="123" fillId="0" borderId="24" xfId="72" applyNumberFormat="1" applyFont="1" applyBorder="1" applyAlignment="1">
      <alignment horizontal="center"/>
    </xf>
    <xf numFmtId="212" fontId="119" fillId="37" borderId="72" xfId="72" applyNumberFormat="1" applyFont="1" applyFill="1" applyBorder="1" applyAlignment="1">
      <alignment horizontal="center"/>
    </xf>
    <xf numFmtId="176" fontId="119" fillId="37" borderId="72" xfId="72" applyNumberFormat="1" applyFont="1" applyFill="1" applyBorder="1" applyAlignment="1">
      <alignment horizontal="center"/>
    </xf>
    <xf numFmtId="212" fontId="119" fillId="0" borderId="86" xfId="72" applyNumberFormat="1" applyFont="1" applyBorder="1"/>
    <xf numFmtId="212" fontId="119" fillId="0" borderId="57" xfId="72" applyNumberFormat="1" applyFont="1" applyBorder="1" applyAlignment="1">
      <alignment vertical="center"/>
    </xf>
    <xf numFmtId="212" fontId="119" fillId="0" borderId="8" xfId="72" applyNumberFormat="1" applyFont="1" applyBorder="1" applyAlignment="1"/>
    <xf numFmtId="212" fontId="119" fillId="0" borderId="24" xfId="72" applyNumberFormat="1" applyFont="1" applyBorder="1" applyAlignment="1">
      <alignment vertical="center"/>
    </xf>
    <xf numFmtId="212" fontId="119" fillId="0" borderId="72" xfId="72" applyNumberFormat="1" applyFont="1" applyBorder="1" applyAlignment="1">
      <alignment vertical="center"/>
    </xf>
    <xf numFmtId="212" fontId="119" fillId="37" borderId="57" xfId="72" applyNumberFormat="1" applyFont="1" applyFill="1" applyBorder="1" applyAlignment="1">
      <alignment horizontal="center"/>
    </xf>
    <xf numFmtId="176" fontId="119" fillId="37" borderId="57" xfId="72" applyNumberFormat="1" applyFont="1" applyFill="1" applyBorder="1" applyAlignment="1">
      <alignment horizontal="center"/>
    </xf>
    <xf numFmtId="212" fontId="119" fillId="0" borderId="11" xfId="72" applyNumberFormat="1" applyFont="1" applyBorder="1" applyAlignment="1"/>
    <xf numFmtId="212" fontId="119" fillId="0" borderId="10" xfId="72" applyNumberFormat="1" applyFont="1" applyBorder="1" applyAlignment="1">
      <alignment vertical="center"/>
    </xf>
    <xf numFmtId="212" fontId="119" fillId="0" borderId="89" xfId="72" applyNumberFormat="1" applyFont="1" applyBorder="1" applyAlignment="1">
      <alignment vertical="center"/>
    </xf>
    <xf numFmtId="212" fontId="119" fillId="0" borderId="57" xfId="72" applyNumberFormat="1" applyFont="1" applyBorder="1" applyAlignment="1">
      <alignment horizontal="right" vertical="center"/>
    </xf>
    <xf numFmtId="212" fontId="119" fillId="0" borderId="58" xfId="72" applyNumberFormat="1" applyFont="1" applyBorder="1" applyAlignment="1">
      <alignment vertical="center"/>
    </xf>
    <xf numFmtId="212" fontId="123" fillId="0" borderId="48" xfId="72" applyNumberFormat="1" applyFont="1" applyBorder="1" applyAlignment="1">
      <alignment horizontal="center"/>
    </xf>
    <xf numFmtId="212" fontId="119" fillId="37" borderId="61" xfId="72" applyNumberFormat="1" applyFont="1" applyFill="1" applyBorder="1" applyAlignment="1">
      <alignment horizontal="center"/>
    </xf>
    <xf numFmtId="176" fontId="119" fillId="0" borderId="19" xfId="72" applyNumberFormat="1" applyFont="1" applyBorder="1" applyAlignment="1">
      <alignment horizontal="center"/>
    </xf>
    <xf numFmtId="176" fontId="119" fillId="37" borderId="69" xfId="72" applyNumberFormat="1" applyFont="1" applyFill="1" applyBorder="1" applyAlignment="1">
      <alignment horizontal="center"/>
    </xf>
    <xf numFmtId="212" fontId="119" fillId="0" borderId="65" xfId="72" applyNumberFormat="1" applyFont="1" applyBorder="1" applyAlignment="1">
      <alignment vertical="center"/>
    </xf>
    <xf numFmtId="0" fontId="119" fillId="0" borderId="87" xfId="72" applyFont="1" applyBorder="1"/>
    <xf numFmtId="212" fontId="123" fillId="39" borderId="68" xfId="72" applyNumberFormat="1" applyFont="1" applyFill="1" applyBorder="1" applyAlignment="1">
      <alignment horizontal="center" vertical="center"/>
    </xf>
    <xf numFmtId="212" fontId="123" fillId="39" borderId="16" xfId="72" applyNumberFormat="1" applyFont="1" applyFill="1" applyBorder="1" applyAlignment="1">
      <alignment horizontal="center" vertical="center"/>
    </xf>
    <xf numFmtId="212" fontId="119" fillId="37" borderId="67" xfId="72" applyNumberFormat="1" applyFont="1" applyFill="1" applyBorder="1" applyAlignment="1">
      <alignment horizontal="center" vertical="center"/>
    </xf>
    <xf numFmtId="6" fontId="119" fillId="39" borderId="56" xfId="72" applyNumberFormat="1" applyFont="1" applyFill="1" applyBorder="1" applyAlignment="1">
      <alignment horizontal="center"/>
    </xf>
    <xf numFmtId="176" fontId="119" fillId="39" borderId="25" xfId="72" applyNumberFormat="1" applyFont="1" applyFill="1" applyBorder="1" applyAlignment="1">
      <alignment horizontal="center"/>
    </xf>
    <xf numFmtId="176" fontId="119" fillId="37" borderId="52" xfId="72" applyNumberFormat="1" applyFont="1" applyFill="1" applyBorder="1" applyAlignment="1">
      <alignment horizontal="center"/>
    </xf>
    <xf numFmtId="212" fontId="123" fillId="0" borderId="24" xfId="72" applyNumberFormat="1" applyFont="1" applyBorder="1" applyAlignment="1">
      <alignment horizontal="center" vertical="center"/>
    </xf>
    <xf numFmtId="212" fontId="119" fillId="37" borderId="72" xfId="72" applyNumberFormat="1" applyFont="1" applyFill="1" applyBorder="1" applyAlignment="1">
      <alignment horizontal="center" vertical="center"/>
    </xf>
    <xf numFmtId="176" fontId="119" fillId="37" borderId="89" xfId="72" applyNumberFormat="1" applyFont="1" applyFill="1" applyBorder="1" applyAlignment="1">
      <alignment horizontal="center"/>
    </xf>
    <xf numFmtId="212" fontId="119" fillId="0" borderId="58" xfId="72" applyNumberFormat="1" applyFont="1" applyBorder="1" applyAlignment="1">
      <alignment horizontal="center" vertical="center"/>
    </xf>
    <xf numFmtId="212" fontId="119" fillId="0" borderId="72" xfId="72" applyNumberFormat="1" applyFont="1" applyBorder="1" applyAlignment="1">
      <alignment horizontal="right" vertical="center"/>
    </xf>
    <xf numFmtId="212" fontId="119" fillId="0" borderId="20" xfId="72" applyNumberFormat="1" applyFont="1" applyBorder="1" applyAlignment="1">
      <alignment horizontal="center" vertical="center"/>
    </xf>
    <xf numFmtId="212" fontId="119" fillId="0" borderId="9" xfId="72" applyNumberFormat="1" applyFont="1" applyBorder="1" applyAlignment="1">
      <alignment vertical="center"/>
    </xf>
    <xf numFmtId="212" fontId="119" fillId="0" borderId="86" xfId="72" applyNumberFormat="1" applyFont="1" applyBorder="1" applyAlignment="1">
      <alignment vertical="center"/>
    </xf>
    <xf numFmtId="0" fontId="119" fillId="0" borderId="86" xfId="72" applyFont="1" applyBorder="1"/>
    <xf numFmtId="212" fontId="123" fillId="0" borderId="5" xfId="72" applyNumberFormat="1" applyFont="1" applyBorder="1" applyAlignment="1">
      <alignment horizontal="center" vertical="center"/>
    </xf>
    <xf numFmtId="212" fontId="119" fillId="37" borderId="57" xfId="72" applyNumberFormat="1" applyFont="1" applyFill="1" applyBorder="1" applyAlignment="1">
      <alignment horizontal="center" vertical="center"/>
    </xf>
    <xf numFmtId="207" fontId="119" fillId="0" borderId="5" xfId="72" applyNumberFormat="1" applyFont="1" applyBorder="1" applyAlignment="1">
      <alignment vertical="center"/>
    </xf>
    <xf numFmtId="212" fontId="119" fillId="0" borderId="57" xfId="72" applyNumberFormat="1" applyFont="1" applyFill="1" applyBorder="1" applyAlignment="1">
      <alignment horizontal="right" vertical="center"/>
    </xf>
    <xf numFmtId="212" fontId="119" fillId="0" borderId="12" xfId="72" applyNumberFormat="1" applyFont="1" applyBorder="1" applyAlignment="1">
      <alignment vertical="center"/>
    </xf>
    <xf numFmtId="0" fontId="117" fillId="39" borderId="58" xfId="72" applyFont="1" applyFill="1" applyBorder="1" applyAlignment="1">
      <alignment horizontal="center" vertical="center" wrapText="1"/>
    </xf>
    <xf numFmtId="0" fontId="117" fillId="39" borderId="5" xfId="72" applyFont="1" applyFill="1" applyBorder="1" applyAlignment="1">
      <alignment horizontal="center" vertical="center" wrapText="1"/>
    </xf>
    <xf numFmtId="0" fontId="117" fillId="37" borderId="57" xfId="72" applyFont="1" applyFill="1" applyBorder="1" applyAlignment="1">
      <alignment horizontal="center" vertical="center" wrapText="1"/>
    </xf>
    <xf numFmtId="0" fontId="117" fillId="39" borderId="11" xfId="72" applyFont="1" applyFill="1" applyBorder="1" applyAlignment="1">
      <alignment horizontal="center" vertical="center" wrapText="1"/>
    </xf>
    <xf numFmtId="0" fontId="117" fillId="39" borderId="65" xfId="72" applyFont="1" applyFill="1" applyBorder="1" applyAlignment="1">
      <alignment horizontal="center" vertical="center" wrapText="1"/>
    </xf>
    <xf numFmtId="0" fontId="117" fillId="39" borderId="5" xfId="72" applyFont="1" applyFill="1" applyBorder="1" applyAlignment="1">
      <alignment horizontal="center" vertical="center"/>
    </xf>
    <xf numFmtId="0" fontId="117" fillId="39" borderId="57" xfId="72" applyFont="1" applyFill="1" applyBorder="1" applyAlignment="1">
      <alignment horizontal="center" vertical="center" wrapText="1"/>
    </xf>
    <xf numFmtId="0" fontId="117" fillId="37" borderId="65" xfId="72" applyFont="1" applyFill="1" applyBorder="1" applyAlignment="1">
      <alignment horizontal="center" vertical="center" wrapText="1"/>
    </xf>
    <xf numFmtId="0" fontId="117" fillId="37" borderId="5" xfId="72" applyFont="1" applyFill="1" applyBorder="1" applyAlignment="1">
      <alignment horizontal="center" vertical="center"/>
    </xf>
    <xf numFmtId="0" fontId="117" fillId="39" borderId="48" xfId="72" applyFont="1" applyFill="1" applyBorder="1" applyAlignment="1">
      <alignment horizontal="center" vertical="center"/>
    </xf>
    <xf numFmtId="0" fontId="117" fillId="39" borderId="64" xfId="72" applyFont="1" applyFill="1" applyBorder="1" applyAlignment="1">
      <alignment horizontal="center" vertical="center" wrapText="1"/>
    </xf>
    <xf numFmtId="0" fontId="117" fillId="39" borderId="58" xfId="72" applyFont="1" applyFill="1" applyBorder="1" applyAlignment="1">
      <alignment horizontal="center" vertical="center"/>
    </xf>
    <xf numFmtId="0" fontId="57" fillId="0" borderId="90" xfId="72" applyFont="1" applyBorder="1" applyAlignment="1" applyProtection="1">
      <alignment horizontal="center" wrapText="1"/>
      <protection hidden="1"/>
    </xf>
    <xf numFmtId="0" fontId="117" fillId="39" borderId="65" xfId="72" applyFont="1" applyFill="1" applyBorder="1" applyAlignment="1">
      <alignment horizontal="center" vertical="center"/>
    </xf>
    <xf numFmtId="0" fontId="117" fillId="39" borderId="61" xfId="72" applyFont="1" applyFill="1" applyBorder="1" applyAlignment="1">
      <alignment horizontal="center" vertical="center"/>
    </xf>
    <xf numFmtId="0" fontId="117" fillId="39" borderId="61" xfId="72" applyFont="1" applyFill="1" applyBorder="1" applyAlignment="1">
      <alignment horizontal="center" vertical="center" wrapText="1"/>
    </xf>
    <xf numFmtId="0" fontId="117" fillId="0" borderId="43" xfId="72" applyFont="1" applyBorder="1" applyAlignment="1">
      <alignment horizontal="centerContinuous"/>
    </xf>
    <xf numFmtId="0" fontId="117" fillId="0" borderId="90" xfId="72" applyFont="1" applyBorder="1" applyAlignment="1">
      <alignment horizontal="centerContinuous"/>
    </xf>
    <xf numFmtId="0" fontId="119" fillId="0" borderId="43" xfId="72" applyFont="1" applyBorder="1" applyAlignment="1">
      <alignment horizontal="centerContinuous"/>
    </xf>
    <xf numFmtId="0" fontId="119" fillId="0" borderId="50" xfId="72" applyFont="1" applyBorder="1" applyAlignment="1">
      <alignment horizontal="centerContinuous"/>
    </xf>
    <xf numFmtId="0" fontId="119" fillId="37" borderId="43" xfId="72" applyFont="1" applyFill="1" applyBorder="1" applyAlignment="1">
      <alignment horizontal="centerContinuous"/>
    </xf>
    <xf numFmtId="0" fontId="119" fillId="37" borderId="50" xfId="72" applyFont="1" applyFill="1" applyBorder="1" applyAlignment="1">
      <alignment horizontal="centerContinuous"/>
    </xf>
    <xf numFmtId="0" fontId="117" fillId="37" borderId="90" xfId="72" applyFont="1" applyFill="1" applyBorder="1" applyAlignment="1">
      <alignment horizontal="centerContinuous"/>
    </xf>
    <xf numFmtId="0" fontId="117" fillId="0" borderId="26" xfId="72" applyFont="1" applyBorder="1" applyAlignment="1">
      <alignment horizontal="centerContinuous"/>
    </xf>
    <xf numFmtId="0" fontId="117" fillId="0" borderId="51" xfId="72" applyFont="1" applyBorder="1" applyAlignment="1">
      <alignment horizontal="centerContinuous"/>
    </xf>
    <xf numFmtId="0" fontId="117" fillId="37" borderId="51" xfId="72" applyFont="1" applyFill="1" applyBorder="1" applyAlignment="1">
      <alignment horizontal="centerContinuous"/>
    </xf>
    <xf numFmtId="0" fontId="143" fillId="0" borderId="0" xfId="72" applyFont="1"/>
    <xf numFmtId="0" fontId="119"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19" fillId="25" borderId="0" xfId="73" applyNumberFormat="1" applyFont="1" applyFill="1" applyAlignment="1">
      <alignment vertical="center"/>
    </xf>
    <xf numFmtId="0" fontId="119" fillId="26" borderId="0" xfId="72" applyFont="1" applyFill="1" applyProtection="1"/>
    <xf numFmtId="0" fontId="119" fillId="25" borderId="0" xfId="72" applyFont="1" applyFill="1" applyAlignment="1">
      <alignment vertical="center"/>
    </xf>
    <xf numFmtId="0" fontId="119"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19" fillId="27" borderId="60" xfId="72" applyNumberFormat="1" applyFont="1" applyFill="1" applyBorder="1" applyAlignment="1" applyProtection="1">
      <alignment horizontal="right" vertical="center"/>
      <protection hidden="1"/>
    </xf>
    <xf numFmtId="0" fontId="119" fillId="27" borderId="58" xfId="73" applyNumberFormat="1" applyFont="1" applyFill="1" applyBorder="1" applyAlignment="1" applyProtection="1">
      <alignment horizontal="right" vertical="center"/>
      <protection hidden="1"/>
    </xf>
    <xf numFmtId="0" fontId="119" fillId="27" borderId="4" xfId="73" applyNumberFormat="1" applyFont="1" applyFill="1" applyBorder="1" applyAlignment="1" applyProtection="1">
      <alignment horizontal="right" vertical="center"/>
      <protection hidden="1"/>
    </xf>
    <xf numFmtId="165" fontId="119" fillId="13" borderId="87" xfId="73" applyNumberFormat="1" applyFont="1" applyFill="1" applyBorder="1" applyAlignment="1" applyProtection="1">
      <alignment horizontal="right" vertical="center"/>
      <protection hidden="1"/>
    </xf>
    <xf numFmtId="165" fontId="119" fillId="13" borderId="19" xfId="73" applyNumberFormat="1" applyFont="1" applyFill="1" applyBorder="1" applyAlignment="1" applyProtection="1">
      <alignment horizontal="right" vertical="center"/>
      <protection hidden="1"/>
    </xf>
    <xf numFmtId="165" fontId="119" fillId="13" borderId="69" xfId="73" applyNumberFormat="1" applyFont="1" applyFill="1" applyBorder="1" applyAlignment="1" applyProtection="1">
      <alignment horizontal="right" vertical="center"/>
      <protection hidden="1"/>
    </xf>
    <xf numFmtId="176" fontId="119" fillId="13" borderId="91" xfId="74" applyNumberFormat="1" applyFont="1" applyFill="1" applyBorder="1" applyAlignment="1" applyProtection="1">
      <alignment horizontal="right" vertical="center"/>
      <protection hidden="1"/>
    </xf>
    <xf numFmtId="176" fontId="119" fillId="27" borderId="60" xfId="72" quotePrefix="1" applyNumberFormat="1" applyFont="1" applyFill="1" applyBorder="1" applyAlignment="1" applyProtection="1">
      <alignment horizontal="right" vertical="center"/>
      <protection hidden="1"/>
    </xf>
    <xf numFmtId="3" fontId="119" fillId="27" borderId="60" xfId="72" applyNumberFormat="1" applyFont="1" applyFill="1" applyBorder="1" applyAlignment="1" applyProtection="1">
      <alignment horizontal="right" vertical="center"/>
      <protection hidden="1"/>
    </xf>
    <xf numFmtId="176" fontId="119" fillId="13" borderId="60" xfId="74" applyNumberFormat="1" applyFont="1" applyFill="1" applyBorder="1" applyAlignment="1" applyProtection="1">
      <alignment horizontal="right" vertical="center"/>
      <protection hidden="1"/>
    </xf>
    <xf numFmtId="165" fontId="119" fillId="13" borderId="60" xfId="73" applyNumberFormat="1" applyFont="1" applyFill="1" applyBorder="1" applyAlignment="1" applyProtection="1">
      <alignment horizontal="right" vertical="center"/>
      <protection hidden="1"/>
    </xf>
    <xf numFmtId="177" fontId="119" fillId="13" borderId="60" xfId="74" applyNumberFormat="1" applyFont="1" applyFill="1" applyBorder="1" applyAlignment="1" applyProtection="1">
      <alignment horizontal="right" vertical="center"/>
      <protection hidden="1"/>
    </xf>
    <xf numFmtId="5" fontId="119" fillId="27" borderId="66" xfId="73" applyNumberFormat="1" applyFont="1" applyFill="1" applyBorder="1" applyAlignment="1" applyProtection="1">
      <alignment horizontal="right" vertical="center"/>
      <protection hidden="1"/>
    </xf>
    <xf numFmtId="5" fontId="119" fillId="27" borderId="4" xfId="73" applyNumberFormat="1" applyFont="1" applyFill="1" applyBorder="1" applyAlignment="1" applyProtection="1">
      <alignment horizontal="right" vertical="center"/>
      <protection hidden="1"/>
    </xf>
    <xf numFmtId="5" fontId="119" fillId="27" borderId="69" xfId="73" applyNumberFormat="1" applyFont="1" applyFill="1" applyBorder="1" applyAlignment="1" applyProtection="1">
      <alignment horizontal="right" vertical="center"/>
      <protection hidden="1"/>
    </xf>
    <xf numFmtId="177" fontId="119" fillId="13" borderId="58" xfId="74" applyNumberFormat="1" applyFont="1" applyFill="1" applyBorder="1" applyAlignment="1" applyProtection="1">
      <alignment horizontal="right" vertical="center"/>
      <protection hidden="1"/>
    </xf>
    <xf numFmtId="177" fontId="119" fillId="13" borderId="12" xfId="74" applyNumberFormat="1" applyFont="1" applyFill="1" applyBorder="1" applyAlignment="1" applyProtection="1">
      <alignment horizontal="right" vertical="center"/>
      <protection hidden="1"/>
    </xf>
    <xf numFmtId="177" fontId="119" fillId="13" borderId="4" xfId="74" applyNumberFormat="1" applyFont="1" applyFill="1" applyBorder="1" applyAlignment="1" applyProtection="1">
      <alignment horizontal="center" vertical="center"/>
      <protection hidden="1"/>
    </xf>
    <xf numFmtId="3" fontId="119" fillId="27" borderId="91" xfId="73" applyNumberFormat="1" applyFont="1" applyFill="1" applyBorder="1" applyAlignment="1" applyProtection="1">
      <alignment horizontal="right" vertical="center"/>
      <protection hidden="1"/>
    </xf>
    <xf numFmtId="208" fontId="119" fillId="27" borderId="69" xfId="73" applyNumberFormat="1" applyFont="1" applyFill="1" applyBorder="1" applyAlignment="1" applyProtection="1">
      <alignment horizontal="right" vertical="center"/>
      <protection hidden="1"/>
    </xf>
    <xf numFmtId="3" fontId="119" fillId="27" borderId="87" xfId="73" quotePrefix="1" applyNumberFormat="1" applyFont="1" applyFill="1" applyBorder="1" applyAlignment="1" applyProtection="1">
      <alignment horizontal="right" vertical="center"/>
      <protection hidden="1"/>
    </xf>
    <xf numFmtId="0" fontId="119" fillId="0" borderId="12" xfId="72" applyFont="1" applyBorder="1" applyAlignment="1" applyProtection="1">
      <alignment horizontal="left" vertical="center"/>
      <protection locked="0"/>
    </xf>
    <xf numFmtId="3" fontId="119" fillId="0" borderId="60" xfId="72" applyNumberFormat="1" applyFont="1" applyBorder="1" applyAlignment="1" applyProtection="1">
      <alignment horizontal="right" vertical="center"/>
      <protection locked="0"/>
    </xf>
    <xf numFmtId="0" fontId="119" fillId="0" borderId="58" xfId="72" applyFont="1" applyBorder="1" applyAlignment="1" applyProtection="1">
      <alignment vertical="center" wrapText="1"/>
      <protection locked="0"/>
    </xf>
    <xf numFmtId="0" fontId="119" fillId="0" borderId="20" xfId="72" applyFont="1" applyBorder="1" applyAlignment="1" applyProtection="1">
      <alignment vertical="center" wrapText="1"/>
      <protection locked="0"/>
    </xf>
    <xf numFmtId="0" fontId="119" fillId="0" borderId="57" xfId="72" applyFont="1" applyBorder="1" applyAlignment="1" applyProtection="1">
      <alignment vertical="center" wrapText="1"/>
      <protection locked="0"/>
    </xf>
    <xf numFmtId="0" fontId="119" fillId="27" borderId="4" xfId="72" applyFont="1" applyFill="1" applyBorder="1" applyAlignment="1" applyProtection="1">
      <alignment horizontal="left" vertical="center"/>
      <protection hidden="1"/>
    </xf>
    <xf numFmtId="0" fontId="117" fillId="40" borderId="58" xfId="72" applyFont="1" applyFill="1" applyBorder="1" applyAlignment="1">
      <alignment horizontal="center" vertical="center"/>
    </xf>
    <xf numFmtId="0" fontId="119" fillId="27" borderId="87" xfId="73" applyNumberFormat="1" applyFont="1" applyFill="1" applyBorder="1" applyAlignment="1" applyProtection="1">
      <alignment horizontal="right" vertical="center"/>
      <protection hidden="1"/>
    </xf>
    <xf numFmtId="3" fontId="119" fillId="0" borderId="63" xfId="72" applyNumberFormat="1" applyFont="1" applyBorder="1" applyAlignment="1" applyProtection="1">
      <alignment horizontal="right" vertical="center"/>
      <protection locked="0"/>
    </xf>
    <xf numFmtId="0" fontId="124" fillId="0" borderId="0" xfId="72" applyFont="1" applyAlignment="1">
      <alignment vertical="center"/>
    </xf>
    <xf numFmtId="0" fontId="119" fillId="0" borderId="87" xfId="72" applyFont="1" applyBorder="1" applyAlignment="1" applyProtection="1">
      <alignment vertical="center" wrapText="1"/>
      <protection locked="0"/>
    </xf>
    <xf numFmtId="165" fontId="119" fillId="0" borderId="69" xfId="73" applyNumberFormat="1" applyFont="1" applyFill="1" applyBorder="1" applyAlignment="1" applyProtection="1">
      <alignment vertical="center"/>
      <protection locked="0"/>
    </xf>
    <xf numFmtId="0" fontId="119" fillId="0" borderId="5" xfId="72" applyFont="1" applyBorder="1" applyAlignment="1" applyProtection="1">
      <alignment vertical="center"/>
      <protection locked="0"/>
    </xf>
    <xf numFmtId="0" fontId="119" fillId="0" borderId="12" xfId="72" applyFont="1" applyBorder="1" applyAlignment="1">
      <alignment vertical="center"/>
    </xf>
    <xf numFmtId="0" fontId="117"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19" fillId="0" borderId="4" xfId="73" applyNumberFormat="1" applyFont="1" applyFill="1" applyBorder="1" applyAlignment="1" applyProtection="1">
      <alignment vertical="center" wrapText="1"/>
      <protection hidden="1"/>
    </xf>
    <xf numFmtId="0" fontId="118" fillId="0" borderId="0" xfId="72" applyFont="1" applyFill="1" applyBorder="1" applyAlignment="1" applyProtection="1">
      <alignment horizontal="center" vertical="center" wrapText="1"/>
      <protection hidden="1"/>
    </xf>
    <xf numFmtId="0" fontId="118" fillId="0" borderId="33" xfId="72" applyFont="1" applyFill="1" applyBorder="1" applyAlignment="1" applyProtection="1">
      <alignment horizontal="center" vertical="center" wrapText="1"/>
      <protection hidden="1"/>
    </xf>
    <xf numFmtId="165" fontId="119" fillId="0" borderId="4" xfId="73" applyNumberFormat="1" applyFont="1" applyFill="1" applyBorder="1" applyAlignment="1">
      <alignment vertical="center" wrapText="1"/>
    </xf>
    <xf numFmtId="5" fontId="119" fillId="0" borderId="43" xfId="72" applyNumberFormat="1" applyFont="1" applyFill="1" applyBorder="1" applyAlignment="1">
      <alignment vertical="center" wrapText="1"/>
    </xf>
    <xf numFmtId="5" fontId="119" fillId="0" borderId="43" xfId="72" applyNumberFormat="1" applyFont="1" applyFill="1" applyBorder="1" applyAlignment="1">
      <alignment vertical="center"/>
    </xf>
    <xf numFmtId="5" fontId="119" fillId="0" borderId="61" xfId="72" applyNumberFormat="1" applyFont="1" applyFill="1" applyBorder="1" applyAlignment="1">
      <alignment vertical="center"/>
    </xf>
    <xf numFmtId="5" fontId="119" fillId="0" borderId="91" xfId="73" applyNumberFormat="1" applyFont="1" applyFill="1" applyBorder="1" applyAlignment="1">
      <alignment vertical="center" wrapText="1"/>
    </xf>
    <xf numFmtId="5" fontId="119" fillId="0" borderId="4" xfId="73" applyNumberFormat="1" applyFont="1" applyFill="1" applyBorder="1" applyAlignment="1">
      <alignment vertical="center" wrapText="1"/>
    </xf>
    <xf numFmtId="165" fontId="119" fillId="0" borderId="87" xfId="73" applyNumberFormat="1" applyFont="1" applyFill="1" applyBorder="1" applyAlignment="1">
      <alignment horizontal="center" vertical="center" wrapText="1"/>
    </xf>
    <xf numFmtId="165" fontId="119" fillId="0" borderId="19" xfId="73" applyNumberFormat="1" applyFont="1" applyFill="1" applyBorder="1" applyAlignment="1">
      <alignment vertical="center" wrapText="1"/>
    </xf>
    <xf numFmtId="165" fontId="119" fillId="0" borderId="69" xfId="73" applyNumberFormat="1" applyFont="1" applyFill="1" applyBorder="1" applyAlignment="1">
      <alignment vertical="center" wrapText="1"/>
    </xf>
    <xf numFmtId="0" fontId="117" fillId="0" borderId="69" xfId="72" applyFont="1" applyFill="1" applyBorder="1" applyAlignment="1" applyProtection="1">
      <alignment vertical="center" wrapText="1"/>
      <protection locked="0"/>
    </xf>
    <xf numFmtId="164" fontId="117" fillId="0" borderId="69" xfId="72" applyNumberFormat="1" applyFont="1" applyFill="1" applyBorder="1" applyAlignment="1" applyProtection="1">
      <alignment vertical="center" wrapText="1"/>
      <protection locked="0"/>
    </xf>
    <xf numFmtId="0" fontId="119" fillId="25" borderId="36" xfId="72" applyFont="1" applyFill="1" applyBorder="1" applyAlignment="1">
      <alignment vertical="center"/>
    </xf>
    <xf numFmtId="0" fontId="119" fillId="25" borderId="53" xfId="72" applyFont="1" applyFill="1" applyBorder="1" applyAlignment="1">
      <alignment vertical="center"/>
    </xf>
    <xf numFmtId="0" fontId="119" fillId="25" borderId="52" xfId="72" applyFont="1" applyFill="1" applyBorder="1" applyAlignment="1">
      <alignment vertical="center"/>
    </xf>
    <xf numFmtId="0" fontId="119" fillId="25" borderId="35" xfId="72" applyFont="1" applyFill="1" applyBorder="1" applyAlignment="1">
      <alignment vertical="center"/>
    </xf>
    <xf numFmtId="0" fontId="119" fillId="25" borderId="25" xfId="72" applyFont="1" applyFill="1" applyBorder="1" applyAlignment="1">
      <alignment vertical="center"/>
    </xf>
    <xf numFmtId="165" fontId="119" fillId="25" borderId="36" xfId="73" applyNumberFormat="1" applyFont="1" applyFill="1" applyBorder="1" applyAlignment="1" applyProtection="1">
      <alignment vertical="center"/>
      <protection hidden="1"/>
    </xf>
    <xf numFmtId="165" fontId="119" fillId="25" borderId="35" xfId="73" applyNumberFormat="1" applyFont="1" applyFill="1" applyBorder="1" applyAlignment="1" applyProtection="1">
      <alignment vertical="center"/>
      <protection hidden="1"/>
    </xf>
    <xf numFmtId="177" fontId="117" fillId="26" borderId="0" xfId="74" applyNumberFormat="1" applyFont="1" applyFill="1" applyBorder="1" applyAlignment="1" applyProtection="1">
      <alignment horizontal="right"/>
      <protection hidden="1"/>
    </xf>
    <xf numFmtId="177" fontId="117" fillId="26" borderId="33" xfId="74" applyNumberFormat="1" applyFont="1" applyFill="1" applyBorder="1" applyAlignment="1" applyProtection="1">
      <alignment horizontal="right"/>
      <protection hidden="1"/>
    </xf>
    <xf numFmtId="177" fontId="117" fillId="26" borderId="18" xfId="74" applyNumberFormat="1" applyFont="1" applyFill="1" applyBorder="1" applyAlignment="1" applyProtection="1">
      <alignment horizontal="right"/>
      <protection hidden="1"/>
    </xf>
    <xf numFmtId="165" fontId="119" fillId="25" borderId="54" xfId="73" applyNumberFormat="1" applyFont="1" applyFill="1" applyBorder="1" applyAlignment="1" applyProtection="1">
      <alignment vertical="center"/>
      <protection hidden="1"/>
    </xf>
    <xf numFmtId="5" fontId="119" fillId="25" borderId="36" xfId="72" applyNumberFormat="1" applyFont="1" applyFill="1" applyBorder="1" applyAlignment="1" applyProtection="1">
      <alignment vertical="center"/>
      <protection hidden="1"/>
    </xf>
    <xf numFmtId="5" fontId="119" fillId="25" borderId="53" xfId="72" applyNumberFormat="1" applyFont="1" applyFill="1" applyBorder="1" applyAlignment="1" applyProtection="1">
      <alignment vertical="center"/>
      <protection hidden="1"/>
    </xf>
    <xf numFmtId="5" fontId="119" fillId="25" borderId="36" xfId="73" applyNumberFormat="1" applyFont="1" applyFill="1" applyBorder="1" applyAlignment="1" applyProtection="1">
      <alignment vertical="center"/>
      <protection hidden="1"/>
    </xf>
    <xf numFmtId="5" fontId="119" fillId="25" borderId="35" xfId="73" applyNumberFormat="1" applyFont="1" applyFill="1" applyBorder="1" applyAlignment="1" applyProtection="1">
      <alignment vertical="center"/>
      <protection hidden="1"/>
    </xf>
    <xf numFmtId="5" fontId="119" fillId="25" borderId="54" xfId="73" applyNumberFormat="1" applyFont="1" applyFill="1" applyBorder="1" applyAlignment="1" applyProtection="1">
      <alignment vertical="center"/>
      <protection hidden="1"/>
    </xf>
    <xf numFmtId="165" fontId="119" fillId="25" borderId="54" xfId="73" applyNumberFormat="1" applyFont="1" applyFill="1" applyBorder="1" applyAlignment="1" applyProtection="1">
      <alignment horizontal="center" vertical="center"/>
      <protection hidden="1"/>
    </xf>
    <xf numFmtId="165" fontId="119" fillId="25" borderId="25" xfId="73" applyNumberFormat="1" applyFont="1" applyFill="1" applyBorder="1" applyAlignment="1" applyProtection="1">
      <alignment vertical="center"/>
      <protection hidden="1"/>
    </xf>
    <xf numFmtId="165" fontId="119" fillId="25" borderId="52" xfId="73" applyNumberFormat="1" applyFont="1" applyFill="1" applyBorder="1" applyAlignment="1" applyProtection="1">
      <alignment vertical="center"/>
      <protection hidden="1"/>
    </xf>
    <xf numFmtId="164" fontId="119" fillId="25" borderId="35" xfId="73" applyNumberFormat="1" applyFont="1" applyFill="1" applyBorder="1" applyAlignment="1" applyProtection="1">
      <alignment vertical="center" wrapText="1"/>
      <protection hidden="1"/>
    </xf>
    <xf numFmtId="164" fontId="119" fillId="25" borderId="52" xfId="73" applyNumberFormat="1" applyFont="1" applyFill="1" applyBorder="1" applyAlignment="1" applyProtection="1">
      <alignment vertical="center" wrapText="1"/>
      <protection hidden="1"/>
    </xf>
    <xf numFmtId="0" fontId="119" fillId="25" borderId="35" xfId="72" applyFont="1" applyFill="1" applyBorder="1" applyAlignment="1" applyProtection="1">
      <alignment horizontal="right" vertical="center"/>
      <protection hidden="1"/>
    </xf>
    <xf numFmtId="0" fontId="119" fillId="25" borderId="36" xfId="72" applyFont="1" applyFill="1" applyBorder="1" applyAlignment="1" applyProtection="1">
      <alignment horizontal="right" vertical="center"/>
      <protection hidden="1"/>
    </xf>
    <xf numFmtId="0" fontId="117" fillId="25" borderId="52" xfId="72" applyFont="1" applyFill="1" applyBorder="1" applyAlignment="1" applyProtection="1">
      <alignment vertical="center"/>
      <protection hidden="1"/>
    </xf>
    <xf numFmtId="0" fontId="117" fillId="25" borderId="53" xfId="72" applyFont="1" applyFill="1" applyBorder="1" applyAlignment="1" applyProtection="1">
      <alignment vertical="center"/>
      <protection hidden="1"/>
    </xf>
    <xf numFmtId="0" fontId="117" fillId="25" borderId="26" xfId="72" applyFont="1" applyFill="1" applyBorder="1" applyAlignment="1" applyProtection="1">
      <alignment vertical="center"/>
      <protection locked="0"/>
    </xf>
    <xf numFmtId="0" fontId="117" fillId="22" borderId="70" xfId="72" applyFont="1" applyFill="1" applyBorder="1" applyAlignment="1">
      <alignment vertical="center"/>
    </xf>
    <xf numFmtId="0" fontId="117" fillId="22" borderId="70" xfId="72" applyFont="1" applyFill="1" applyBorder="1" applyAlignment="1">
      <alignment horizontal="center" vertical="center"/>
    </xf>
    <xf numFmtId="0" fontId="117" fillId="22" borderId="74" xfId="72" applyFont="1" applyFill="1" applyBorder="1" applyAlignment="1">
      <alignment vertical="center"/>
    </xf>
    <xf numFmtId="176" fontId="117" fillId="22" borderId="27" xfId="73" applyNumberFormat="1" applyFont="1" applyFill="1" applyBorder="1" applyAlignment="1" applyProtection="1">
      <alignment horizontal="right" vertical="center" indent="1"/>
      <protection hidden="1"/>
    </xf>
    <xf numFmtId="176" fontId="117" fillId="22" borderId="54" xfId="73" applyNumberFormat="1" applyFont="1" applyFill="1" applyBorder="1" applyAlignment="1" applyProtection="1">
      <alignment horizontal="right" vertical="center" indent="1"/>
      <protection hidden="1"/>
    </xf>
    <xf numFmtId="176" fontId="117" fillId="22" borderId="53" xfId="73" applyNumberFormat="1" applyFont="1" applyFill="1" applyBorder="1" applyAlignment="1" applyProtection="1">
      <alignment horizontal="right" vertical="center" indent="1"/>
      <protection hidden="1"/>
    </xf>
    <xf numFmtId="176" fontId="118" fillId="22" borderId="35" xfId="72" applyNumberFormat="1" applyFont="1" applyFill="1" applyBorder="1" applyAlignment="1" applyProtection="1">
      <alignment horizontal="right" vertical="center"/>
      <protection hidden="1"/>
    </xf>
    <xf numFmtId="176" fontId="118" fillId="22" borderId="26" xfId="72" applyNumberFormat="1" applyFont="1" applyFill="1" applyBorder="1" applyAlignment="1" applyProtection="1">
      <alignment horizontal="right" vertical="center"/>
      <protection hidden="1"/>
    </xf>
    <xf numFmtId="176" fontId="118" fillId="0" borderId="60" xfId="72" applyNumberFormat="1" applyFont="1" applyFill="1" applyBorder="1" applyAlignment="1" applyProtection="1">
      <alignment horizontal="right" vertical="center"/>
      <protection hidden="1"/>
    </xf>
    <xf numFmtId="5" fontId="117" fillId="22" borderId="27" xfId="73" applyNumberFormat="1" applyFont="1" applyFill="1" applyBorder="1" applyAlignment="1" applyProtection="1">
      <alignment horizontal="right" vertical="center" indent="1"/>
      <protection hidden="1"/>
    </xf>
    <xf numFmtId="5" fontId="117" fillId="22" borderId="41" xfId="73" applyNumberFormat="1" applyFont="1" applyFill="1" applyBorder="1" applyAlignment="1" applyProtection="1">
      <alignment horizontal="right" vertical="center" indent="1"/>
      <protection hidden="1"/>
    </xf>
    <xf numFmtId="5" fontId="117" fillId="22" borderId="84" xfId="73" applyNumberFormat="1" applyFont="1" applyFill="1" applyBorder="1" applyAlignment="1" applyProtection="1">
      <alignment horizontal="right" vertical="center" indent="1"/>
      <protection hidden="1"/>
    </xf>
    <xf numFmtId="9" fontId="118" fillId="22" borderId="54" xfId="74" applyFont="1" applyFill="1" applyBorder="1" applyAlignment="1" applyProtection="1">
      <alignment horizontal="right" vertical="center"/>
      <protection hidden="1"/>
    </xf>
    <xf numFmtId="177" fontId="118" fillId="22" borderId="52" xfId="74" applyNumberFormat="1" applyFont="1" applyFill="1" applyBorder="1" applyAlignment="1" applyProtection="1">
      <alignment horizontal="right" vertical="center"/>
      <protection hidden="1"/>
    </xf>
    <xf numFmtId="3" fontId="117" fillId="22" borderId="85" xfId="73" applyNumberFormat="1" applyFont="1" applyFill="1" applyBorder="1" applyAlignment="1" applyProtection="1">
      <alignment horizontal="right" vertical="center" indent="1"/>
      <protection hidden="1"/>
    </xf>
    <xf numFmtId="208" fontId="117" fillId="22" borderId="84" xfId="73" applyNumberFormat="1" applyFont="1" applyFill="1" applyBorder="1" applyAlignment="1" applyProtection="1">
      <alignment horizontal="right" vertical="center" indent="1"/>
      <protection hidden="1"/>
    </xf>
    <xf numFmtId="9" fontId="118" fillId="22" borderId="40" xfId="74" applyFont="1" applyFill="1" applyBorder="1" applyAlignment="1" applyProtection="1">
      <alignment horizontal="right" vertical="center"/>
      <protection hidden="1"/>
    </xf>
    <xf numFmtId="165" fontId="117" fillId="19" borderId="85" xfId="73" applyNumberFormat="1" applyFont="1" applyFill="1" applyBorder="1" applyAlignment="1" applyProtection="1">
      <alignment horizontal="center" vertical="center"/>
      <protection hidden="1"/>
    </xf>
    <xf numFmtId="165" fontId="117" fillId="19" borderId="85" xfId="73" applyNumberFormat="1" applyFont="1" applyFill="1" applyBorder="1" applyAlignment="1" applyProtection="1">
      <alignment vertical="center"/>
      <protection hidden="1"/>
    </xf>
    <xf numFmtId="165" fontId="117" fillId="19" borderId="74" xfId="73" applyNumberFormat="1" applyFont="1" applyFill="1" applyBorder="1" applyAlignment="1" applyProtection="1">
      <alignment vertical="center"/>
      <protection hidden="1"/>
    </xf>
    <xf numFmtId="165" fontId="117" fillId="19" borderId="84" xfId="73" applyNumberFormat="1" applyFont="1" applyFill="1" applyBorder="1" applyAlignment="1" applyProtection="1">
      <alignment vertical="center"/>
      <protection hidden="1"/>
    </xf>
    <xf numFmtId="164" fontId="117" fillId="19" borderId="40" xfId="73" applyNumberFormat="1" applyFont="1" applyFill="1" applyBorder="1" applyAlignment="1" applyProtection="1">
      <alignment vertical="center" wrapText="1"/>
      <protection hidden="1"/>
    </xf>
    <xf numFmtId="164" fontId="117" fillId="19" borderId="84" xfId="73" applyNumberFormat="1" applyFont="1" applyFill="1" applyBorder="1" applyAlignment="1" applyProtection="1">
      <alignment vertical="center" wrapText="1"/>
      <protection hidden="1"/>
    </xf>
    <xf numFmtId="0" fontId="117"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19" fillId="24" borderId="71" xfId="72" applyFont="1" applyFill="1" applyBorder="1" applyAlignment="1">
      <alignment horizontal="center" vertical="center" wrapText="1"/>
    </xf>
    <xf numFmtId="0" fontId="117" fillId="24" borderId="54" xfId="72" applyFont="1" applyFill="1" applyBorder="1" applyAlignment="1">
      <alignment horizontal="center" vertical="center" wrapText="1"/>
    </xf>
    <xf numFmtId="0" fontId="117"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8" fillId="0" borderId="53" xfId="72" applyFont="1" applyFill="1" applyBorder="1" applyAlignment="1">
      <alignment horizontal="center" vertical="center" wrapText="1"/>
    </xf>
    <xf numFmtId="0" fontId="118" fillId="0" borderId="54" xfId="72" applyFont="1" applyFill="1" applyBorder="1" applyAlignment="1">
      <alignment horizontal="center" vertical="center" wrapText="1" shrinkToFit="1"/>
    </xf>
    <xf numFmtId="204" fontId="118" fillId="0" borderId="26" xfId="72" applyNumberFormat="1" applyFont="1" applyFill="1" applyBorder="1" applyAlignment="1">
      <alignment horizontal="center" vertical="center" wrapText="1"/>
    </xf>
    <xf numFmtId="0" fontId="121" fillId="0" borderId="35" xfId="72" applyFont="1" applyFill="1" applyBorder="1" applyAlignment="1">
      <alignment horizontal="center" vertical="center" wrapText="1" shrinkToFit="1"/>
    </xf>
    <xf numFmtId="0" fontId="121" fillId="0" borderId="25" xfId="72" applyFont="1" applyFill="1" applyBorder="1" applyAlignment="1">
      <alignment horizontal="center" vertical="center" wrapText="1" shrinkToFit="1"/>
    </xf>
    <xf numFmtId="0" fontId="121" fillId="0" borderId="56" xfId="72" applyFont="1" applyFill="1" applyBorder="1" applyAlignment="1">
      <alignment horizontal="center" vertical="center" wrapText="1" shrinkToFit="1"/>
    </xf>
    <xf numFmtId="0" fontId="120" fillId="0" borderId="27" xfId="72" applyFont="1" applyFill="1" applyBorder="1" applyAlignment="1">
      <alignment horizontal="center" vertical="center" wrapText="1"/>
    </xf>
    <xf numFmtId="0" fontId="118" fillId="0" borderId="27" xfId="72" applyFont="1" applyFill="1" applyBorder="1" applyAlignment="1">
      <alignment horizontal="center" vertical="center" wrapText="1"/>
    </xf>
    <xf numFmtId="0" fontId="117" fillId="19" borderId="37" xfId="72" applyFont="1" applyFill="1" applyBorder="1" applyAlignment="1">
      <alignment horizontal="center" vertical="center" wrapText="1"/>
    </xf>
    <xf numFmtId="0" fontId="117" fillId="19" borderId="52" xfId="72" applyFont="1" applyFill="1" applyBorder="1" applyAlignment="1">
      <alignment horizontal="center" vertical="center" wrapText="1"/>
    </xf>
    <xf numFmtId="164" fontId="117" fillId="24" borderId="54" xfId="73" applyNumberFormat="1" applyFont="1" applyFill="1" applyBorder="1" applyAlignment="1">
      <alignment horizontal="center" vertical="center" wrapText="1"/>
    </xf>
    <xf numFmtId="43" fontId="117" fillId="24" borderId="52" xfId="73" applyFont="1" applyFill="1" applyBorder="1" applyAlignment="1">
      <alignment horizontal="center" vertical="center" wrapText="1"/>
    </xf>
    <xf numFmtId="0" fontId="117" fillId="24" borderId="27"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7" fillId="24" borderId="37" xfId="72" applyFont="1" applyFill="1" applyBorder="1" applyAlignment="1">
      <alignment horizontal="center" vertical="center" wrapText="1"/>
    </xf>
    <xf numFmtId="0" fontId="117" fillId="24" borderId="52" xfId="72" applyFont="1" applyFill="1" applyBorder="1" applyAlignment="1">
      <alignment horizontal="center" vertical="center" wrapText="1"/>
    </xf>
    <xf numFmtId="165" fontId="117" fillId="24" borderId="54" xfId="73" applyNumberFormat="1" applyFont="1" applyFill="1" applyBorder="1" applyAlignment="1">
      <alignment horizontal="center" vertical="center" wrapText="1"/>
    </xf>
    <xf numFmtId="165" fontId="117" fillId="24" borderId="52" xfId="73" applyNumberFormat="1" applyFont="1" applyFill="1" applyBorder="1" applyAlignment="1">
      <alignment horizontal="center" vertical="center" wrapText="1"/>
    </xf>
    <xf numFmtId="165" fontId="117" fillId="24" borderId="35" xfId="73" applyNumberFormat="1" applyFont="1" applyFill="1" applyBorder="1" applyAlignment="1">
      <alignment horizontal="center" vertical="center" wrapText="1"/>
    </xf>
    <xf numFmtId="165" fontId="117" fillId="24" borderId="25" xfId="73" applyNumberFormat="1" applyFont="1" applyFill="1" applyBorder="1" applyAlignment="1">
      <alignment horizontal="center" vertical="center" wrapText="1"/>
    </xf>
    <xf numFmtId="0" fontId="23" fillId="24" borderId="56" xfId="72" applyFont="1" applyFill="1" applyBorder="1" applyAlignment="1">
      <alignment horizontal="centerContinuous" vertical="center"/>
    </xf>
    <xf numFmtId="164" fontId="23" fillId="24" borderId="52" xfId="73" applyNumberFormat="1" applyFont="1" applyFill="1" applyBorder="1" applyAlignment="1">
      <alignment horizontal="centerContinuous" vertical="center"/>
    </xf>
    <xf numFmtId="0" fontId="117" fillId="24" borderId="54" xfId="72" applyFont="1" applyFill="1" applyBorder="1" applyAlignment="1">
      <alignment horizontal="centerContinuous" vertical="center"/>
    </xf>
    <xf numFmtId="164" fontId="117"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8" fillId="0" borderId="40" xfId="73" applyNumberFormat="1" applyFont="1" applyFill="1" applyBorder="1" applyAlignment="1">
      <alignment horizontal="centerContinuous" vertical="center"/>
    </xf>
    <xf numFmtId="204" fontId="118" fillId="0" borderId="40" xfId="72" applyNumberFormat="1" applyFont="1" applyFill="1" applyBorder="1" applyAlignment="1">
      <alignment horizontal="centerContinuous" vertical="center"/>
    </xf>
    <xf numFmtId="204" fontId="118" fillId="0" borderId="26" xfId="72" applyNumberFormat="1" applyFont="1" applyFill="1" applyBorder="1" applyAlignment="1">
      <alignment horizontal="centerContinuous" vertical="center"/>
    </xf>
    <xf numFmtId="164" fontId="118" fillId="0" borderId="40" xfId="73" applyNumberFormat="1" applyFont="1" applyFill="1" applyBorder="1" applyAlignment="1">
      <alignment vertical="center" wrapText="1"/>
    </xf>
    <xf numFmtId="204" fontId="118" fillId="0" borderId="35" xfId="72" applyNumberFormat="1" applyFont="1" applyFill="1" applyBorder="1" applyAlignment="1">
      <alignment horizontal="centerContinuous" vertical="center"/>
    </xf>
    <xf numFmtId="0" fontId="118" fillId="0" borderId="35" xfId="72" applyFont="1" applyFill="1" applyBorder="1" applyAlignment="1">
      <alignment horizontal="centerContinuous" vertical="center"/>
    </xf>
    <xf numFmtId="0" fontId="118" fillId="0" borderId="34" xfId="72" applyFont="1" applyFill="1" applyBorder="1" applyAlignment="1">
      <alignment horizontal="centerContinuous" vertical="center"/>
    </xf>
    <xf numFmtId="0" fontId="117" fillId="19" borderId="54" xfId="72" applyFont="1" applyFill="1" applyBorder="1" applyAlignment="1">
      <alignment horizontal="centerContinuous" vertical="center"/>
    </xf>
    <xf numFmtId="164" fontId="117" fillId="19" borderId="52" xfId="73" applyNumberFormat="1" applyFont="1" applyFill="1" applyBorder="1" applyAlignment="1">
      <alignment horizontal="centerContinuous" vertical="center"/>
    </xf>
    <xf numFmtId="0" fontId="117" fillId="24" borderId="41" xfId="72" applyFont="1" applyFill="1" applyBorder="1" applyAlignment="1" applyProtection="1">
      <alignment horizontal="centerContinuous" vertical="center" wrapText="1"/>
    </xf>
    <xf numFmtId="164" fontId="117" fillId="24" borderId="52" xfId="73" applyNumberFormat="1" applyFont="1" applyFill="1" applyBorder="1" applyAlignment="1">
      <alignment horizontal="centerContinuous" vertical="center"/>
    </xf>
    <xf numFmtId="0" fontId="117" fillId="0" borderId="40" xfId="72" applyFont="1" applyFill="1" applyBorder="1" applyAlignment="1" applyProtection="1">
      <alignment horizontal="centerContinuous" vertical="center" wrapText="1"/>
    </xf>
    <xf numFmtId="0" fontId="117" fillId="24" borderId="36" xfId="72" applyFont="1" applyFill="1" applyBorder="1" applyAlignment="1">
      <alignment horizontal="centerContinuous" vertical="center"/>
    </xf>
    <xf numFmtId="0" fontId="23"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7" fillId="41" borderId="35" xfId="72" quotePrefix="1" applyNumberFormat="1" applyFont="1" applyFill="1" applyBorder="1" applyAlignment="1">
      <alignment horizontal="center" vertical="center"/>
    </xf>
    <xf numFmtId="206" fontId="117" fillId="42" borderId="36" xfId="72" quotePrefix="1" applyNumberFormat="1" applyFont="1" applyFill="1" applyBorder="1" applyAlignment="1">
      <alignment horizontal="centerContinuous" vertical="center"/>
    </xf>
    <xf numFmtId="206" fontId="117" fillId="42" borderId="35" xfId="72" quotePrefix="1" applyNumberFormat="1" applyFont="1" applyFill="1" applyBorder="1" applyAlignment="1">
      <alignment horizontal="centerContinuous" vertical="center"/>
    </xf>
    <xf numFmtId="206" fontId="117" fillId="42" borderId="35" xfId="72" applyNumberFormat="1" applyFont="1" applyFill="1" applyBorder="1" applyAlignment="1">
      <alignment horizontal="centerContinuous" vertical="center"/>
    </xf>
    <xf numFmtId="206" fontId="117" fillId="16" borderId="35" xfId="72" quotePrefix="1" applyNumberFormat="1" applyFont="1" applyFill="1" applyBorder="1" applyAlignment="1">
      <alignment horizontal="centerContinuous" vertical="center"/>
    </xf>
    <xf numFmtId="206" fontId="117" fillId="16" borderId="36" xfId="72" quotePrefix="1" applyNumberFormat="1" applyFont="1" applyFill="1" applyBorder="1" applyAlignment="1">
      <alignment horizontal="centerContinuous" vertical="center"/>
    </xf>
    <xf numFmtId="206" fontId="117" fillId="16" borderId="35" xfId="72" applyNumberFormat="1" applyFont="1" applyFill="1" applyBorder="1" applyAlignment="1">
      <alignment horizontal="centerContinuous" vertical="center"/>
    </xf>
    <xf numFmtId="206" fontId="117" fillId="28" borderId="36" xfId="72" quotePrefix="1" applyNumberFormat="1" applyFont="1" applyFill="1" applyBorder="1" applyAlignment="1">
      <alignment horizontal="centerContinuous" vertical="center"/>
    </xf>
    <xf numFmtId="206" fontId="117" fillId="28" borderId="35" xfId="72" quotePrefix="1" applyNumberFormat="1" applyFont="1" applyFill="1" applyBorder="1" applyAlignment="1">
      <alignment horizontal="centerContinuous" vertical="center"/>
    </xf>
    <xf numFmtId="206" fontId="117" fillId="28" borderId="34" xfId="72" applyNumberFormat="1" applyFont="1" applyFill="1" applyBorder="1" applyAlignment="1">
      <alignment horizontal="centerContinuous" vertical="center"/>
    </xf>
    <xf numFmtId="206" fontId="117" fillId="43" borderId="36" xfId="72" quotePrefix="1" applyNumberFormat="1" applyFont="1" applyFill="1" applyBorder="1" applyAlignment="1">
      <alignment horizontal="centerContinuous" vertical="center"/>
    </xf>
    <xf numFmtId="206" fontId="117" fillId="44" borderId="35" xfId="72" quotePrefix="1" applyNumberFormat="1" applyFont="1" applyFill="1" applyBorder="1" applyAlignment="1">
      <alignment horizontal="centerContinuous" vertical="center"/>
    </xf>
    <xf numFmtId="206" fontId="117" fillId="44" borderId="34" xfId="72" applyNumberFormat="1" applyFont="1" applyFill="1" applyBorder="1" applyAlignment="1">
      <alignment horizontal="centerContinuous" vertical="center"/>
    </xf>
    <xf numFmtId="206" fontId="117" fillId="41" borderId="36" xfId="72" quotePrefix="1" applyNumberFormat="1" applyFont="1" applyFill="1" applyBorder="1" applyAlignment="1">
      <alignment horizontal="centerContinuous" vertical="center"/>
    </xf>
    <xf numFmtId="206" fontId="117" fillId="41" borderId="35" xfId="72" quotePrefix="1" applyNumberFormat="1" applyFont="1" applyFill="1" applyBorder="1" applyAlignment="1">
      <alignment horizontal="centerContinuous" vertical="center"/>
    </xf>
    <xf numFmtId="206" fontId="117" fillId="41" borderId="35" xfId="72" applyNumberFormat="1" applyFont="1" applyFill="1" applyBorder="1" applyAlignment="1">
      <alignment horizontal="centerContinuous" vertical="center"/>
    </xf>
    <xf numFmtId="0" fontId="119" fillId="0" borderId="21" xfId="72" applyFont="1" applyBorder="1" applyAlignment="1">
      <alignment vertical="center"/>
    </xf>
    <xf numFmtId="0" fontId="127" fillId="0" borderId="0" xfId="72" applyFont="1" applyAlignment="1">
      <alignment horizontal="center" vertical="center"/>
    </xf>
    <xf numFmtId="43" fontId="47"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7" fillId="28" borderId="5" xfId="72" applyFont="1" applyFill="1" applyBorder="1"/>
    <xf numFmtId="0" fontId="47" fillId="0" borderId="14" xfId="72" applyFont="1" applyBorder="1"/>
    <xf numFmtId="0" fontId="47" fillId="0" borderId="17" xfId="72" applyFont="1" applyBorder="1"/>
    <xf numFmtId="0" fontId="47" fillId="0" borderId="5" xfId="72" applyFont="1" applyFill="1" applyBorder="1"/>
    <xf numFmtId="0" fontId="47" fillId="0" borderId="14" xfId="72" applyFont="1" applyFill="1" applyBorder="1"/>
    <xf numFmtId="0" fontId="117" fillId="0" borderId="39" xfId="72" applyFont="1" applyFill="1" applyBorder="1" applyAlignment="1">
      <alignment vertical="center" wrapText="1"/>
    </xf>
    <xf numFmtId="0" fontId="51" fillId="0" borderId="0" xfId="0" applyFont="1" applyAlignment="1">
      <alignment horizontal="center"/>
    </xf>
    <xf numFmtId="0" fontId="51" fillId="0" borderId="0" xfId="40" applyFont="1" applyBorder="1" applyAlignment="1">
      <alignment horizontal="center"/>
    </xf>
    <xf numFmtId="0" fontId="124" fillId="0" borderId="0" xfId="67" applyFont="1" applyAlignment="1">
      <alignment horizontal="left" vertical="center" wrapText="1"/>
    </xf>
    <xf numFmtId="0" fontId="51" fillId="0" borderId="0" xfId="0" applyFont="1" applyBorder="1" applyAlignment="1"/>
    <xf numFmtId="0" fontId="128" fillId="0" borderId="0" xfId="67" applyFont="1" applyFill="1" applyBorder="1"/>
    <xf numFmtId="2" fontId="46" fillId="0" borderId="0" xfId="40" applyNumberFormat="1" applyFont="1" applyFill="1" applyBorder="1" applyAlignment="1">
      <alignment horizontal="left"/>
    </xf>
    <xf numFmtId="2" fontId="46" fillId="0" borderId="0" xfId="40" applyNumberFormat="1" applyFont="1" applyFill="1" applyBorder="1"/>
    <xf numFmtId="0" fontId="46" fillId="0" borderId="0" xfId="40" applyFont="1" applyFill="1" applyBorder="1" applyAlignment="1">
      <alignment horizontal="center"/>
    </xf>
    <xf numFmtId="0" fontId="124" fillId="0" borderId="0" xfId="67" applyFont="1" applyFill="1" applyBorder="1" applyAlignment="1">
      <alignment horizontal="center"/>
    </xf>
    <xf numFmtId="0" fontId="7" fillId="0" borderId="0" xfId="67" applyFill="1" applyBorder="1" applyAlignment="1">
      <alignment horizontal="center"/>
    </xf>
    <xf numFmtId="43" fontId="51" fillId="0" borderId="0" xfId="0" applyNumberFormat="1" applyFont="1" applyBorder="1" applyAlignment="1">
      <alignment horizontal="center" vertical="center"/>
    </xf>
    <xf numFmtId="9" fontId="55" fillId="0" borderId="0" xfId="29" applyFont="1" applyBorder="1" applyAlignment="1" applyProtection="1">
      <alignment horizontal="center"/>
      <protection locked="0"/>
    </xf>
    <xf numFmtId="0" fontId="124"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8"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4"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7"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4"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2"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8" fillId="0" borderId="0" xfId="67" applyNumberFormat="1" applyFont="1" applyBorder="1"/>
    <xf numFmtId="2" fontId="129" fillId="30" borderId="0" xfId="67" applyNumberFormat="1" applyFont="1" applyFill="1" applyBorder="1" applyAlignment="1" applyProtection="1">
      <alignment vertical="top" wrapText="1"/>
      <protection hidden="1"/>
    </xf>
    <xf numFmtId="2" fontId="129" fillId="30" borderId="0" xfId="67" applyNumberFormat="1" applyFont="1" applyFill="1" applyBorder="1" applyAlignment="1">
      <alignment horizontal="center" vertical="center" wrapText="1"/>
    </xf>
    <xf numFmtId="2" fontId="130" fillId="30" borderId="0" xfId="67" applyNumberFormat="1" applyFont="1" applyFill="1" applyBorder="1" applyAlignment="1">
      <alignment horizontal="center" vertical="center"/>
    </xf>
    <xf numFmtId="164" fontId="59" fillId="0" borderId="0" xfId="5" applyNumberFormat="1" applyFont="1" applyBorder="1" applyAlignment="1">
      <alignment horizontal="left" vertical="center" wrapText="1"/>
    </xf>
    <xf numFmtId="164" fontId="51" fillId="0" borderId="0" xfId="5" applyNumberFormat="1" applyFont="1" applyBorder="1" applyAlignment="1">
      <alignment horizontal="center" vertical="center" wrapText="1"/>
    </xf>
    <xf numFmtId="165" fontId="51" fillId="0" borderId="0" xfId="5" applyNumberFormat="1" applyFont="1" applyBorder="1" applyAlignment="1">
      <alignment horizontal="center" vertical="center" wrapText="1"/>
    </xf>
    <xf numFmtId="43" fontId="51" fillId="0" borderId="0" xfId="4" applyFont="1" applyBorder="1" applyAlignment="1">
      <alignment horizontal="center" vertical="center" wrapText="1"/>
    </xf>
    <xf numFmtId="0" fontId="46" fillId="0" borderId="0" xfId="0" applyFont="1" applyBorder="1" applyAlignment="1" applyProtection="1">
      <alignment vertical="center" wrapText="1"/>
      <protection locked="0"/>
    </xf>
    <xf numFmtId="0" fontId="46" fillId="0" borderId="0" xfId="0" applyFont="1" applyBorder="1" applyAlignment="1" applyProtection="1">
      <alignment horizontal="center" vertical="center" wrapText="1"/>
      <protection locked="0"/>
    </xf>
    <xf numFmtId="4" fontId="46" fillId="0" borderId="0" xfId="0" applyNumberFormat="1" applyFont="1" applyBorder="1" applyAlignment="1" applyProtection="1">
      <alignment horizontal="center" vertical="center" wrapText="1"/>
      <protection locked="0"/>
    </xf>
    <xf numFmtId="166" fontId="46" fillId="0" borderId="0" xfId="0" applyNumberFormat="1" applyFont="1" applyBorder="1" applyAlignment="1" applyProtection="1">
      <alignment horizontal="center" vertical="center" wrapText="1"/>
      <protection locked="0"/>
    </xf>
    <xf numFmtId="4" fontId="46" fillId="0" borderId="0" xfId="4" applyNumberFormat="1" applyFont="1" applyBorder="1" applyAlignment="1">
      <alignment horizontal="center" vertical="center" wrapText="1"/>
    </xf>
    <xf numFmtId="3" fontId="46" fillId="0" borderId="0" xfId="4" applyNumberFormat="1" applyFont="1" applyBorder="1" applyAlignment="1">
      <alignment horizontal="center" vertical="center" wrapText="1"/>
    </xf>
    <xf numFmtId="4" fontId="46" fillId="0" borderId="0" xfId="0" applyNumberFormat="1" applyFont="1" applyBorder="1" applyAlignment="1" applyProtection="1">
      <alignment horizontal="center"/>
      <protection locked="0"/>
    </xf>
    <xf numFmtId="166" fontId="46" fillId="0" borderId="0" xfId="0" applyNumberFormat="1" applyFont="1" applyBorder="1" applyAlignment="1" applyProtection="1">
      <alignment horizontal="center"/>
      <protection locked="0"/>
    </xf>
    <xf numFmtId="4" fontId="46" fillId="0" borderId="0" xfId="4" applyNumberFormat="1" applyFont="1" applyBorder="1" applyAlignment="1">
      <alignment horizontal="center"/>
    </xf>
    <xf numFmtId="3" fontId="46" fillId="0" borderId="0" xfId="4" applyNumberFormat="1" applyFont="1" applyBorder="1" applyAlignment="1">
      <alignment horizontal="center"/>
    </xf>
    <xf numFmtId="0" fontId="10" fillId="0" borderId="0" xfId="40" applyAlignment="1">
      <alignment vertical="top" wrapText="1"/>
    </xf>
    <xf numFmtId="0" fontId="51" fillId="0" borderId="0" xfId="0" applyFont="1" applyAlignment="1">
      <alignment horizontal="center"/>
    </xf>
    <xf numFmtId="0" fontId="117" fillId="19" borderId="40" xfId="76" applyFont="1" applyFill="1" applyBorder="1" applyAlignment="1" applyProtection="1">
      <alignment vertical="center"/>
      <protection hidden="1"/>
    </xf>
    <xf numFmtId="3" fontId="117" fillId="0" borderId="60" xfId="76" applyNumberFormat="1" applyFont="1" applyFill="1" applyBorder="1" applyAlignment="1" applyProtection="1">
      <alignment horizontal="right" vertical="center"/>
      <protection hidden="1"/>
    </xf>
    <xf numFmtId="0" fontId="117" fillId="19" borderId="27" xfId="76" applyFont="1" applyFill="1" applyBorder="1" applyAlignment="1" applyProtection="1">
      <alignment vertical="center"/>
      <protection hidden="1"/>
    </xf>
    <xf numFmtId="176" fontId="117" fillId="0" borderId="60" xfId="76" applyNumberFormat="1" applyFont="1" applyFill="1" applyBorder="1" applyAlignment="1" applyProtection="1">
      <alignment horizontal="right" vertical="center"/>
      <protection locked="0"/>
    </xf>
    <xf numFmtId="176" fontId="117" fillId="0" borderId="0" xfId="76" applyNumberFormat="1" applyFont="1" applyFill="1" applyBorder="1" applyAlignment="1" applyProtection="1">
      <alignment horizontal="right" vertical="center"/>
      <protection locked="0"/>
    </xf>
    <xf numFmtId="0" fontId="117" fillId="19" borderId="28" xfId="76" applyFont="1" applyFill="1" applyBorder="1" applyAlignment="1" applyProtection="1">
      <alignment vertical="center"/>
      <protection hidden="1"/>
    </xf>
    <xf numFmtId="0" fontId="117" fillId="25" borderId="35" xfId="76" applyFont="1" applyFill="1" applyBorder="1" applyAlignment="1" applyProtection="1">
      <alignment vertical="center"/>
      <protection hidden="1"/>
    </xf>
    <xf numFmtId="0" fontId="117" fillId="25" borderId="26" xfId="76" applyFont="1" applyFill="1" applyBorder="1" applyAlignment="1" applyProtection="1">
      <alignment vertical="center"/>
      <protection hidden="1"/>
    </xf>
    <xf numFmtId="0" fontId="117" fillId="25" borderId="0" xfId="76" applyFont="1" applyFill="1" applyBorder="1" applyAlignment="1" applyProtection="1">
      <alignment vertical="center"/>
      <protection hidden="1"/>
    </xf>
    <xf numFmtId="0" fontId="117" fillId="0" borderId="4" xfId="76" applyFont="1" applyFill="1" applyBorder="1" applyAlignment="1" applyProtection="1">
      <alignment vertical="center" wrapText="1"/>
      <protection locked="0"/>
    </xf>
    <xf numFmtId="0" fontId="119" fillId="0" borderId="57" xfId="76" applyFont="1" applyBorder="1" applyAlignment="1" applyProtection="1">
      <alignment horizontal="right" vertical="center"/>
      <protection locked="0"/>
    </xf>
    <xf numFmtId="3" fontId="119" fillId="0" borderId="57" xfId="76" applyNumberFormat="1" applyFont="1" applyBorder="1" applyAlignment="1" applyProtection="1">
      <alignment horizontal="right" vertical="center" wrapText="1"/>
      <protection locked="0"/>
    </xf>
    <xf numFmtId="3" fontId="119" fillId="0" borderId="57" xfId="76" applyNumberFormat="1" applyFont="1" applyFill="1" applyBorder="1" applyAlignment="1" applyProtection="1">
      <alignment horizontal="right" vertical="center" wrapText="1"/>
      <protection locked="0"/>
    </xf>
    <xf numFmtId="0" fontId="119" fillId="0" borderId="57" xfId="76" applyFont="1" applyFill="1" applyBorder="1" applyAlignment="1" applyProtection="1">
      <alignment horizontal="right" vertical="center" wrapText="1"/>
      <protection locked="0"/>
    </xf>
    <xf numFmtId="0" fontId="119" fillId="0" borderId="57" xfId="76" applyFont="1" applyBorder="1" applyAlignment="1" applyProtection="1">
      <alignment horizontal="right" vertical="center" wrapText="1"/>
      <protection locked="0"/>
    </xf>
    <xf numFmtId="0" fontId="117" fillId="40" borderId="87"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protection locked="0"/>
    </xf>
    <xf numFmtId="0" fontId="119" fillId="0" borderId="20" xfId="76" applyFont="1" applyFill="1" applyBorder="1" applyAlignment="1" applyProtection="1">
      <alignment horizontal="right" vertical="center"/>
      <protection locked="0"/>
    </xf>
    <xf numFmtId="176" fontId="119" fillId="0" borderId="60" xfId="76" applyNumberFormat="1" applyFont="1" applyFill="1" applyBorder="1" applyAlignment="1" applyProtection="1">
      <alignment horizontal="right" vertical="center"/>
      <protection locked="0"/>
    </xf>
    <xf numFmtId="176" fontId="119" fillId="0" borderId="60" xfId="76" quotePrefix="1" applyNumberFormat="1" applyFont="1" applyFill="1" applyBorder="1" applyAlignment="1" applyProtection="1">
      <alignment horizontal="right" vertical="center"/>
      <protection locked="0"/>
    </xf>
    <xf numFmtId="3" fontId="119" fillId="0" borderId="60" xfId="76" quotePrefix="1" applyNumberFormat="1" applyFont="1" applyFill="1" applyBorder="1" applyAlignment="1" applyProtection="1">
      <alignment horizontal="right" vertical="center"/>
      <protection locked="0"/>
    </xf>
    <xf numFmtId="0" fontId="119" fillId="0" borderId="57" xfId="76" applyFont="1" applyFill="1" applyBorder="1" applyAlignment="1" applyProtection="1">
      <alignment horizontal="right" vertical="center"/>
      <protection locked="0"/>
    </xf>
    <xf numFmtId="0" fontId="117" fillId="40" borderId="58" xfId="76" applyFont="1" applyFill="1" applyBorder="1" applyAlignment="1">
      <alignment horizontal="center" vertical="center"/>
    </xf>
    <xf numFmtId="3" fontId="119" fillId="0" borderId="60" xfId="76" applyNumberFormat="1" applyFont="1" applyFill="1" applyBorder="1" applyAlignment="1" applyProtection="1">
      <alignment horizontal="right" vertical="center" wrapText="1"/>
      <protection locked="0"/>
    </xf>
    <xf numFmtId="0" fontId="119" fillId="0" borderId="60" xfId="76" applyFont="1" applyFill="1" applyBorder="1" applyAlignment="1" applyProtection="1">
      <alignment horizontal="right" vertical="center"/>
      <protection locked="0"/>
    </xf>
    <xf numFmtId="0" fontId="119" fillId="0" borderId="60" xfId="76" applyFont="1" applyFill="1" applyBorder="1" applyAlignment="1" applyProtection="1">
      <alignment horizontal="right" vertical="center" wrapText="1"/>
      <protection locked="0"/>
    </xf>
    <xf numFmtId="0" fontId="117" fillId="0" borderId="60" xfId="76" applyNumberFormat="1" applyFont="1" applyFill="1" applyBorder="1" applyAlignment="1" applyProtection="1">
      <alignment horizontal="right" vertical="center"/>
      <protection locked="0"/>
    </xf>
    <xf numFmtId="0" fontId="46" fillId="0" borderId="0" xfId="40" applyFont="1" applyBorder="1" applyAlignment="1">
      <alignment vertical="top" wrapText="1"/>
    </xf>
    <xf numFmtId="44" fontId="75" fillId="0" borderId="0" xfId="6" applyFont="1" applyBorder="1" applyAlignment="1">
      <alignment horizontal="center" wrapText="1"/>
    </xf>
    <xf numFmtId="0" fontId="116" fillId="0" borderId="0" xfId="0" applyFont="1" applyFill="1" applyBorder="1" applyAlignment="1">
      <alignment vertical="center" wrapText="1"/>
    </xf>
    <xf numFmtId="0" fontId="115" fillId="0" borderId="0" xfId="0" applyFont="1" applyBorder="1" applyAlignment="1">
      <alignment horizontal="center" vertical="center"/>
    </xf>
    <xf numFmtId="7" fontId="115" fillId="0" borderId="0" xfId="0" applyNumberFormat="1" applyFont="1" applyBorder="1" applyAlignment="1">
      <alignment horizontal="right" vertical="center"/>
    </xf>
    <xf numFmtId="0" fontId="116" fillId="0" borderId="0" xfId="0" applyFont="1" applyFill="1" applyBorder="1" applyAlignment="1">
      <alignment vertical="center"/>
    </xf>
    <xf numFmtId="0" fontId="119" fillId="0" borderId="0" xfId="78" applyFont="1" applyProtection="1"/>
    <xf numFmtId="0" fontId="4" fillId="0" borderId="0" xfId="78"/>
    <xf numFmtId="0" fontId="118" fillId="24" borderId="41" xfId="78" applyFont="1" applyFill="1" applyBorder="1" applyAlignment="1">
      <alignment horizontal="centerContinuous" vertical="center"/>
    </xf>
    <xf numFmtId="0" fontId="118" fillId="24" borderId="35" xfId="78" applyFont="1" applyFill="1" applyBorder="1" applyAlignment="1">
      <alignment horizontal="centerContinuous" vertical="center"/>
    </xf>
    <xf numFmtId="0" fontId="118" fillId="24" borderId="40" xfId="78" applyFont="1" applyFill="1" applyBorder="1" applyAlignment="1">
      <alignment horizontal="centerContinuous" vertical="center"/>
    </xf>
    <xf numFmtId="0" fontId="117" fillId="24" borderId="36" xfId="78" applyFont="1" applyFill="1" applyBorder="1" applyAlignment="1" applyProtection="1">
      <alignment horizontal="centerContinuous" vertical="center" wrapText="1"/>
    </xf>
    <xf numFmtId="0" fontId="118" fillId="24" borderId="36" xfId="78" applyFont="1" applyFill="1" applyBorder="1" applyAlignment="1">
      <alignment horizontal="center" vertical="center" wrapText="1"/>
    </xf>
    <xf numFmtId="0" fontId="119" fillId="0" borderId="0" xfId="78" applyFont="1" applyAlignment="1" applyProtection="1">
      <alignment horizontal="center" vertical="center"/>
    </xf>
    <xf numFmtId="0" fontId="118" fillId="24" borderId="52" xfId="78" applyFont="1" applyFill="1" applyBorder="1" applyAlignment="1">
      <alignment horizontal="center" vertical="center" wrapText="1"/>
    </xf>
    <xf numFmtId="0" fontId="118" fillId="24" borderId="25" xfId="78" applyFont="1" applyFill="1" applyBorder="1" applyAlignment="1">
      <alignment horizontal="center" vertical="center" wrapText="1"/>
    </xf>
    <xf numFmtId="0" fontId="117" fillId="24" borderId="54" xfId="78" applyFont="1" applyFill="1" applyBorder="1" applyAlignment="1" applyProtection="1">
      <alignment horizontal="center" vertical="center" wrapText="1"/>
    </xf>
    <xf numFmtId="0" fontId="117" fillId="0" borderId="57" xfId="78" applyFont="1" applyFill="1" applyBorder="1" applyAlignment="1" applyProtection="1">
      <alignment horizontal="left" vertical="center"/>
    </xf>
    <xf numFmtId="176" fontId="118" fillId="22" borderId="62" xfId="78" applyNumberFormat="1" applyFont="1" applyFill="1" applyBorder="1" applyAlignment="1" applyProtection="1">
      <alignment horizontal="right" vertical="center"/>
      <protection hidden="1"/>
    </xf>
    <xf numFmtId="4" fontId="118" fillId="22" borderId="12" xfId="78" applyNumberFormat="1" applyFont="1" applyFill="1" applyBorder="1" applyAlignment="1" applyProtection="1">
      <alignment horizontal="right" vertical="center"/>
    </xf>
    <xf numFmtId="0" fontId="117" fillId="0" borderId="51" xfId="78" applyFont="1" applyFill="1" applyBorder="1" applyAlignment="1" applyProtection="1">
      <alignment horizontal="center" vertical="center"/>
    </xf>
    <xf numFmtId="0" fontId="117" fillId="0" borderId="0" xfId="78" applyFont="1" applyFill="1" applyAlignment="1" applyProtection="1">
      <alignment horizontal="center" vertical="center"/>
    </xf>
    <xf numFmtId="0" fontId="117" fillId="25" borderId="38" xfId="78" applyFont="1" applyFill="1" applyBorder="1" applyAlignment="1" applyProtection="1">
      <alignment horizontal="center" vertical="center" wrapText="1"/>
    </xf>
    <xf numFmtId="0" fontId="118" fillId="25" borderId="67" xfId="78" applyFont="1" applyFill="1" applyBorder="1" applyAlignment="1">
      <alignment horizontal="center" vertical="center" wrapText="1"/>
    </xf>
    <xf numFmtId="0" fontId="118" fillId="25" borderId="33" xfId="78" applyFont="1" applyFill="1" applyBorder="1" applyAlignment="1">
      <alignment horizontal="center" vertical="center" wrapText="1"/>
    </xf>
    <xf numFmtId="0" fontId="118" fillId="25" borderId="15" xfId="78" applyFont="1" applyFill="1" applyBorder="1" applyAlignment="1">
      <alignment horizontal="center" vertical="center" wrapText="1"/>
    </xf>
    <xf numFmtId="0" fontId="118" fillId="25" borderId="16" xfId="78" applyFont="1" applyFill="1" applyBorder="1" applyAlignment="1">
      <alignment horizontal="center" vertical="center" wrapText="1"/>
    </xf>
    <xf numFmtId="0" fontId="118" fillId="25" borderId="0" xfId="78" applyFont="1" applyFill="1" applyBorder="1" applyAlignment="1">
      <alignment horizontal="center" vertical="center" wrapText="1"/>
    </xf>
    <xf numFmtId="0" fontId="117" fillId="27" borderId="57" xfId="78" applyFont="1" applyFill="1" applyBorder="1" applyAlignment="1" applyProtection="1">
      <alignment horizontal="center"/>
    </xf>
    <xf numFmtId="0" fontId="117" fillId="27" borderId="12" xfId="78" applyFont="1" applyFill="1" applyBorder="1" applyAlignment="1" applyProtection="1">
      <alignment horizontal="center"/>
    </xf>
    <xf numFmtId="166" fontId="122" fillId="19" borderId="5" xfId="78" applyNumberFormat="1" applyFont="1" applyFill="1" applyBorder="1" applyAlignment="1" applyProtection="1">
      <alignment horizontal="left"/>
      <protection locked="0"/>
    </xf>
    <xf numFmtId="3" fontId="119" fillId="19" borderId="59" xfId="78" applyNumberFormat="1" applyFont="1" applyFill="1" applyBorder="1" applyAlignment="1" applyProtection="1">
      <alignment horizontal="right" wrapText="1" indent="1"/>
      <protection locked="0"/>
    </xf>
    <xf numFmtId="0" fontId="119" fillId="19" borderId="12" xfId="78" applyFont="1" applyFill="1" applyBorder="1" applyAlignment="1" applyProtection="1">
      <alignment wrapText="1"/>
      <protection locked="0"/>
    </xf>
    <xf numFmtId="3" fontId="119" fillId="19" borderId="5" xfId="78" applyNumberFormat="1" applyFont="1" applyFill="1" applyBorder="1" applyAlignment="1" applyProtection="1">
      <alignment horizontal="right" wrapText="1" indent="1"/>
      <protection locked="0"/>
    </xf>
    <xf numFmtId="3" fontId="119" fillId="27" borderId="5" xfId="78" applyNumberFormat="1" applyFont="1" applyFill="1" applyBorder="1" applyAlignment="1" applyProtection="1">
      <alignment horizontal="right"/>
    </xf>
    <xf numFmtId="176" fontId="122" fillId="27" borderId="62" xfId="78" applyNumberFormat="1" applyFont="1" applyFill="1" applyBorder="1" applyAlignment="1" applyProtection="1">
      <alignment horizontal="right"/>
      <protection hidden="1"/>
    </xf>
    <xf numFmtId="4" fontId="119"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19" fillId="26" borderId="0" xfId="78" applyFont="1" applyFill="1" applyProtection="1"/>
    <xf numFmtId="0" fontId="119" fillId="26" borderId="0" xfId="78" applyFont="1" applyFill="1" applyAlignment="1" applyProtection="1">
      <alignment horizontal="left"/>
    </xf>
    <xf numFmtId="0" fontId="11" fillId="0" borderId="0" xfId="78" applyFont="1" applyFill="1" applyBorder="1"/>
    <xf numFmtId="0" fontId="119" fillId="18" borderId="0" xfId="78" applyFont="1" applyFill="1" applyProtection="1"/>
    <xf numFmtId="0" fontId="4" fillId="28" borderId="5" xfId="78" applyFill="1" applyBorder="1"/>
    <xf numFmtId="0" fontId="4" fillId="0" borderId="0" xfId="78" applyAlignment="1">
      <alignment horizontal="center"/>
    </xf>
    <xf numFmtId="0" fontId="114" fillId="0" borderId="52" xfId="78" applyFont="1" applyBorder="1" applyAlignment="1" applyProtection="1">
      <alignment horizontal="center" vertical="center" wrapText="1"/>
      <protection hidden="1"/>
    </xf>
    <xf numFmtId="0" fontId="114" fillId="34" borderId="52" xfId="78" applyFont="1" applyFill="1" applyBorder="1" applyAlignment="1" applyProtection="1">
      <alignment horizontal="center" vertical="center" wrapText="1"/>
      <protection hidden="1"/>
    </xf>
    <xf numFmtId="0" fontId="114" fillId="34" borderId="25" xfId="78" applyFont="1" applyFill="1" applyBorder="1" applyAlignment="1">
      <alignment horizontal="center" vertical="center"/>
    </xf>
    <xf numFmtId="5" fontId="114" fillId="34" borderId="25" xfId="78" applyNumberFormat="1" applyFont="1" applyFill="1" applyBorder="1" applyAlignment="1" applyProtection="1">
      <alignment horizontal="center" vertical="center" wrapText="1"/>
      <protection hidden="1"/>
    </xf>
    <xf numFmtId="0" fontId="114" fillId="34" borderId="25" xfId="78" applyFont="1" applyFill="1" applyBorder="1" applyAlignment="1" applyProtection="1">
      <alignment horizontal="center" vertical="center" wrapText="1"/>
      <protection hidden="1"/>
    </xf>
    <xf numFmtId="0" fontId="114"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29" fillId="30" borderId="5" xfId="78" applyFont="1" applyFill="1" applyBorder="1" applyAlignment="1" applyProtection="1">
      <alignment vertical="top" wrapText="1"/>
      <protection hidden="1"/>
    </xf>
    <xf numFmtId="0" fontId="115"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5" fillId="34" borderId="48" xfId="78" applyFont="1" applyFill="1" applyBorder="1" applyAlignment="1">
      <alignment horizontal="center" vertical="center"/>
    </xf>
    <xf numFmtId="0" fontId="115"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5" fillId="34" borderId="5" xfId="78" applyFont="1" applyFill="1" applyBorder="1" applyAlignment="1">
      <alignment horizontal="center" vertical="center"/>
    </xf>
    <xf numFmtId="0" fontId="115"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5" fillId="34" borderId="24" xfId="78" applyFont="1" applyFill="1" applyBorder="1" applyAlignment="1">
      <alignment horizontal="center" vertical="center"/>
    </xf>
    <xf numFmtId="0" fontId="115" fillId="34" borderId="73" xfId="78" applyFont="1" applyFill="1" applyBorder="1" applyAlignment="1">
      <alignment horizontal="center" vertical="center"/>
    </xf>
    <xf numFmtId="0" fontId="115"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4" fillId="0" borderId="0" xfId="78" applyFont="1"/>
    <xf numFmtId="0" fontId="117" fillId="24" borderId="27" xfId="78" applyFont="1" applyFill="1" applyBorder="1" applyAlignment="1" applyProtection="1">
      <alignment vertical="center" wrapText="1"/>
    </xf>
    <xf numFmtId="0" fontId="117" fillId="24" borderId="29" xfId="78" applyFont="1" applyFill="1" applyBorder="1" applyAlignment="1" applyProtection="1">
      <alignment vertical="center" wrapText="1"/>
    </xf>
    <xf numFmtId="0" fontId="118" fillId="24" borderId="34" xfId="78" applyFont="1" applyFill="1" applyBorder="1" applyAlignment="1">
      <alignment horizontal="left" vertical="center"/>
    </xf>
    <xf numFmtId="166" fontId="116" fillId="0" borderId="40" xfId="0" applyNumberFormat="1" applyFont="1" applyFill="1" applyBorder="1" applyAlignment="1">
      <alignment vertical="center"/>
    </xf>
    <xf numFmtId="0" fontId="116" fillId="0" borderId="40" xfId="0" applyFont="1" applyFill="1" applyBorder="1" applyAlignment="1">
      <alignment vertical="center"/>
    </xf>
    <xf numFmtId="166" fontId="116" fillId="0" borderId="0" xfId="0" applyNumberFormat="1" applyFont="1" applyFill="1" applyBorder="1" applyAlignment="1">
      <alignment vertical="center"/>
    </xf>
    <xf numFmtId="166" fontId="116" fillId="0" borderId="21" xfId="0" applyNumberFormat="1" applyFont="1" applyFill="1" applyBorder="1" applyAlignment="1">
      <alignment vertical="center"/>
    </xf>
    <xf numFmtId="0" fontId="116"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4" fillId="39" borderId="5" xfId="0" applyFont="1" applyFill="1" applyBorder="1" applyAlignment="1">
      <alignment horizontal="center" vertical="center" wrapText="1"/>
    </xf>
    <xf numFmtId="176" fontId="47"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8" fillId="0" borderId="0" xfId="0" applyFont="1" applyFill="1" applyBorder="1" applyAlignment="1">
      <alignment horizontal="left" vertical="center"/>
    </xf>
    <xf numFmtId="0" fontId="119" fillId="0" borderId="4" xfId="72" applyFont="1" applyBorder="1" applyAlignment="1" applyProtection="1">
      <alignment vertical="center" wrapText="1"/>
      <protection locked="0"/>
    </xf>
    <xf numFmtId="0" fontId="119" fillId="39" borderId="35" xfId="72" applyFont="1" applyFill="1" applyBorder="1"/>
    <xf numFmtId="0" fontId="119" fillId="0" borderId="63" xfId="72" applyFont="1" applyBorder="1"/>
    <xf numFmtId="0" fontId="119" fillId="0" borderId="62" xfId="72" applyFont="1" applyBorder="1"/>
    <xf numFmtId="0" fontId="119" fillId="0" borderId="95" xfId="72" applyFont="1" applyBorder="1"/>
    <xf numFmtId="0" fontId="47" fillId="0" borderId="0" xfId="72" applyFont="1" applyFill="1" applyBorder="1"/>
    <xf numFmtId="0" fontId="47" fillId="0" borderId="0" xfId="72" applyFont="1" applyBorder="1"/>
    <xf numFmtId="0" fontId="47" fillId="0" borderId="4" xfId="72" applyFont="1" applyBorder="1"/>
    <xf numFmtId="0" fontId="117" fillId="24" borderId="53" xfId="72" applyFont="1" applyFill="1" applyBorder="1" applyAlignment="1" applyProtection="1">
      <alignment horizontal="center" vertical="center" wrapText="1"/>
    </xf>
    <xf numFmtId="0" fontId="147" fillId="0" borderId="0" xfId="0" applyFont="1" applyBorder="1" applyAlignment="1">
      <alignment vertical="center"/>
    </xf>
    <xf numFmtId="0" fontId="118" fillId="24" borderId="27" xfId="78" applyFont="1" applyFill="1" applyBorder="1" applyAlignment="1">
      <alignment vertical="center" wrapText="1"/>
    </xf>
    <xf numFmtId="0" fontId="47"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7" fillId="0" borderId="0" xfId="0" applyFont="1" applyFill="1" applyBorder="1" applyAlignment="1"/>
    <xf numFmtId="176" fontId="127" fillId="0" borderId="5" xfId="0" applyNumberFormat="1" applyFont="1" applyBorder="1" applyAlignment="1" applyProtection="1">
      <alignment horizontal="center"/>
      <protection hidden="1"/>
    </xf>
    <xf numFmtId="212" fontId="148" fillId="39" borderId="5" xfId="0" applyNumberFormat="1" applyFont="1" applyFill="1" applyBorder="1" applyAlignment="1">
      <alignment horizontal="left" vertical="center"/>
    </xf>
    <xf numFmtId="0" fontId="57" fillId="0" borderId="18" xfId="0" applyFont="1" applyBorder="1" applyAlignment="1" applyProtection="1">
      <alignment horizontal="center" vertical="center" wrapText="1"/>
      <protection hidden="1"/>
    </xf>
    <xf numFmtId="0" fontId="47" fillId="18" borderId="12" xfId="0" applyNumberFormat="1" applyFont="1" applyFill="1" applyBorder="1" applyAlignment="1" applyProtection="1">
      <alignment horizontal="center"/>
      <protection hidden="1"/>
    </xf>
    <xf numFmtId="0" fontId="47" fillId="0" borderId="12" xfId="0" applyNumberFormat="1" applyFont="1" applyFill="1" applyBorder="1" applyAlignment="1" applyProtection="1">
      <alignment horizontal="center"/>
      <protection hidden="1"/>
    </xf>
    <xf numFmtId="0" fontId="47" fillId="0" borderId="12" xfId="0" applyNumberFormat="1" applyFont="1" applyBorder="1" applyAlignment="1" applyProtection="1">
      <alignment horizontal="center"/>
      <protection hidden="1"/>
    </xf>
    <xf numFmtId="0" fontId="47" fillId="34" borderId="20" xfId="0" applyNumberFormat="1" applyFont="1" applyFill="1" applyBorder="1" applyProtection="1">
      <protection hidden="1"/>
    </xf>
    <xf numFmtId="0" fontId="47" fillId="0" borderId="12" xfId="0" applyNumberFormat="1" applyFont="1" applyBorder="1" applyAlignment="1" applyProtection="1">
      <alignment horizontal="center" wrapText="1"/>
      <protection hidden="1"/>
    </xf>
    <xf numFmtId="0" fontId="47" fillId="0" borderId="9" xfId="0" applyNumberFormat="1" applyFont="1" applyBorder="1" applyAlignment="1" applyProtection="1">
      <alignment horizontal="center"/>
      <protection hidden="1"/>
    </xf>
    <xf numFmtId="0" fontId="47"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7" fillId="43" borderId="35" xfId="72" applyNumberFormat="1" applyFont="1" applyFill="1" applyBorder="1" applyAlignment="1">
      <alignment horizontal="centerContinuous" vertical="center"/>
    </xf>
    <xf numFmtId="164" fontId="23" fillId="24" borderId="35" xfId="73" applyNumberFormat="1" applyFont="1" applyFill="1" applyBorder="1" applyAlignment="1">
      <alignment horizontal="centerContinuous" vertical="center"/>
    </xf>
    <xf numFmtId="165" fontId="117"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2" fillId="0" borderId="0" xfId="0" applyFont="1" applyFill="1"/>
    <xf numFmtId="0" fontId="49" fillId="0" borderId="0" xfId="0" applyFont="1" applyFill="1" applyBorder="1" applyAlignment="1">
      <alignment horizontal="center" vertical="center"/>
    </xf>
    <xf numFmtId="0" fontId="48" fillId="0" borderId="0" xfId="0" applyFont="1" applyFill="1" applyBorder="1"/>
    <xf numFmtId="0" fontId="56" fillId="0" borderId="0" xfId="0" applyFont="1" applyFill="1"/>
    <xf numFmtId="0" fontId="56" fillId="0" borderId="0" xfId="0" applyFont="1" applyFill="1" applyAlignment="1">
      <alignment horizontal="right"/>
    </xf>
    <xf numFmtId="0" fontId="46"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5"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8" fillId="0" borderId="0" xfId="40" applyFont="1" applyFill="1" applyAlignment="1">
      <alignment horizontal="right"/>
    </xf>
    <xf numFmtId="9" fontId="48" fillId="0" borderId="0" xfId="29" applyFont="1" applyFill="1"/>
    <xf numFmtId="0" fontId="51" fillId="0" borderId="0" xfId="40" applyFont="1" applyBorder="1"/>
    <xf numFmtId="0" fontId="51" fillId="0" borderId="0" xfId="40" applyFont="1" applyBorder="1" applyAlignment="1">
      <alignment wrapText="1"/>
    </xf>
    <xf numFmtId="0" fontId="117" fillId="0" borderId="26" xfId="76" applyFont="1" applyFill="1" applyBorder="1" applyAlignment="1">
      <alignment horizontal="center" vertical="center"/>
    </xf>
    <xf numFmtId="0" fontId="115" fillId="0" borderId="57" xfId="0" applyFont="1" applyBorder="1" applyAlignment="1" applyProtection="1">
      <alignment horizontal="center" vertical="center"/>
      <protection hidden="1"/>
    </xf>
    <xf numFmtId="0" fontId="115"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5" fillId="0" borderId="0" xfId="80" applyFont="1"/>
    <xf numFmtId="198" fontId="115" fillId="0" borderId="39" xfId="80" applyNumberFormat="1" applyFont="1" applyBorder="1" applyAlignment="1">
      <alignment horizontal="left"/>
    </xf>
    <xf numFmtId="0" fontId="115" fillId="0" borderId="40" xfId="80" applyFont="1" applyBorder="1"/>
    <xf numFmtId="0" fontId="115" fillId="0" borderId="40" xfId="80" applyFont="1" applyFill="1" applyBorder="1"/>
    <xf numFmtId="0" fontId="115" fillId="0" borderId="41" xfId="80" applyFont="1" applyBorder="1"/>
    <xf numFmtId="0" fontId="115" fillId="0" borderId="38" xfId="80" applyFont="1" applyBorder="1"/>
    <xf numFmtId="0" fontId="115" fillId="0" borderId="0" xfId="80" applyFont="1" applyBorder="1"/>
    <xf numFmtId="0" fontId="115" fillId="0" borderId="33" xfId="80" applyFont="1" applyBorder="1"/>
    <xf numFmtId="0" fontId="11" fillId="0" borderId="0" xfId="80" applyFont="1" applyFill="1"/>
    <xf numFmtId="0" fontId="115" fillId="0" borderId="0" xfId="80" applyFont="1" applyBorder="1" applyAlignment="1">
      <alignment vertical="center"/>
    </xf>
    <xf numFmtId="0" fontId="115" fillId="0" borderId="33" xfId="80" applyFont="1" applyBorder="1" applyAlignment="1">
      <alignment vertical="center"/>
    </xf>
    <xf numFmtId="0" fontId="115" fillId="0" borderId="0" xfId="80" applyFont="1" applyFill="1"/>
    <xf numFmtId="0" fontId="115" fillId="0" borderId="38" xfId="80" applyFont="1" applyBorder="1" applyProtection="1"/>
    <xf numFmtId="0" fontId="115" fillId="0" borderId="0" xfId="80" applyFont="1" applyBorder="1" applyProtection="1"/>
    <xf numFmtId="0" fontId="115" fillId="0" borderId="33" xfId="80" applyFont="1" applyBorder="1" applyProtection="1"/>
    <xf numFmtId="0" fontId="115" fillId="0" borderId="30" xfId="80" applyFont="1" applyBorder="1" applyProtection="1"/>
    <xf numFmtId="0" fontId="115" fillId="0" borderId="21" xfId="80" applyFont="1" applyBorder="1" applyProtection="1"/>
    <xf numFmtId="0" fontId="115" fillId="0" borderId="37" xfId="80" applyFont="1" applyBorder="1" applyProtection="1"/>
    <xf numFmtId="0" fontId="153" fillId="0" borderId="0" xfId="0" applyFont="1"/>
    <xf numFmtId="0" fontId="156" fillId="0" borderId="0" xfId="40" applyFont="1"/>
    <xf numFmtId="0" fontId="46" fillId="0" borderId="20" xfId="0" applyFont="1" applyBorder="1" applyAlignment="1">
      <alignment horizontal="center" vertical="center"/>
    </xf>
    <xf numFmtId="44" fontId="46" fillId="0" borderId="20" xfId="6" applyFont="1" applyBorder="1" applyAlignment="1">
      <alignment horizontal="center" vertical="center"/>
    </xf>
    <xf numFmtId="44" fontId="46" fillId="0" borderId="9" xfId="6" applyFont="1" applyBorder="1" applyAlignment="1">
      <alignment horizontal="center" vertical="center"/>
    </xf>
    <xf numFmtId="44" fontId="46" fillId="0" borderId="12" xfId="6" applyFont="1" applyBorder="1" applyAlignment="1">
      <alignment horizontal="center" vertical="center"/>
    </xf>
    <xf numFmtId="0" fontId="74" fillId="0" borderId="21" xfId="0" applyFont="1" applyFill="1" applyBorder="1" applyAlignment="1">
      <alignment vertical="center" wrapText="1"/>
    </xf>
    <xf numFmtId="0" fontId="83" fillId="0" borderId="21" xfId="28" applyFont="1" applyBorder="1" applyAlignment="1">
      <alignment wrapText="1"/>
    </xf>
    <xf numFmtId="0" fontId="74" fillId="0" borderId="0" xfId="0" applyFont="1" applyFill="1" applyBorder="1" applyAlignment="1">
      <alignment vertical="center" wrapText="1"/>
    </xf>
    <xf numFmtId="0" fontId="46" fillId="0" borderId="0" xfId="0" applyFont="1" applyBorder="1" applyAlignment="1">
      <alignment horizontal="left" vertical="top" wrapText="1"/>
    </xf>
    <xf numFmtId="0" fontId="136" fillId="0" borderId="0" xfId="0" applyFont="1" applyAlignment="1">
      <alignment wrapText="1"/>
    </xf>
    <xf numFmtId="0" fontId="157" fillId="0" borderId="0" xfId="0" applyFont="1"/>
    <xf numFmtId="0" fontId="10" fillId="0" borderId="0" xfId="0" applyFont="1" applyBorder="1" applyAlignment="1" applyProtection="1">
      <alignment horizontal="center" vertical="center" wrapText="1"/>
      <protection hidden="1"/>
    </xf>
    <xf numFmtId="0" fontId="46" fillId="0" borderId="0" xfId="0" applyFont="1" applyBorder="1" applyAlignment="1">
      <alignment horizontal="left" vertical="top"/>
    </xf>
    <xf numFmtId="198" fontId="46" fillId="0" borderId="0" xfId="0" applyNumberFormat="1" applyFont="1" applyBorder="1" applyProtection="1">
      <protection locked="0"/>
    </xf>
    <xf numFmtId="166" fontId="46" fillId="0" borderId="0" xfId="0" applyNumberFormat="1" applyFont="1" applyBorder="1" applyProtection="1">
      <protection locked="0"/>
    </xf>
    <xf numFmtId="177" fontId="46" fillId="0" borderId="0" xfId="29" applyNumberFormat="1" applyFont="1" applyBorder="1"/>
    <xf numFmtId="198" fontId="51" fillId="0" borderId="0" xfId="0" applyNumberFormat="1" applyFont="1" applyBorder="1" applyAlignment="1">
      <alignment horizontal="right"/>
    </xf>
    <xf numFmtId="0" fontId="46" fillId="0" borderId="0" xfId="0" applyNumberFormat="1" applyFont="1" applyBorder="1" applyAlignment="1">
      <alignment horizontal="center"/>
    </xf>
    <xf numFmtId="166" fontId="51" fillId="0" borderId="0" xfId="0" applyNumberFormat="1" applyFont="1" applyBorder="1"/>
    <xf numFmtId="173" fontId="51" fillId="0" borderId="0" xfId="0" applyNumberFormat="1" applyFont="1" applyBorder="1"/>
    <xf numFmtId="177" fontId="51" fillId="0" borderId="0" xfId="29" applyNumberFormat="1" applyFont="1" applyBorder="1"/>
    <xf numFmtId="0" fontId="0" fillId="0" borderId="0" xfId="0" applyFill="1" applyBorder="1" applyAlignment="1"/>
    <xf numFmtId="0" fontId="51" fillId="0" borderId="0" xfId="0" applyFont="1" applyAlignment="1">
      <alignment horizontal="center"/>
    </xf>
    <xf numFmtId="0" fontId="97" fillId="0" borderId="0" xfId="0" applyFont="1" applyFill="1" applyBorder="1" applyAlignment="1">
      <alignment wrapText="1"/>
    </xf>
    <xf numFmtId="0" fontId="74" fillId="0" borderId="0" xfId="27" applyFont="1"/>
    <xf numFmtId="164" fontId="52" fillId="0" borderId="0" xfId="5" applyNumberFormat="1" applyFont="1" applyBorder="1" applyAlignment="1">
      <alignment horizontal="center"/>
    </xf>
    <xf numFmtId="164" fontId="51" fillId="0" borderId="0" xfId="5" applyNumberFormat="1" applyFont="1" applyAlignment="1">
      <alignment horizontal="center"/>
    </xf>
    <xf numFmtId="164" fontId="51" fillId="0" borderId="0" xfId="5" applyNumberFormat="1" applyFont="1" applyFill="1" applyBorder="1" applyAlignment="1">
      <alignment horizontal="center"/>
    </xf>
    <xf numFmtId="165" fontId="51" fillId="0" borderId="0" xfId="5" applyNumberFormat="1" applyFont="1" applyBorder="1" applyAlignment="1">
      <alignment horizontal="center"/>
    </xf>
    <xf numFmtId="0" fontId="51" fillId="0" borderId="0" xfId="27" applyFont="1" applyAlignment="1">
      <alignment horizontal="center"/>
    </xf>
    <xf numFmtId="0" fontId="51" fillId="0" borderId="7" xfId="27" applyFont="1" applyBorder="1"/>
    <xf numFmtId="164" fontId="51" fillId="0" borderId="7" xfId="5" applyNumberFormat="1" applyFont="1" applyBorder="1" applyAlignment="1">
      <alignment horizontal="center"/>
    </xf>
    <xf numFmtId="165" fontId="51" fillId="0" borderId="7" xfId="5" applyNumberFormat="1" applyFont="1" applyBorder="1" applyAlignment="1">
      <alignment horizontal="center"/>
    </xf>
    <xf numFmtId="0" fontId="51" fillId="0" borderId="7" xfId="27" applyFont="1" applyBorder="1" applyAlignment="1">
      <alignment horizontal="center"/>
    </xf>
    <xf numFmtId="0" fontId="51" fillId="0" borderId="7" xfId="27" applyFont="1" applyFill="1" applyBorder="1" applyAlignment="1">
      <alignment horizontal="center"/>
    </xf>
    <xf numFmtId="0" fontId="51" fillId="0" borderId="0" xfId="27" applyFont="1" applyFill="1" applyBorder="1" applyAlignment="1">
      <alignment horizontal="left"/>
    </xf>
    <xf numFmtId="164" fontId="51" fillId="0" borderId="0" xfId="5" applyNumberFormat="1" applyFont="1" applyBorder="1" applyAlignment="1">
      <alignment horizontal="center"/>
    </xf>
    <xf numFmtId="0" fontId="51" fillId="0" borderId="0" xfId="27" applyFont="1" applyBorder="1" applyAlignment="1">
      <alignment horizontal="center"/>
    </xf>
    <xf numFmtId="0" fontId="51" fillId="0" borderId="0" xfId="27" applyFont="1" applyFill="1" applyBorder="1" applyAlignment="1">
      <alignment horizontal="center"/>
    </xf>
    <xf numFmtId="0" fontId="55" fillId="0" borderId="0" xfId="0" applyFont="1"/>
    <xf numFmtId="0" fontId="55" fillId="0" borderId="0" xfId="0" applyFont="1" applyFill="1" applyBorder="1" applyAlignment="1" applyProtection="1">
      <alignment horizontal="left"/>
      <protection locked="0"/>
    </xf>
    <xf numFmtId="43" fontId="55" fillId="0" borderId="0" xfId="4" applyNumberFormat="1" applyFont="1" applyFill="1" applyBorder="1" applyAlignment="1" applyProtection="1">
      <alignment horizontal="right"/>
      <protection locked="0"/>
    </xf>
    <xf numFmtId="9" fontId="55" fillId="0" borderId="0" xfId="29" applyFont="1" applyFill="1" applyBorder="1" applyAlignment="1" applyProtection="1">
      <alignment horizontal="right"/>
      <protection locked="0"/>
    </xf>
    <xf numFmtId="164" fontId="55" fillId="0" borderId="0" xfId="4" applyNumberFormat="1" applyFont="1" applyFill="1" applyBorder="1" applyAlignment="1" applyProtection="1">
      <alignment horizontal="right"/>
      <protection locked="0"/>
    </xf>
    <xf numFmtId="0" fontId="55" fillId="0" borderId="0" xfId="0" applyFont="1" applyFill="1" applyBorder="1" applyAlignment="1" applyProtection="1">
      <alignment horizontal="center"/>
      <protection locked="0"/>
    </xf>
    <xf numFmtId="0" fontId="46" fillId="6" borderId="0" xfId="0" applyFont="1" applyFill="1"/>
    <xf numFmtId="0" fontId="66" fillId="6" borderId="0" xfId="0" applyFont="1" applyFill="1" applyAlignment="1">
      <alignment horizontal="center"/>
    </xf>
    <xf numFmtId="9" fontId="55" fillId="6" borderId="0" xfId="29" applyFont="1" applyFill="1" applyBorder="1" applyAlignment="1">
      <alignment horizontal="right"/>
    </xf>
    <xf numFmtId="164" fontId="55" fillId="6" borderId="0" xfId="4" applyNumberFormat="1" applyFont="1" applyFill="1" applyBorder="1" applyAlignment="1">
      <alignment horizontal="right"/>
    </xf>
    <xf numFmtId="164" fontId="46" fillId="6" borderId="0" xfId="4" applyNumberFormat="1" applyFont="1" applyFill="1"/>
    <xf numFmtId="39" fontId="55" fillId="0" borderId="0" xfId="4" applyNumberFormat="1" applyFont="1" applyFill="1" applyBorder="1" applyAlignment="1" applyProtection="1">
      <alignment horizontal="center"/>
      <protection locked="0"/>
    </xf>
    <xf numFmtId="177" fontId="55" fillId="0" borderId="0" xfId="29" applyNumberFormat="1" applyFont="1" applyFill="1" applyBorder="1" applyAlignment="1" applyProtection="1">
      <alignment horizontal="center"/>
      <protection locked="0"/>
    </xf>
    <xf numFmtId="165" fontId="50" fillId="0" borderId="0" xfId="4" applyNumberFormat="1" applyFont="1" applyFill="1" applyBorder="1" applyAlignment="1">
      <alignment horizontal="left"/>
    </xf>
    <xf numFmtId="9" fontId="55" fillId="0" borderId="0" xfId="29" applyFont="1" applyFill="1" applyBorder="1" applyAlignment="1">
      <alignment horizontal="right"/>
    </xf>
    <xf numFmtId="164" fontId="55" fillId="0" borderId="0" xfId="4" applyNumberFormat="1" applyFont="1" applyFill="1" applyBorder="1" applyAlignment="1">
      <alignment horizontal="right"/>
    </xf>
    <xf numFmtId="0" fontId="46" fillId="0" borderId="0" xfId="0" applyFont="1" applyAlignment="1" applyProtection="1">
      <alignment horizontal="center"/>
      <protection locked="0"/>
    </xf>
    <xf numFmtId="165" fontId="59" fillId="0" borderId="0" xfId="4" applyNumberFormat="1" applyFont="1" applyFill="1" applyBorder="1" applyAlignment="1">
      <alignment horizontal="left"/>
    </xf>
    <xf numFmtId="0" fontId="46" fillId="0" borderId="0" xfId="0" applyFont="1" applyAlignment="1" applyProtection="1">
      <alignment horizontal="right"/>
      <protection locked="0"/>
    </xf>
    <xf numFmtId="165" fontId="46" fillId="0" borderId="0" xfId="0" applyNumberFormat="1" applyFont="1" applyProtection="1">
      <protection locked="0"/>
    </xf>
    <xf numFmtId="165" fontId="55" fillId="0" borderId="0" xfId="4" applyNumberFormat="1" applyFont="1" applyFill="1" applyBorder="1" applyAlignment="1">
      <alignment horizontal="right"/>
    </xf>
    <xf numFmtId="0" fontId="75" fillId="0" borderId="0" xfId="0" applyFont="1"/>
    <xf numFmtId="164" fontId="46" fillId="0" borderId="0" xfId="4" applyNumberFormat="1" applyFont="1" applyProtection="1">
      <protection locked="0"/>
    </xf>
    <xf numFmtId="0" fontId="51" fillId="0" borderId="0" xfId="0" applyFont="1" applyFill="1" applyProtection="1">
      <protection locked="0"/>
    </xf>
    <xf numFmtId="0" fontId="51" fillId="0" borderId="0" xfId="0" applyFont="1" applyFill="1" applyAlignment="1">
      <alignment horizontal="center"/>
    </xf>
    <xf numFmtId="0" fontId="55" fillId="0" borderId="0" xfId="0" applyFont="1" applyFill="1" applyAlignment="1" applyProtection="1">
      <alignment horizontal="center"/>
      <protection locked="0"/>
    </xf>
    <xf numFmtId="0" fontId="46" fillId="0" borderId="0" xfId="0" applyFont="1" applyFill="1" applyAlignment="1">
      <alignment horizontal="center"/>
    </xf>
    <xf numFmtId="43" fontId="46" fillId="0" borderId="0" xfId="4" applyNumberFormat="1" applyFont="1" applyFill="1"/>
    <xf numFmtId="164" fontId="46" fillId="0" borderId="0" xfId="4" applyNumberFormat="1" applyFont="1" applyFill="1" applyBorder="1" applyAlignment="1">
      <alignment horizontal="right"/>
    </xf>
    <xf numFmtId="164" fontId="46" fillId="0" borderId="0" xfId="0" applyNumberFormat="1" applyFont="1" applyFill="1"/>
    <xf numFmtId="0" fontId="51" fillId="0" borderId="0" xfId="0" applyFont="1" applyProtection="1">
      <protection locked="0"/>
    </xf>
    <xf numFmtId="39" fontId="55" fillId="0" borderId="0" xfId="4" applyNumberFormat="1" applyFont="1" applyFill="1" applyBorder="1" applyAlignment="1">
      <alignment horizontal="center"/>
    </xf>
    <xf numFmtId="177" fontId="55" fillId="0" borderId="0" xfId="29" applyNumberFormat="1" applyFont="1" applyFill="1" applyBorder="1" applyAlignment="1">
      <alignment horizontal="center"/>
    </xf>
    <xf numFmtId="43" fontId="55" fillId="0" borderId="0" xfId="4" applyNumberFormat="1" applyFont="1" applyFill="1" applyBorder="1" applyAlignment="1">
      <alignment horizontal="right"/>
    </xf>
    <xf numFmtId="0" fontId="50" fillId="0" borderId="0" xfId="0" applyFont="1" applyProtection="1">
      <protection locked="0"/>
    </xf>
    <xf numFmtId="165" fontId="55" fillId="0" borderId="0" xfId="4" applyNumberFormat="1" applyFont="1" applyFill="1" applyBorder="1" applyAlignment="1" applyProtection="1">
      <alignment horizontal="right"/>
      <protection locked="0"/>
    </xf>
    <xf numFmtId="0" fontId="50" fillId="0" borderId="0" xfId="0" applyFont="1" applyFill="1" applyBorder="1" applyAlignment="1">
      <alignment horizontal="left"/>
    </xf>
    <xf numFmtId="0" fontId="55" fillId="0" borderId="0" xfId="0" applyFont="1" applyFill="1" applyBorder="1" applyAlignment="1">
      <alignment horizontal="center"/>
    </xf>
    <xf numFmtId="0" fontId="51" fillId="0" borderId="0" xfId="0" applyFont="1" applyFill="1" applyBorder="1" applyAlignment="1" applyProtection="1">
      <alignment horizontal="left"/>
      <protection locked="0"/>
    </xf>
    <xf numFmtId="0" fontId="96" fillId="0" borderId="0" xfId="40" applyFont="1" applyAlignment="1">
      <alignment vertical="center" wrapText="1"/>
    </xf>
    <xf numFmtId="0" fontId="96" fillId="0" borderId="21" xfId="40" applyFont="1" applyBorder="1" applyAlignment="1">
      <alignment vertical="center" wrapText="1"/>
    </xf>
    <xf numFmtId="0" fontId="96" fillId="18" borderId="0" xfId="0" applyFont="1" applyFill="1"/>
    <xf numFmtId="0" fontId="96" fillId="0" borderId="0" xfId="0" applyFont="1" applyFill="1"/>
    <xf numFmtId="0" fontId="97" fillId="23" borderId="40" xfId="0" applyFont="1" applyFill="1" applyBorder="1" applyAlignment="1">
      <alignment wrapText="1"/>
    </xf>
    <xf numFmtId="0" fontId="10" fillId="0" borderId="5" xfId="0" applyFont="1" applyBorder="1" applyAlignment="1">
      <alignment vertical="center"/>
    </xf>
    <xf numFmtId="0" fontId="117"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7" fillId="0" borderId="0" xfId="0" applyFont="1" applyAlignment="1">
      <alignment vertical="center"/>
    </xf>
    <xf numFmtId="0" fontId="117"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7"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2" fillId="7" borderId="0" xfId="0" applyFont="1" applyFill="1" applyBorder="1" applyAlignment="1"/>
    <xf numFmtId="0" fontId="55" fillId="5" borderId="0" xfId="0" applyFont="1" applyFill="1" applyBorder="1" applyAlignment="1">
      <alignment wrapText="1"/>
    </xf>
    <xf numFmtId="0" fontId="55" fillId="5" borderId="0" xfId="0" applyFont="1" applyFill="1" applyBorder="1" applyAlignment="1"/>
    <xf numFmtId="3" fontId="55" fillId="5" borderId="0" xfId="0" applyNumberFormat="1" applyFont="1" applyFill="1" applyBorder="1" applyAlignment="1"/>
    <xf numFmtId="3" fontId="55" fillId="5" borderId="0" xfId="0" applyNumberFormat="1" applyFont="1" applyFill="1" applyBorder="1" applyAlignment="1">
      <alignment wrapText="1"/>
    </xf>
    <xf numFmtId="0" fontId="73" fillId="0" borderId="0" xfId="0" applyFont="1" applyBorder="1" applyAlignment="1">
      <alignment horizontal="left" vertical="top" wrapText="1"/>
    </xf>
    <xf numFmtId="0" fontId="73" fillId="0" borderId="0" xfId="0" applyFont="1" applyBorder="1" applyAlignment="1">
      <alignment horizontal="left" vertical="top"/>
    </xf>
    <xf numFmtId="3" fontId="73" fillId="0" borderId="0" xfId="0" applyNumberFormat="1" applyFont="1" applyBorder="1" applyAlignment="1">
      <alignment horizontal="left" vertical="top"/>
    </xf>
    <xf numFmtId="3" fontId="73"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2"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3"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19" fillId="0" borderId="0" xfId="72" applyFont="1" applyFill="1" applyAlignment="1">
      <alignment vertical="center"/>
    </xf>
    <xf numFmtId="0" fontId="119" fillId="0" borderId="0" xfId="72" applyFont="1" applyAlignment="1">
      <alignment horizontal="center" vertical="center" wrapText="1"/>
    </xf>
    <xf numFmtId="0" fontId="22"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7" fillId="0" borderId="0" xfId="72" applyFont="1" applyAlignment="1">
      <alignment vertical="center"/>
    </xf>
    <xf numFmtId="0" fontId="128" fillId="18" borderId="5" xfId="67" applyFont="1" applyFill="1" applyBorder="1" applyAlignment="1">
      <alignment horizontal="left" vertical="center" wrapText="1"/>
    </xf>
    <xf numFmtId="0" fontId="128" fillId="18" borderId="5" xfId="67" applyFont="1" applyFill="1" applyBorder="1" applyAlignment="1">
      <alignment horizontal="center" vertical="center" wrapText="1"/>
    </xf>
    <xf numFmtId="9" fontId="128" fillId="18" borderId="5" xfId="67" applyNumberFormat="1" applyFont="1" applyFill="1" applyBorder="1" applyAlignment="1">
      <alignment horizontal="center" vertical="center" wrapText="1"/>
    </xf>
    <xf numFmtId="0" fontId="103" fillId="23" borderId="0" xfId="59" applyFont="1" applyFill="1" applyAlignment="1" applyProtection="1"/>
    <xf numFmtId="0" fontId="117" fillId="0" borderId="28" xfId="72" applyFont="1" applyFill="1" applyBorder="1" applyAlignment="1">
      <alignment horizontal="center" vertical="center"/>
    </xf>
    <xf numFmtId="0" fontId="117" fillId="19" borderId="29" xfId="72" applyFont="1" applyFill="1" applyBorder="1" applyAlignment="1" applyProtection="1">
      <alignment vertical="center"/>
      <protection hidden="1"/>
    </xf>
    <xf numFmtId="0" fontId="117" fillId="19" borderId="71" xfId="72" applyFont="1" applyFill="1" applyBorder="1" applyAlignment="1" applyProtection="1">
      <alignment vertical="center"/>
      <protection hidden="1"/>
    </xf>
    <xf numFmtId="0" fontId="6" fillId="0" borderId="0" xfId="72" applyBorder="1" applyAlignment="1">
      <alignment vertical="center"/>
    </xf>
    <xf numFmtId="0" fontId="119" fillId="0" borderId="0" xfId="72" applyFont="1" applyBorder="1" applyAlignment="1">
      <alignment vertical="center"/>
    </xf>
    <xf numFmtId="165" fontId="117" fillId="24" borderId="21" xfId="73" applyNumberFormat="1" applyFont="1" applyFill="1" applyBorder="1" applyAlignment="1">
      <alignment horizontal="center" vertical="center" wrapText="1"/>
    </xf>
    <xf numFmtId="0" fontId="117" fillId="0" borderId="26" xfId="72" applyFont="1" applyFill="1" applyBorder="1" applyAlignment="1" applyProtection="1">
      <alignment vertical="center" wrapText="1"/>
      <protection locked="0"/>
    </xf>
    <xf numFmtId="0" fontId="117" fillId="41" borderId="0" xfId="72" applyFont="1" applyFill="1" applyBorder="1" applyAlignment="1">
      <alignment horizontal="center" vertical="center"/>
    </xf>
    <xf numFmtId="0" fontId="117" fillId="24" borderId="0" xfId="72" applyFont="1" applyFill="1" applyBorder="1" applyAlignment="1">
      <alignment vertical="center" wrapText="1"/>
    </xf>
    <xf numFmtId="164" fontId="23" fillId="24" borderId="0" xfId="73" applyNumberFormat="1" applyFont="1" applyFill="1" applyBorder="1" applyAlignment="1">
      <alignment horizontal="center" vertical="center"/>
    </xf>
    <xf numFmtId="0" fontId="119" fillId="24" borderId="21" xfId="72" applyFont="1" applyFill="1" applyBorder="1" applyAlignment="1">
      <alignment vertical="center" wrapText="1"/>
    </xf>
    <xf numFmtId="0" fontId="117"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0"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0"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0"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0"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5"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0" fillId="0" borderId="0" xfId="0" applyFont="1" applyFill="1" applyAlignment="1" applyProtection="1">
      <alignment horizontal="center" vertical="center"/>
      <protection hidden="1"/>
    </xf>
    <xf numFmtId="0" fontId="72" fillId="0" borderId="0" xfId="0" applyFont="1" applyFill="1" applyAlignment="1" applyProtection="1">
      <alignment vertical="center" wrapText="1"/>
      <protection hidden="1"/>
    </xf>
    <xf numFmtId="0" fontId="161"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16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0" fillId="0" borderId="0" xfId="0" applyFont="1" applyFill="1" applyAlignment="1" applyProtection="1">
      <alignment horizontal="center" vertical="center"/>
      <protection hidden="1"/>
    </xf>
    <xf numFmtId="0" fontId="46"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3" fillId="0" borderId="0" xfId="0" applyNumberFormat="1" applyFont="1" applyFill="1" applyAlignment="1" applyProtection="1">
      <alignment horizontal="center" vertical="center"/>
      <protection hidden="1"/>
    </xf>
    <xf numFmtId="199" fontId="61" fillId="0" borderId="0" xfId="0" applyNumberFormat="1" applyFont="1" applyFill="1" applyAlignment="1" applyProtection="1">
      <alignment vertical="center"/>
      <protection hidden="1"/>
    </xf>
    <xf numFmtId="0" fontId="113" fillId="0" borderId="0" xfId="0" applyFont="1" applyFill="1" applyAlignment="1" applyProtection="1">
      <alignment horizontal="center" vertical="center"/>
      <protection hidden="1"/>
    </xf>
    <xf numFmtId="0" fontId="46" fillId="0" borderId="0" xfId="0" applyFont="1" applyFill="1" applyProtection="1"/>
    <xf numFmtId="0" fontId="61" fillId="0" borderId="0" xfId="0" applyFont="1" applyFill="1" applyProtection="1"/>
    <xf numFmtId="49" fontId="25" fillId="0" borderId="0" xfId="0" applyNumberFormat="1" applyFont="1" applyFill="1" applyAlignment="1" applyProtection="1">
      <alignment horizontal="right"/>
    </xf>
    <xf numFmtId="0" fontId="113" fillId="0" borderId="0" xfId="0" applyFont="1" applyFill="1" applyProtection="1"/>
    <xf numFmtId="0" fontId="25" fillId="0" borderId="0" xfId="0" applyFont="1" applyFill="1" applyProtection="1"/>
    <xf numFmtId="49" fontId="61" fillId="0" borderId="0" xfId="0" applyNumberFormat="1" applyFont="1" applyFill="1" applyAlignment="1" applyProtection="1">
      <alignment horizontal="right"/>
    </xf>
    <xf numFmtId="0" fontId="62" fillId="0" borderId="0" xfId="0" applyFont="1" applyFill="1" applyProtection="1"/>
    <xf numFmtId="49" fontId="62" fillId="0" borderId="0" xfId="0" applyNumberFormat="1" applyFont="1" applyFill="1" applyAlignment="1" applyProtection="1">
      <alignment horizontal="right"/>
    </xf>
    <xf numFmtId="0" fontId="62" fillId="0" borderId="0" xfId="0" applyFont="1" applyFill="1" applyAlignment="1" applyProtection="1">
      <alignment horizontal="center"/>
    </xf>
    <xf numFmtId="0" fontId="82" fillId="0" borderId="0" xfId="0" applyFont="1" applyFill="1" applyProtection="1"/>
    <xf numFmtId="0" fontId="63"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6" fillId="0" borderId="0" xfId="0" applyFont="1" applyProtection="1">
      <protection hidden="1"/>
    </xf>
    <xf numFmtId="0" fontId="46"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4" fillId="0" borderId="0" xfId="0" applyFont="1" applyFill="1" applyProtection="1">
      <protection hidden="1"/>
    </xf>
    <xf numFmtId="0" fontId="88" fillId="0" borderId="0" xfId="0" applyFont="1" applyFill="1" applyProtection="1">
      <protection hidden="1"/>
    </xf>
    <xf numFmtId="173" fontId="164"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6" fillId="0" borderId="21" xfId="0" applyFont="1" applyFill="1" applyBorder="1" applyAlignment="1" applyProtection="1">
      <alignment vertical="center" wrapText="1"/>
      <protection hidden="1"/>
    </xf>
    <xf numFmtId="0" fontId="16" fillId="0" borderId="0" xfId="0" applyFont="1" applyFill="1" applyProtection="1">
      <protection hidden="1"/>
    </xf>
    <xf numFmtId="0" fontId="167"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7" fillId="0" borderId="0" xfId="0" applyFont="1" applyFill="1" applyProtection="1">
      <protection hidden="1"/>
    </xf>
    <xf numFmtId="0" fontId="137"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3"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7"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5"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3"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5"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6"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5" fillId="0" borderId="21" xfId="0" applyFont="1" applyFill="1" applyBorder="1" applyAlignment="1" applyProtection="1">
      <alignment wrapText="1"/>
      <protection hidden="1"/>
    </xf>
    <xf numFmtId="0" fontId="36"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2"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8" fillId="0" borderId="40" xfId="0" applyFont="1" applyBorder="1" applyAlignment="1" applyProtection="1">
      <protection hidden="1"/>
    </xf>
    <xf numFmtId="0" fontId="88"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8"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8"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8"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8"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8"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8"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7" fillId="0" borderId="0" xfId="0" applyFont="1" applyFill="1" applyBorder="1" applyProtection="1">
      <protection hidden="1"/>
    </xf>
    <xf numFmtId="0" fontId="23" fillId="0" borderId="0" xfId="0" applyFont="1" applyFill="1" applyBorder="1" applyAlignment="1" applyProtection="1">
      <alignment horizontal="right" vertical="top" wrapText="1"/>
      <protection hidden="1"/>
    </xf>
    <xf numFmtId="0" fontId="137" fillId="0" borderId="0" xfId="0" applyFont="1" applyFill="1" applyBorder="1" applyAlignment="1" applyProtection="1">
      <alignment vertical="top"/>
      <protection hidden="1"/>
    </xf>
    <xf numFmtId="0" fontId="137" fillId="0" borderId="0" xfId="0" applyFont="1" applyProtection="1">
      <protection hidden="1"/>
    </xf>
    <xf numFmtId="0" fontId="36"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7" fillId="0" borderId="0" xfId="28" applyFont="1" applyProtection="1">
      <protection hidden="1"/>
    </xf>
    <xf numFmtId="0" fontId="27" fillId="0" borderId="0" xfId="28" applyFont="1" applyBorder="1" applyProtection="1">
      <protection hidden="1"/>
    </xf>
    <xf numFmtId="44" fontId="27" fillId="0" borderId="0" xfId="8" applyFont="1" applyBorder="1" applyProtection="1">
      <protection hidden="1"/>
    </xf>
    <xf numFmtId="0" fontId="86" fillId="0" borderId="21" xfId="28" applyFont="1" applyBorder="1" applyAlignment="1" applyProtection="1">
      <alignment wrapText="1"/>
      <protection hidden="1"/>
    </xf>
    <xf numFmtId="44" fontId="27" fillId="0" borderId="0" xfId="8" applyFont="1" applyProtection="1">
      <protection hidden="1"/>
    </xf>
    <xf numFmtId="0" fontId="27"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7"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4" fillId="0" borderId="0" xfId="40" applyFont="1" applyAlignment="1">
      <alignment wrapText="1"/>
    </xf>
    <xf numFmtId="0" fontId="116" fillId="0" borderId="40" xfId="0" applyFont="1" applyFill="1" applyBorder="1" applyAlignment="1">
      <alignment horizontal="center" vertical="center"/>
    </xf>
    <xf numFmtId="0" fontId="116" fillId="0" borderId="0" xfId="0" applyFont="1" applyFill="1" applyBorder="1" applyAlignment="1">
      <alignment horizontal="center" vertical="center"/>
    </xf>
    <xf numFmtId="0" fontId="116" fillId="0" borderId="21" xfId="0" applyFont="1" applyFill="1" applyBorder="1" applyAlignment="1">
      <alignment horizontal="center" vertical="center"/>
    </xf>
    <xf numFmtId="0" fontId="118"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5"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1"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1" fillId="0" borderId="0" xfId="0" applyFont="1" applyFill="1" applyBorder="1" applyProtection="1">
      <protection hidden="1"/>
    </xf>
    <xf numFmtId="0" fontId="21" fillId="0" borderId="0" xfId="0" applyFont="1" applyFill="1" applyBorder="1" applyAlignment="1" applyProtection="1">
      <alignment horizontal="right"/>
      <protection hidden="1"/>
    </xf>
    <xf numFmtId="0" fontId="21"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1"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1" fillId="0" borderId="0" xfId="0" applyNumberFormat="1" applyFont="1" applyFill="1" applyBorder="1" applyProtection="1">
      <protection hidden="1"/>
    </xf>
    <xf numFmtId="43" fontId="41"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1" fillId="0" borderId="14" xfId="0" applyFont="1" applyFill="1" applyBorder="1" applyAlignment="1" applyProtection="1">
      <alignment horizontal="left"/>
      <protection hidden="1"/>
    </xf>
    <xf numFmtId="5" fontId="21" fillId="0" borderId="0" xfId="0" applyNumberFormat="1" applyFont="1" applyFill="1" applyBorder="1" applyAlignment="1" applyProtection="1">
      <alignment horizontal="right"/>
      <protection hidden="1"/>
    </xf>
    <xf numFmtId="5" fontId="21"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2" fillId="0" borderId="0" xfId="0" applyFont="1" applyFill="1" applyBorder="1" applyProtection="1">
      <protection hidden="1"/>
    </xf>
    <xf numFmtId="0" fontId="42" fillId="0" borderId="0" xfId="0" applyFont="1" applyFill="1" applyBorder="1" applyAlignment="1" applyProtection="1">
      <alignment horizontal="right"/>
      <protection hidden="1"/>
    </xf>
    <xf numFmtId="0" fontId="42"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5" fillId="0" borderId="5" xfId="0" applyFont="1" applyBorder="1" applyAlignment="1" applyProtection="1">
      <alignment horizontal="center" vertical="center"/>
      <protection locked="0"/>
    </xf>
    <xf numFmtId="0" fontId="36" fillId="0" borderId="0" xfId="40" applyFont="1" applyBorder="1" applyAlignment="1" applyProtection="1">
      <alignment wrapText="1"/>
      <protection hidden="1"/>
    </xf>
    <xf numFmtId="0" fontId="23"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7" fillId="0" borderId="0" xfId="40" applyFont="1" applyAlignment="1" applyProtection="1">
      <alignment horizontal="right"/>
      <protection hidden="1"/>
    </xf>
    <xf numFmtId="0" fontId="22"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6"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2"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6" fillId="0" borderId="0" xfId="0" applyFont="1" applyBorder="1" applyAlignment="1" applyProtection="1">
      <alignment horizontal="center"/>
      <protection hidden="1"/>
    </xf>
    <xf numFmtId="0" fontId="46" fillId="0" borderId="0" xfId="0" applyFont="1" applyBorder="1" applyAlignment="1" applyProtection="1">
      <alignment vertical="center" wrapText="1"/>
      <protection hidden="1"/>
    </xf>
    <xf numFmtId="0" fontId="46" fillId="0" borderId="0" xfId="0" applyFont="1" applyBorder="1" applyAlignment="1" applyProtection="1">
      <alignment horizontal="center" vertical="center" wrapText="1"/>
      <protection hidden="1"/>
    </xf>
    <xf numFmtId="4" fontId="46" fillId="0" borderId="0" xfId="0" applyNumberFormat="1" applyFont="1" applyBorder="1" applyAlignment="1" applyProtection="1">
      <alignment horizontal="center" vertical="center" wrapText="1"/>
      <protection hidden="1"/>
    </xf>
    <xf numFmtId="176" fontId="46" fillId="0" borderId="0" xfId="0" applyNumberFormat="1" applyFont="1" applyBorder="1" applyAlignment="1" applyProtection="1">
      <alignment horizontal="center" vertical="center" wrapText="1"/>
      <protection hidden="1"/>
    </xf>
    <xf numFmtId="176" fontId="46" fillId="0" borderId="0" xfId="4" applyNumberFormat="1" applyFont="1" applyBorder="1" applyAlignment="1" applyProtection="1">
      <alignment horizontal="center" vertical="center" wrapText="1"/>
      <protection hidden="1"/>
    </xf>
    <xf numFmtId="43" fontId="46" fillId="0" borderId="0" xfId="4" applyFont="1" applyBorder="1" applyAlignment="1" applyProtection="1">
      <alignment vertical="center" wrapText="1"/>
      <protection hidden="1"/>
    </xf>
    <xf numFmtId="0" fontId="46" fillId="0" borderId="0" xfId="0" applyFont="1" applyAlignment="1" applyProtection="1">
      <alignment vertical="center" wrapText="1"/>
      <protection hidden="1"/>
    </xf>
    <xf numFmtId="0" fontId="46" fillId="0" borderId="0" xfId="0" applyFont="1" applyAlignment="1" applyProtection="1">
      <alignment horizontal="center" vertical="center" wrapText="1"/>
      <protection hidden="1"/>
    </xf>
    <xf numFmtId="4" fontId="46" fillId="0" borderId="0" xfId="0" applyNumberFormat="1" applyFont="1" applyAlignment="1" applyProtection="1">
      <alignment horizontal="center" vertical="center" wrapText="1"/>
      <protection hidden="1"/>
    </xf>
    <xf numFmtId="166" fontId="46" fillId="0" borderId="0" xfId="0" applyNumberFormat="1" applyFont="1" applyAlignment="1" applyProtection="1">
      <alignment horizontal="center" vertical="center" wrapText="1"/>
      <protection hidden="1"/>
    </xf>
    <xf numFmtId="3" fontId="46" fillId="0" borderId="0" xfId="4" applyNumberFormat="1" applyFont="1" applyAlignment="1" applyProtection="1">
      <alignment horizontal="center" vertical="center" wrapText="1"/>
      <protection hidden="1"/>
    </xf>
    <xf numFmtId="43" fontId="46" fillId="0" borderId="0" xfId="4" applyFont="1" applyAlignment="1" applyProtection="1">
      <alignment vertical="center" wrapText="1"/>
      <protection hidden="1"/>
    </xf>
    <xf numFmtId="0" fontId="51" fillId="0" borderId="0" xfId="27" applyFont="1" applyProtection="1"/>
    <xf numFmtId="0" fontId="46" fillId="0" borderId="0" xfId="0" applyFont="1" applyProtection="1"/>
    <xf numFmtId="0" fontId="46" fillId="0" borderId="0" xfId="27" applyFont="1" applyAlignment="1" applyProtection="1">
      <alignment horizontal="center"/>
    </xf>
    <xf numFmtId="164" fontId="46" fillId="0" borderId="0" xfId="5" applyNumberFormat="1" applyFont="1" applyAlignment="1" applyProtection="1">
      <alignment horizontal="right"/>
    </xf>
    <xf numFmtId="164" fontId="55" fillId="0" borderId="0" xfId="5" applyNumberFormat="1" applyFont="1" applyAlignment="1" applyProtection="1">
      <alignment horizontal="right"/>
    </xf>
    <xf numFmtId="165" fontId="46" fillId="0" borderId="0" xfId="5" applyNumberFormat="1" applyFont="1" applyAlignment="1" applyProtection="1">
      <alignment horizontal="right"/>
    </xf>
    <xf numFmtId="0" fontId="46" fillId="0" borderId="0" xfId="27" applyFont="1" applyAlignment="1" applyProtection="1">
      <alignment horizontal="right"/>
    </xf>
    <xf numFmtId="0" fontId="46" fillId="0" borderId="0" xfId="27" applyFont="1" applyProtection="1"/>
    <xf numFmtId="164" fontId="46" fillId="0" borderId="0" xfId="5" applyNumberFormat="1" applyFont="1" applyAlignment="1" applyProtection="1">
      <alignment horizontal="center"/>
    </xf>
    <xf numFmtId="164" fontId="55" fillId="0" borderId="0" xfId="5" applyNumberFormat="1" applyFont="1" applyAlignment="1" applyProtection="1">
      <alignment horizontal="center"/>
    </xf>
    <xf numFmtId="165" fontId="46" fillId="0" borderId="0" xfId="5" applyNumberFormat="1" applyFont="1" applyAlignment="1" applyProtection="1">
      <alignment horizontal="center"/>
    </xf>
    <xf numFmtId="0" fontId="46" fillId="0" borderId="0" xfId="27" applyFont="1" applyBorder="1" applyProtection="1"/>
    <xf numFmtId="0" fontId="46" fillId="0" borderId="4" xfId="27" applyFont="1" applyBorder="1" applyAlignment="1" applyProtection="1">
      <alignment horizontal="center"/>
    </xf>
    <xf numFmtId="164" fontId="46" fillId="0" borderId="4" xfId="5" applyNumberFormat="1" applyFont="1" applyBorder="1" applyAlignment="1" applyProtection="1">
      <alignment horizontal="center"/>
    </xf>
    <xf numFmtId="165" fontId="46" fillId="0" borderId="4" xfId="5" applyNumberFormat="1" applyFont="1" applyBorder="1" applyAlignment="1" applyProtection="1">
      <alignment horizontal="center"/>
    </xf>
    <xf numFmtId="44" fontId="46" fillId="0" borderId="4" xfId="6" applyFont="1" applyBorder="1" applyAlignment="1" applyProtection="1">
      <alignment horizontal="center"/>
    </xf>
    <xf numFmtId="0" fontId="46" fillId="0" borderId="4" xfId="27" applyFont="1" applyBorder="1" applyAlignment="1" applyProtection="1">
      <alignment horizontal="left"/>
    </xf>
    <xf numFmtId="0" fontId="46" fillId="0" borderId="0" xfId="0" applyFont="1" applyBorder="1" applyProtection="1"/>
    <xf numFmtId="0" fontId="46" fillId="0" borderId="0" xfId="0" applyFont="1" applyAlignment="1" applyProtection="1">
      <alignment horizontal="center"/>
    </xf>
    <xf numFmtId="0" fontId="46" fillId="0" borderId="0" xfId="0" applyFont="1" applyAlignment="1" applyProtection="1">
      <alignment horizontal="right"/>
    </xf>
    <xf numFmtId="44" fontId="78" fillId="17" borderId="0" xfId="6" applyFont="1" applyFill="1" applyAlignment="1" applyProtection="1">
      <alignment horizontal="center"/>
    </xf>
    <xf numFmtId="165" fontId="78" fillId="0" borderId="0" xfId="4" applyNumberFormat="1" applyFont="1" applyProtection="1"/>
    <xf numFmtId="0" fontId="77" fillId="0" borderId="0" xfId="27" applyFont="1" applyBorder="1" applyProtection="1"/>
    <xf numFmtId="164" fontId="55" fillId="0" borderId="0" xfId="5" applyNumberFormat="1" applyFont="1" applyBorder="1" applyProtection="1"/>
    <xf numFmtId="164" fontId="55" fillId="0" borderId="0" xfId="5" applyNumberFormat="1" applyFont="1" applyBorder="1" applyAlignment="1" applyProtection="1">
      <alignment horizontal="center"/>
    </xf>
    <xf numFmtId="165" fontId="55" fillId="0" borderId="0" xfId="5" applyNumberFormat="1" applyFont="1" applyBorder="1" applyProtection="1"/>
    <xf numFmtId="0" fontId="51" fillId="0" borderId="0" xfId="0" applyFont="1" applyProtection="1"/>
    <xf numFmtId="0" fontId="78" fillId="0" borderId="0" xfId="27" applyFont="1" applyProtection="1"/>
    <xf numFmtId="0" fontId="78" fillId="0" borderId="0" xfId="27" applyFont="1" applyBorder="1" applyAlignment="1" applyProtection="1">
      <alignment horizontal="center"/>
    </xf>
    <xf numFmtId="164" fontId="78" fillId="0" borderId="0" xfId="5" applyNumberFormat="1" applyFont="1" applyAlignment="1" applyProtection="1">
      <alignment horizontal="right"/>
    </xf>
    <xf numFmtId="165" fontId="78" fillId="0" borderId="0" xfId="5" applyNumberFormat="1" applyFont="1" applyAlignment="1" applyProtection="1">
      <alignment horizontal="right"/>
    </xf>
    <xf numFmtId="164" fontId="78" fillId="0" borderId="0" xfId="0" applyNumberFormat="1" applyFont="1" applyBorder="1" applyAlignment="1" applyProtection="1">
      <alignment horizontal="right"/>
    </xf>
    <xf numFmtId="0" fontId="78" fillId="0" borderId="0" xfId="0" applyFont="1" applyAlignment="1" applyProtection="1">
      <alignment horizontal="center"/>
    </xf>
    <xf numFmtId="164" fontId="78" fillId="0" borderId="0" xfId="5" applyNumberFormat="1" applyFont="1" applyAlignment="1" applyProtection="1">
      <alignment horizontal="center"/>
    </xf>
    <xf numFmtId="164" fontId="78" fillId="0" borderId="0" xfId="5" applyNumberFormat="1" applyFont="1" applyProtection="1"/>
    <xf numFmtId="165" fontId="78" fillId="0" borderId="0" xfId="5" applyNumberFormat="1" applyFont="1" applyProtection="1"/>
    <xf numFmtId="164" fontId="78" fillId="0" borderId="0" xfId="5" applyNumberFormat="1" applyFont="1" applyBorder="1" applyAlignment="1" applyProtection="1">
      <alignment horizontal="right"/>
    </xf>
    <xf numFmtId="164" fontId="55" fillId="0" borderId="0" xfId="5" applyNumberFormat="1" applyFont="1" applyBorder="1" applyAlignment="1" applyProtection="1"/>
    <xf numFmtId="165" fontId="55" fillId="0" borderId="0" xfId="5" applyNumberFormat="1" applyFont="1" applyBorder="1" applyAlignment="1" applyProtection="1"/>
    <xf numFmtId="0" fontId="46" fillId="0" borderId="0" xfId="27" applyFont="1" applyAlignment="1" applyProtection="1"/>
    <xf numFmtId="0" fontId="46" fillId="0" borderId="0" xfId="0" applyFont="1" applyAlignment="1" applyProtection="1"/>
    <xf numFmtId="0" fontId="20" fillId="0" borderId="0" xfId="0" applyFont="1" applyAlignment="1" applyProtection="1"/>
    <xf numFmtId="0" fontId="108" fillId="0" borderId="0" xfId="0" applyFont="1" applyFill="1" applyBorder="1" applyAlignment="1" applyProtection="1"/>
    <xf numFmtId="0" fontId="103" fillId="0" borderId="0" xfId="0" applyFont="1" applyFill="1" applyBorder="1" applyAlignment="1" applyProtection="1"/>
    <xf numFmtId="0" fontId="46" fillId="0" borderId="0" xfId="0" applyFont="1" applyFill="1" applyBorder="1" applyProtection="1"/>
    <xf numFmtId="0" fontId="103" fillId="0" borderId="0" xfId="0" applyFont="1" applyFill="1" applyBorder="1" applyAlignment="1" applyProtection="1">
      <alignment horizontal="center"/>
    </xf>
    <xf numFmtId="0" fontId="103" fillId="0" borderId="0" xfId="0" applyNumberFormat="1" applyFont="1" applyFill="1" applyBorder="1" applyAlignment="1" applyProtection="1">
      <alignment horizontal="center"/>
    </xf>
    <xf numFmtId="3" fontId="103" fillId="0" borderId="0" xfId="0" applyNumberFormat="1" applyFont="1" applyFill="1" applyBorder="1" applyAlignment="1" applyProtection="1"/>
    <xf numFmtId="173" fontId="103" fillId="0" borderId="0" xfId="6" applyNumberFormat="1" applyFont="1" applyFill="1" applyBorder="1" applyAlignment="1" applyProtection="1"/>
    <xf numFmtId="165" fontId="103"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5" fillId="0" borderId="0" xfId="5" applyNumberFormat="1" applyFont="1" applyFill="1" applyBorder="1" applyAlignment="1" applyProtection="1"/>
    <xf numFmtId="165" fontId="55" fillId="0" borderId="0" xfId="5" applyNumberFormat="1" applyFont="1" applyFill="1" applyBorder="1" applyAlignment="1" applyProtection="1"/>
    <xf numFmtId="0" fontId="46" fillId="0" borderId="0" xfId="27" applyFont="1" applyFill="1" applyBorder="1" applyAlignment="1" applyProtection="1"/>
    <xf numFmtId="0" fontId="46" fillId="0" borderId="0" xfId="0" applyFont="1" applyFill="1" applyBorder="1" applyAlignment="1" applyProtection="1"/>
    <xf numFmtId="0" fontId="78" fillId="0" borderId="0" xfId="0" applyFont="1" applyProtection="1"/>
    <xf numFmtId="165" fontId="78" fillId="0" borderId="0" xfId="4" applyNumberFormat="1" applyFont="1" applyBorder="1" applyProtection="1"/>
    <xf numFmtId="44" fontId="78" fillId="17" borderId="0" xfId="6" applyFont="1" applyFill="1" applyBorder="1" applyAlignment="1" applyProtection="1">
      <alignment horizontal="center"/>
    </xf>
    <xf numFmtId="0" fontId="51" fillId="0" borderId="0" xfId="27" applyFont="1" applyBorder="1" applyProtection="1"/>
    <xf numFmtId="164" fontId="78" fillId="0" borderId="4" xfId="5" applyNumberFormat="1" applyFont="1" applyBorder="1" applyAlignment="1" applyProtection="1">
      <alignment horizontal="right"/>
    </xf>
    <xf numFmtId="44" fontId="78" fillId="17" borderId="4" xfId="6" applyFont="1" applyFill="1" applyBorder="1" applyAlignment="1" applyProtection="1">
      <alignment horizontal="center"/>
    </xf>
    <xf numFmtId="165" fontId="78" fillId="0" borderId="4" xfId="4" applyNumberFormat="1" applyFont="1" applyBorder="1" applyProtection="1"/>
    <xf numFmtId="165" fontId="78" fillId="0" borderId="0" xfId="5" applyNumberFormat="1" applyFont="1" applyBorder="1" applyAlignment="1" applyProtection="1">
      <alignment horizontal="right"/>
    </xf>
    <xf numFmtId="164" fontId="78" fillId="0" borderId="0" xfId="5" applyNumberFormat="1" applyFont="1" applyFill="1" applyBorder="1" applyAlignment="1" applyProtection="1">
      <alignment horizontal="right"/>
    </xf>
    <xf numFmtId="44" fontId="80" fillId="17" borderId="0" xfId="6" applyFont="1" applyFill="1" applyBorder="1" applyAlignment="1" applyProtection="1">
      <alignment horizontal="center"/>
    </xf>
    <xf numFmtId="44" fontId="80" fillId="17" borderId="4" xfId="6" applyFont="1" applyFill="1" applyBorder="1" applyAlignment="1" applyProtection="1">
      <alignment horizontal="center"/>
    </xf>
    <xf numFmtId="0" fontId="57" fillId="0" borderId="0" xfId="0" applyFont="1" applyProtection="1"/>
    <xf numFmtId="0" fontId="78" fillId="0" borderId="4" xfId="0" applyFont="1" applyBorder="1" applyProtection="1"/>
    <xf numFmtId="206" fontId="78" fillId="0" borderId="4" xfId="5" applyNumberFormat="1" applyFont="1" applyBorder="1" applyAlignment="1" applyProtection="1">
      <alignment horizontal="right"/>
    </xf>
    <xf numFmtId="164" fontId="78" fillId="0" borderId="4" xfId="0" applyNumberFormat="1" applyFont="1" applyBorder="1" applyAlignment="1" applyProtection="1">
      <alignment horizontal="right"/>
    </xf>
    <xf numFmtId="206" fontId="78" fillId="0" borderId="0" xfId="5" applyNumberFormat="1" applyFont="1" applyBorder="1" applyAlignment="1" applyProtection="1">
      <alignment horizontal="right"/>
    </xf>
    <xf numFmtId="0" fontId="78" fillId="0" borderId="0" xfId="0" applyFont="1" applyBorder="1" applyProtection="1"/>
    <xf numFmtId="1" fontId="78" fillId="0" borderId="0" xfId="5" applyNumberFormat="1" applyFont="1" applyBorder="1" applyAlignment="1" applyProtection="1">
      <alignment horizontal="right"/>
    </xf>
    <xf numFmtId="37" fontId="79" fillId="0" borderId="0" xfId="5" applyNumberFormat="1" applyFont="1" applyBorder="1" applyAlignment="1" applyProtection="1">
      <alignment horizontal="right"/>
    </xf>
    <xf numFmtId="206" fontId="79" fillId="0" borderId="0" xfId="5" applyNumberFormat="1" applyFont="1" applyBorder="1" applyAlignment="1" applyProtection="1">
      <alignment horizontal="right"/>
    </xf>
    <xf numFmtId="0" fontId="119" fillId="0" borderId="0" xfId="0" applyFont="1" applyProtection="1"/>
    <xf numFmtId="1" fontId="46" fillId="0" borderId="0" xfId="0" applyNumberFormat="1" applyFont="1" applyAlignment="1" applyProtection="1">
      <alignment horizontal="right"/>
    </xf>
    <xf numFmtId="0" fontId="46" fillId="17" borderId="0" xfId="0" applyFont="1" applyFill="1" applyAlignment="1" applyProtection="1">
      <alignment horizontal="center"/>
    </xf>
    <xf numFmtId="0" fontId="78" fillId="0" borderId="0" xfId="0" applyFont="1" applyBorder="1" applyAlignment="1" applyProtection="1"/>
    <xf numFmtId="0" fontId="78" fillId="0" borderId="0" xfId="0" applyFont="1" applyBorder="1" applyAlignment="1" applyProtection="1">
      <alignment horizontal="center"/>
    </xf>
    <xf numFmtId="0" fontId="78" fillId="0" borderId="0" xfId="0" applyFont="1" applyBorder="1" applyAlignment="1" applyProtection="1">
      <alignment horizontal="right"/>
    </xf>
    <xf numFmtId="0" fontId="78" fillId="0" borderId="4" xfId="0" applyFont="1" applyBorder="1" applyAlignment="1" applyProtection="1"/>
    <xf numFmtId="0" fontId="78" fillId="0" borderId="4" xfId="0" applyFont="1" applyBorder="1" applyAlignment="1" applyProtection="1">
      <alignment horizontal="center"/>
    </xf>
    <xf numFmtId="1" fontId="78" fillId="0" borderId="4" xfId="5" applyNumberFormat="1" applyFont="1" applyBorder="1" applyAlignment="1" applyProtection="1">
      <alignment horizontal="right"/>
    </xf>
    <xf numFmtId="0" fontId="78" fillId="0" borderId="4" xfId="0" applyFont="1" applyBorder="1" applyAlignment="1" applyProtection="1">
      <alignment horizontal="right"/>
    </xf>
    <xf numFmtId="206" fontId="79" fillId="0" borderId="4" xfId="5" applyNumberFormat="1" applyFont="1" applyBorder="1" applyAlignment="1" applyProtection="1">
      <alignment horizontal="right"/>
    </xf>
    <xf numFmtId="0" fontId="46" fillId="0" borderId="4" xfId="0" applyFont="1" applyBorder="1" applyProtection="1"/>
    <xf numFmtId="0" fontId="78" fillId="0" borderId="0" xfId="27" applyFont="1" applyBorder="1" applyAlignment="1" applyProtection="1">
      <alignment horizontal="right"/>
    </xf>
    <xf numFmtId="0" fontId="78" fillId="0" borderId="0" xfId="27" applyFont="1" applyBorder="1" applyAlignment="1" applyProtection="1">
      <alignment horizontal="left"/>
    </xf>
    <xf numFmtId="0" fontId="78" fillId="0" borderId="4" xfId="27" applyFont="1" applyBorder="1" applyAlignment="1" applyProtection="1">
      <alignment horizontal="center"/>
    </xf>
    <xf numFmtId="0" fontId="78" fillId="0" borderId="4" xfId="27" applyFont="1" applyBorder="1" applyAlignment="1" applyProtection="1">
      <alignment horizontal="left"/>
    </xf>
    <xf numFmtId="0" fontId="165" fillId="15" borderId="0" xfId="0" applyFont="1" applyFill="1" applyAlignment="1" applyProtection="1">
      <alignment horizontal="left"/>
      <protection hidden="1"/>
    </xf>
    <xf numFmtId="0" fontId="25"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4" fillId="0" borderId="0" xfId="0" applyFont="1" applyFill="1" applyBorder="1" applyAlignment="1" applyProtection="1">
      <alignment horizontal="left" vertical="top" wrapText="1"/>
      <protection hidden="1"/>
    </xf>
    <xf numFmtId="0" fontId="25" fillId="0" borderId="21" xfId="0" applyFont="1" applyFill="1" applyBorder="1" applyAlignment="1">
      <alignment horizontal="right" wrapText="1"/>
    </xf>
    <xf numFmtId="0" fontId="174" fillId="0" borderId="0" xfId="0" applyFont="1" applyFill="1" applyAlignment="1" applyProtection="1">
      <alignment horizontal="left" vertical="center"/>
      <protection hidden="1"/>
    </xf>
    <xf numFmtId="0" fontId="10" fillId="0" borderId="0" xfId="40" applyFont="1"/>
    <xf numFmtId="0" fontId="165" fillId="0" borderId="0" xfId="40" applyFont="1" applyFill="1" applyAlignment="1">
      <alignment horizontal="left" vertical="center"/>
    </xf>
    <xf numFmtId="0" fontId="10" fillId="0" borderId="0" xfId="40" applyFont="1" applyBorder="1"/>
    <xf numFmtId="0" fontId="165"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5"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5" fillId="0" borderId="0" xfId="0" applyFont="1" applyBorder="1" applyAlignment="1">
      <alignment horizontal="left"/>
    </xf>
    <xf numFmtId="0" fontId="20" fillId="0" borderId="0" xfId="0" applyFont="1" applyBorder="1" applyAlignment="1">
      <alignment horizontal="center"/>
    </xf>
    <xf numFmtId="0" fontId="175" fillId="0" borderId="0" xfId="0" applyFont="1" applyBorder="1" applyAlignment="1">
      <alignment horizontal="right"/>
    </xf>
    <xf numFmtId="0" fontId="20" fillId="0" borderId="21" xfId="0" applyFont="1" applyBorder="1"/>
    <xf numFmtId="0" fontId="36" fillId="0" borderId="0" xfId="0" applyFont="1" applyBorder="1" applyAlignment="1">
      <alignment horizontal="center" wrapText="1"/>
    </xf>
    <xf numFmtId="0" fontId="176" fillId="0" borderId="0" xfId="0" applyFont="1" applyProtection="1">
      <protection locked="0"/>
    </xf>
    <xf numFmtId="0" fontId="177" fillId="0" borderId="0" xfId="0" applyFont="1" applyAlignment="1">
      <alignment horizontal="right" wrapText="1"/>
    </xf>
    <xf numFmtId="0" fontId="178" fillId="0" borderId="0" xfId="0" applyFont="1" applyAlignment="1">
      <alignment horizontal="right" wrapText="1"/>
    </xf>
    <xf numFmtId="0" fontId="176"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7" fillId="0" borderId="0" xfId="0" applyFont="1" applyBorder="1"/>
    <xf numFmtId="0" fontId="137" fillId="0" borderId="0" xfId="0" applyFont="1"/>
    <xf numFmtId="181" fontId="23" fillId="0" borderId="0" xfId="7" applyNumberFormat="1" applyFont="1" applyBorder="1" applyAlignment="1"/>
    <xf numFmtId="0" fontId="23" fillId="0" borderId="0" xfId="0" applyFont="1" applyBorder="1" applyAlignment="1"/>
    <xf numFmtId="0" fontId="23" fillId="0" borderId="0" xfId="0" applyFont="1" applyBorder="1"/>
    <xf numFmtId="181" fontId="179" fillId="0" borderId="5" xfId="7" applyNumberFormat="1" applyFont="1" applyBorder="1" applyAlignment="1"/>
    <xf numFmtId="181" fontId="137" fillId="0" borderId="0" xfId="7" applyNumberFormat="1" applyFont="1" applyBorder="1" applyAlignment="1"/>
    <xf numFmtId="0" fontId="20" fillId="0" borderId="0" xfId="0" applyFont="1" applyFill="1"/>
    <xf numFmtId="0" fontId="180" fillId="0" borderId="0" xfId="0" applyFont="1" applyFill="1"/>
    <xf numFmtId="0" fontId="181" fillId="0" borderId="0" xfId="0" applyFont="1" applyFill="1"/>
    <xf numFmtId="0" fontId="103" fillId="0" borderId="0" xfId="0" applyFont="1"/>
    <xf numFmtId="0" fontId="182" fillId="0" borderId="0" xfId="0" applyFont="1" applyFill="1"/>
    <xf numFmtId="0" fontId="180" fillId="0" borderId="0" xfId="0" applyFont="1"/>
    <xf numFmtId="181" fontId="179" fillId="0" borderId="5" xfId="7" applyNumberFormat="1" applyFont="1" applyFill="1" applyBorder="1" applyAlignment="1" applyProtection="1">
      <alignment horizontal="center"/>
      <protection locked="0"/>
    </xf>
    <xf numFmtId="0" fontId="183" fillId="7" borderId="8" xfId="0" applyFont="1" applyFill="1" applyBorder="1"/>
    <xf numFmtId="0" fontId="184" fillId="7" borderId="13" xfId="0" applyFont="1" applyFill="1" applyBorder="1"/>
    <xf numFmtId="0" fontId="171"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5"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5" fillId="15" borderId="0" xfId="0" applyFont="1" applyFill="1" applyAlignment="1">
      <alignment vertical="center"/>
    </xf>
    <xf numFmtId="0" fontId="165" fillId="15" borderId="0" xfId="0" applyFont="1" applyFill="1" applyBorder="1" applyAlignment="1">
      <alignment horizontal="center" vertical="center"/>
    </xf>
    <xf numFmtId="0" fontId="165" fillId="15" borderId="0" xfId="0" applyFont="1" applyFill="1" applyBorder="1" applyAlignment="1">
      <alignment horizontal="left" vertical="center"/>
    </xf>
    <xf numFmtId="0" fontId="10" fillId="0" borderId="0" xfId="0" applyFont="1" applyAlignment="1">
      <alignment vertical="top" wrapText="1"/>
    </xf>
    <xf numFmtId="0" fontId="23" fillId="0" borderId="0" xfId="0" applyFont="1" applyProtection="1">
      <protection locked="0"/>
    </xf>
    <xf numFmtId="0" fontId="137" fillId="0" borderId="0" xfId="0" applyFont="1" applyProtection="1">
      <protection locked="0"/>
    </xf>
    <xf numFmtId="0" fontId="11" fillId="3" borderId="0" xfId="0" applyFont="1" applyFill="1"/>
    <xf numFmtId="0" fontId="186"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2" fillId="0" borderId="15" xfId="0" applyFont="1" applyBorder="1"/>
    <xf numFmtId="0" fontId="22" fillId="0" borderId="16" xfId="0" applyFont="1" applyBorder="1" applyAlignment="1">
      <alignment horizontal="center"/>
    </xf>
    <xf numFmtId="0" fontId="22" fillId="0" borderId="16" xfId="0" applyFont="1" applyBorder="1" applyAlignment="1">
      <alignment horizontal="left"/>
    </xf>
    <xf numFmtId="0" fontId="10" fillId="19" borderId="0" xfId="0" applyFont="1" applyFill="1" applyBorder="1"/>
    <xf numFmtId="0" fontId="10" fillId="19" borderId="39" xfId="0" applyFont="1" applyFill="1" applyBorder="1"/>
    <xf numFmtId="0" fontId="22" fillId="0" borderId="17" xfId="0" applyFont="1" applyBorder="1"/>
    <xf numFmtId="0" fontId="22"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8"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8"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8"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6"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8"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8"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7"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8"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8" fillId="19" borderId="0" xfId="0" applyFont="1" applyFill="1"/>
    <xf numFmtId="164" fontId="10" fillId="19" borderId="0" xfId="4" applyNumberFormat="1" applyFont="1" applyFill="1" applyBorder="1" applyAlignment="1"/>
    <xf numFmtId="164" fontId="187" fillId="19" borderId="0" xfId="4" applyNumberFormat="1" applyFont="1" applyFill="1" applyBorder="1" applyAlignment="1"/>
    <xf numFmtId="166" fontId="10" fillId="19" borderId="0" xfId="27" applyNumberFormat="1" applyFont="1" applyFill="1" applyBorder="1"/>
    <xf numFmtId="0" fontId="137" fillId="19" borderId="0" xfId="0" applyFont="1" applyFill="1" applyAlignment="1"/>
    <xf numFmtId="0" fontId="11" fillId="19" borderId="0" xfId="0" applyFont="1" applyFill="1"/>
    <xf numFmtId="0" fontId="137" fillId="19" borderId="0" xfId="27" applyFont="1" applyFill="1"/>
    <xf numFmtId="164" fontId="137" fillId="19" borderId="0" xfId="5" applyNumberFormat="1" applyFont="1" applyFill="1" applyAlignment="1">
      <alignment horizontal="center"/>
    </xf>
    <xf numFmtId="164" fontId="23" fillId="19" borderId="0" xfId="5" applyNumberFormat="1" applyFont="1" applyFill="1" applyBorder="1" applyAlignment="1">
      <alignment horizontal="center"/>
    </xf>
    <xf numFmtId="164" fontId="188" fillId="19" borderId="0" xfId="5" applyNumberFormat="1" applyFont="1" applyFill="1" applyBorder="1" applyAlignment="1">
      <alignment horizontal="center"/>
    </xf>
    <xf numFmtId="164" fontId="23" fillId="19" borderId="0" xfId="5" applyNumberFormat="1" applyFont="1" applyFill="1" applyAlignment="1">
      <alignment horizontal="center"/>
    </xf>
    <xf numFmtId="165" fontId="23"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2" fillId="0" borderId="16" xfId="0" applyFont="1" applyBorder="1" applyAlignment="1">
      <alignment horizontal="centerContinuous"/>
    </xf>
    <xf numFmtId="0" fontId="11" fillId="0" borderId="17" xfId="0" applyFont="1" applyBorder="1"/>
    <xf numFmtId="0" fontId="22" fillId="0" borderId="14" xfId="0" applyFont="1" applyBorder="1" applyAlignment="1">
      <alignment horizontal="center"/>
    </xf>
    <xf numFmtId="0" fontId="22" fillId="0" borderId="19" xfId="0" applyFont="1" applyBorder="1" applyAlignment="1">
      <alignment horizontal="centerContinuous"/>
    </xf>
    <xf numFmtId="0" fontId="22" fillId="0" borderId="17" xfId="0" applyFont="1" applyBorder="1" applyAlignment="1">
      <alignment horizontal="center"/>
    </xf>
    <xf numFmtId="0" fontId="22" fillId="0" borderId="18" xfId="0" applyFont="1" applyBorder="1"/>
    <xf numFmtId="0" fontId="22" fillId="0" borderId="4" xfId="0" applyFont="1" applyBorder="1" applyAlignment="1">
      <alignment horizontal="center"/>
    </xf>
    <xf numFmtId="0" fontId="22" fillId="0" borderId="4" xfId="0" applyFont="1" applyBorder="1"/>
    <xf numFmtId="0" fontId="22"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0"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8"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37" fontId="20" fillId="0" borderId="0" xfId="0" applyNumberFormat="1" applyFont="1" applyBorder="1"/>
    <xf numFmtId="37" fontId="20" fillId="0" borderId="4" xfId="0" applyNumberFormat="1" applyFont="1" applyBorder="1"/>
    <xf numFmtId="44" fontId="40"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1" fillId="0" borderId="0" xfId="0" applyFont="1" applyProtection="1">
      <protection hidden="1"/>
    </xf>
    <xf numFmtId="0" fontId="36" fillId="0" borderId="0" xfId="0" applyFont="1" applyBorder="1" applyAlignment="1">
      <alignment wrapText="1"/>
    </xf>
    <xf numFmtId="0" fontId="191"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19" fillId="0" borderId="0" xfId="76" applyFont="1"/>
    <xf numFmtId="214" fontId="119" fillId="0" borderId="67" xfId="76" applyNumberFormat="1" applyFont="1" applyBorder="1" applyProtection="1">
      <protection locked="0"/>
    </xf>
    <xf numFmtId="3" fontId="119" fillId="0" borderId="28" xfId="76" applyNumberFormat="1" applyFont="1" applyFill="1" applyBorder="1" applyProtection="1">
      <protection locked="0"/>
    </xf>
    <xf numFmtId="0" fontId="117" fillId="0" borderId="0" xfId="76" applyFont="1"/>
    <xf numFmtId="0" fontId="119" fillId="0" borderId="0" xfId="76" applyFont="1" applyAlignment="1">
      <alignment horizontal="left"/>
    </xf>
    <xf numFmtId="8" fontId="119" fillId="0" borderId="0" xfId="76" applyNumberFormat="1" applyFont="1" applyAlignment="1">
      <alignment horizontal="left"/>
    </xf>
    <xf numFmtId="0" fontId="119" fillId="0" borderId="0" xfId="76" applyFont="1" applyAlignment="1">
      <alignment wrapText="1"/>
    </xf>
    <xf numFmtId="0" fontId="115"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6" fillId="22" borderId="17" xfId="0" applyNumberFormat="1" applyFont="1" applyFill="1" applyBorder="1" applyAlignment="1">
      <alignment horizontal="right" vertical="center"/>
    </xf>
    <xf numFmtId="176" fontId="156" fillId="22" borderId="18" xfId="0" applyNumberFormat="1" applyFont="1" applyFill="1" applyBorder="1" applyAlignment="1">
      <alignment horizontal="center" vertical="center"/>
    </xf>
    <xf numFmtId="4" fontId="115" fillId="0" borderId="4" xfId="40" applyNumberFormat="1" applyFont="1" applyBorder="1" applyAlignment="1">
      <alignment horizontal="center" vertical="center"/>
    </xf>
    <xf numFmtId="173" fontId="115"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6" fillId="22" borderId="14" xfId="0" applyNumberFormat="1" applyFont="1" applyFill="1" applyBorder="1" applyAlignment="1">
      <alignment horizontal="right" vertical="center"/>
    </xf>
    <xf numFmtId="176" fontId="156"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7"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5"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8"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6" fillId="22" borderId="15" xfId="6" applyNumberFormat="1" applyFont="1" applyFill="1" applyBorder="1" applyAlignment="1">
      <alignment horizontal="center" vertical="center" wrapText="1"/>
    </xf>
    <xf numFmtId="173" fontId="115"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7"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6"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5"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5"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8"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5"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4" fillId="0" borderId="21" xfId="0" applyFont="1" applyBorder="1" applyAlignment="1">
      <alignment horizontal="left" vertical="center" wrapText="1"/>
    </xf>
    <xf numFmtId="39" fontId="114" fillId="0" borderId="21" xfId="0" applyNumberFormat="1" applyFont="1" applyBorder="1" applyAlignment="1" applyProtection="1">
      <alignment horizontal="center" vertical="center" wrapText="1"/>
      <protection hidden="1"/>
    </xf>
    <xf numFmtId="0" fontId="114"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7"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5" fillId="0" borderId="70" xfId="0" applyFont="1" applyBorder="1" applyAlignment="1">
      <alignment horizontal="center" vertical="center"/>
    </xf>
    <xf numFmtId="173" fontId="156" fillId="0" borderId="14" xfId="40" applyNumberFormat="1" applyFont="1" applyBorder="1" applyAlignment="1">
      <alignment horizontal="right" vertical="center"/>
    </xf>
    <xf numFmtId="176" fontId="156" fillId="14" borderId="15" xfId="0" applyNumberFormat="1" applyFont="1" applyFill="1" applyBorder="1" applyAlignment="1">
      <alignment horizontal="center" vertical="center"/>
    </xf>
    <xf numFmtId="0" fontId="10" fillId="0" borderId="19" xfId="40" applyFont="1" applyBorder="1" applyAlignment="1">
      <alignment vertical="center"/>
    </xf>
    <xf numFmtId="0" fontId="115" fillId="0" borderId="18" xfId="0" applyFont="1" applyBorder="1" applyAlignment="1">
      <alignment horizontal="center" vertical="center"/>
    </xf>
    <xf numFmtId="173" fontId="156" fillId="0" borderId="17" xfId="40" applyNumberFormat="1" applyFont="1" applyBorder="1" applyAlignment="1">
      <alignment horizontal="right" vertical="center"/>
    </xf>
    <xf numFmtId="176" fontId="156" fillId="14" borderId="18" xfId="0" applyNumberFormat="1" applyFont="1" applyFill="1" applyBorder="1" applyAlignment="1">
      <alignment horizontal="center" vertical="center"/>
    </xf>
    <xf numFmtId="0" fontId="10" fillId="0" borderId="16" xfId="40" applyFont="1" applyBorder="1" applyAlignment="1">
      <alignment vertical="center"/>
    </xf>
    <xf numFmtId="0" fontId="115"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7" fillId="0" borderId="21" xfId="40" applyFont="1" applyBorder="1" applyAlignment="1">
      <alignment vertical="center" wrapText="1"/>
    </xf>
    <xf numFmtId="4" fontId="115"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7"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2" fillId="18" borderId="5" xfId="67" applyFont="1" applyFill="1" applyBorder="1" applyAlignment="1">
      <alignment horizontal="left" vertical="center" wrapText="1"/>
    </xf>
    <xf numFmtId="0" fontId="192" fillId="18" borderId="5" xfId="67" applyFont="1" applyFill="1" applyBorder="1" applyAlignment="1">
      <alignment horizontal="center" vertical="center" wrapText="1"/>
    </xf>
    <xf numFmtId="9" fontId="192" fillId="18" borderId="5" xfId="67" applyNumberFormat="1" applyFont="1" applyFill="1" applyBorder="1" applyAlignment="1">
      <alignment horizontal="center" vertical="center" wrapText="1"/>
    </xf>
    <xf numFmtId="0" fontId="119" fillId="0" borderId="5" xfId="67" applyFont="1" applyBorder="1" applyAlignment="1">
      <alignment horizontal="center" vertical="center" wrapText="1"/>
    </xf>
    <xf numFmtId="209" fontId="119" fillId="0" borderId="5" xfId="67" applyNumberFormat="1" applyFont="1" applyBorder="1" applyAlignment="1">
      <alignment horizontal="center" vertical="center" wrapText="1"/>
    </xf>
    <xf numFmtId="0" fontId="119" fillId="0" borderId="0" xfId="67" applyFont="1" applyBorder="1" applyAlignment="1">
      <alignment horizontal="center" vertical="center" wrapText="1"/>
    </xf>
    <xf numFmtId="0" fontId="119" fillId="0" borderId="0" xfId="67" applyFont="1"/>
    <xf numFmtId="208" fontId="119"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7"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7" fillId="0" borderId="15" xfId="0" applyFont="1" applyBorder="1" applyAlignment="1">
      <alignment horizontal="center" wrapText="1"/>
    </xf>
    <xf numFmtId="208" fontId="119"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19"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3" fillId="18" borderId="0" xfId="0" applyFont="1" applyFill="1" applyBorder="1" applyAlignment="1">
      <alignment horizontal="center" vertical="center"/>
    </xf>
    <xf numFmtId="177" fontId="137" fillId="18" borderId="0" xfId="0" applyNumberFormat="1" applyFont="1" applyFill="1" applyBorder="1" applyAlignment="1">
      <alignment horizontal="center" vertical="center"/>
    </xf>
    <xf numFmtId="176" fontId="137" fillId="45" borderId="0" xfId="0" applyNumberFormat="1" applyFont="1" applyFill="1" applyBorder="1" applyAlignment="1">
      <alignment horizontal="center" vertical="center"/>
    </xf>
    <xf numFmtId="0" fontId="137" fillId="45" borderId="0" xfId="0" applyFont="1" applyFill="1" applyBorder="1" applyAlignment="1">
      <alignment horizontal="center" vertical="center"/>
    </xf>
    <xf numFmtId="177" fontId="137" fillId="0" borderId="0" xfId="0" applyNumberFormat="1" applyFont="1" applyBorder="1" applyAlignment="1">
      <alignment horizontal="center" vertical="center"/>
    </xf>
    <xf numFmtId="176" fontId="137" fillId="0" borderId="0" xfId="0" applyNumberFormat="1" applyFont="1" applyBorder="1" applyAlignment="1">
      <alignment horizontal="center" vertical="center"/>
    </xf>
    <xf numFmtId="176" fontId="137" fillId="0" borderId="0" xfId="70" applyNumberFormat="1" applyFont="1" applyBorder="1" applyAlignment="1">
      <alignment horizontal="center" vertical="center"/>
    </xf>
    <xf numFmtId="177" fontId="137" fillId="45" borderId="0" xfId="0" applyNumberFormat="1" applyFont="1" applyFill="1" applyBorder="1" applyAlignment="1">
      <alignment horizontal="center" vertical="center"/>
    </xf>
    <xf numFmtId="176" fontId="137"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4" fillId="0" borderId="0" xfId="0" applyFont="1" applyFill="1" applyBorder="1"/>
    <xf numFmtId="0" fontId="137" fillId="0" borderId="0" xfId="0" applyFont="1" applyBorder="1" applyAlignment="1">
      <alignment horizontal="center" vertical="center"/>
    </xf>
    <xf numFmtId="0" fontId="119" fillId="0" borderId="0" xfId="67" applyFont="1" applyBorder="1" applyAlignment="1">
      <alignment horizontal="center" vertical="center"/>
    </xf>
    <xf numFmtId="0" fontId="119" fillId="0" borderId="0" xfId="67" applyFont="1" applyBorder="1" applyAlignment="1">
      <alignment horizontal="center"/>
    </xf>
    <xf numFmtId="0" fontId="192" fillId="0" borderId="0" xfId="67" applyFont="1" applyBorder="1"/>
    <xf numFmtId="209" fontId="119" fillId="29" borderId="0" xfId="67" applyNumberFormat="1" applyFont="1" applyFill="1" applyBorder="1" applyAlignment="1">
      <alignment horizontal="center" vertical="center"/>
    </xf>
    <xf numFmtId="209" fontId="119" fillId="0" borderId="0" xfId="67" applyNumberFormat="1" applyFont="1" applyBorder="1" applyAlignment="1">
      <alignment horizontal="center" vertical="center"/>
    </xf>
    <xf numFmtId="0" fontId="177"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8" fillId="0" borderId="0" xfId="40" applyFont="1" applyFill="1" applyBorder="1" applyAlignment="1">
      <alignment horizontal="left"/>
    </xf>
    <xf numFmtId="0" fontId="168" fillId="0" borderId="0" xfId="40" applyFont="1" applyFill="1" applyBorder="1"/>
    <xf numFmtId="0" fontId="11" fillId="0" borderId="0" xfId="40" applyFont="1" applyFill="1" applyBorder="1" applyAlignment="1"/>
    <xf numFmtId="0" fontId="23" fillId="18" borderId="69" xfId="0" applyFont="1" applyFill="1" applyBorder="1" applyAlignment="1">
      <alignment horizontal="center" vertical="center"/>
    </xf>
    <xf numFmtId="177" fontId="137" fillId="18" borderId="19" xfId="0" applyNumberFormat="1" applyFont="1" applyFill="1" applyBorder="1" applyAlignment="1">
      <alignment horizontal="center" vertical="center"/>
    </xf>
    <xf numFmtId="176" fontId="137" fillId="18" borderId="19" xfId="0" applyNumberFormat="1" applyFont="1" applyFill="1" applyBorder="1" applyAlignment="1">
      <alignment horizontal="center" vertical="center"/>
    </xf>
    <xf numFmtId="0" fontId="137" fillId="0" borderId="87" xfId="0" applyFont="1" applyBorder="1" applyAlignment="1">
      <alignment horizontal="center" vertical="center"/>
    </xf>
    <xf numFmtId="0" fontId="195" fillId="0" borderId="0" xfId="67" applyFont="1"/>
    <xf numFmtId="0" fontId="195" fillId="0" borderId="0" xfId="67" applyFont="1" applyAlignment="1">
      <alignment horizontal="center" vertical="center"/>
    </xf>
    <xf numFmtId="0" fontId="119"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8" fillId="0" borderId="0" xfId="40" applyFont="1" applyFill="1" applyBorder="1" applyAlignment="1">
      <alignment horizontal="center"/>
    </xf>
    <xf numFmtId="0" fontId="168" fillId="0" borderId="0" xfId="40" applyFont="1" applyFill="1" applyBorder="1" applyAlignment="1"/>
    <xf numFmtId="0" fontId="23" fillId="18" borderId="57" xfId="0" applyFont="1" applyFill="1" applyBorder="1" applyAlignment="1">
      <alignment horizontal="center" vertical="center"/>
    </xf>
    <xf numFmtId="177" fontId="137" fillId="18" borderId="5" xfId="0" applyNumberFormat="1" applyFont="1" applyFill="1" applyBorder="1" applyAlignment="1">
      <alignment horizontal="center" vertical="center"/>
    </xf>
    <xf numFmtId="176" fontId="137" fillId="18" borderId="5" xfId="0" applyNumberFormat="1" applyFont="1" applyFill="1" applyBorder="1" applyAlignment="1">
      <alignment horizontal="center" vertical="center"/>
    </xf>
    <xf numFmtId="176" fontId="137" fillId="0" borderId="58" xfId="70" applyNumberFormat="1" applyFont="1" applyBorder="1" applyAlignment="1">
      <alignment horizontal="center" vertical="center"/>
    </xf>
    <xf numFmtId="0" fontId="192"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19" fillId="0" borderId="38" xfId="67" applyFont="1" applyBorder="1"/>
    <xf numFmtId="209" fontId="119"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19" fillId="29" borderId="30" xfId="67" applyFont="1" applyFill="1" applyBorder="1"/>
    <xf numFmtId="209" fontId="119" fillId="0" borderId="37" xfId="67" applyNumberFormat="1" applyFont="1" applyBorder="1" applyAlignment="1">
      <alignment horizontal="center" vertical="center"/>
    </xf>
    <xf numFmtId="0" fontId="25"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3" fillId="12" borderId="0" xfId="45" applyFont="1" applyFill="1" applyBorder="1" applyAlignment="1">
      <alignment horizontal="left" vertical="center"/>
    </xf>
    <xf numFmtId="0" fontId="23"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6" fillId="0" borderId="0" xfId="0" applyFont="1" applyAlignment="1">
      <alignment horizontal="center" wrapText="1"/>
    </xf>
    <xf numFmtId="0" fontId="197" fillId="0" borderId="0" xfId="0" applyFont="1" applyAlignment="1">
      <alignment wrapText="1"/>
    </xf>
    <xf numFmtId="0" fontId="196"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8"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8"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6"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3"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7"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89"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7"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89"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3"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89" fillId="0" borderId="0" xfId="0" applyFont="1" applyBorder="1" applyAlignment="1" applyProtection="1">
      <alignment vertical="center"/>
      <protection hidden="1"/>
    </xf>
    <xf numFmtId="0" fontId="200"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7" fillId="0" borderId="0" xfId="46" applyFont="1" applyFill="1" applyBorder="1" applyAlignment="1" applyProtection="1">
      <alignment horizontal="center" vertical="center" wrapText="1"/>
      <protection hidden="1"/>
    </xf>
    <xf numFmtId="0" fontId="200"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7"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89"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3"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3"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7"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89"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19" fillId="27" borderId="66" xfId="73" applyNumberFormat="1" applyFont="1" applyFill="1" applyBorder="1" applyAlignment="1" applyProtection="1">
      <alignment horizontal="right" vertical="center"/>
      <protection locked="0"/>
    </xf>
    <xf numFmtId="3" fontId="119" fillId="0" borderId="4" xfId="72" applyNumberFormat="1" applyFont="1" applyBorder="1" applyAlignment="1" applyProtection="1">
      <alignment vertical="center"/>
      <protection locked="0"/>
    </xf>
    <xf numFmtId="0" fontId="48" fillId="0" borderId="15" xfId="0" applyFont="1" applyFill="1" applyBorder="1"/>
    <xf numFmtId="0" fontId="0" fillId="0" borderId="12" xfId="0" applyFill="1" applyBorder="1"/>
    <xf numFmtId="0" fontId="48" fillId="0" borderId="18" xfId="0" applyFont="1" applyFill="1" applyBorder="1"/>
    <xf numFmtId="0" fontId="48"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2"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8" fillId="0" borderId="0" xfId="0" applyFont="1" applyBorder="1"/>
    <xf numFmtId="0" fontId="10" fillId="0" borderId="30" xfId="0" applyFont="1" applyBorder="1"/>
    <xf numFmtId="0" fontId="88"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8"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7" fillId="24" borderId="28" xfId="72" applyFont="1" applyFill="1" applyBorder="1" applyAlignment="1">
      <alignment horizontal="center" vertical="center" wrapText="1"/>
    </xf>
    <xf numFmtId="0" fontId="117"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7" fillId="0" borderId="19" xfId="73" applyNumberFormat="1" applyFont="1" applyFill="1" applyBorder="1" applyAlignment="1">
      <alignment horizontal="center" vertical="center" wrapText="1"/>
    </xf>
    <xf numFmtId="0" fontId="117" fillId="0" borderId="51" xfId="72" applyFont="1" applyFill="1" applyBorder="1" applyAlignment="1">
      <alignment horizontal="center" vertical="center" wrapText="1"/>
    </xf>
    <xf numFmtId="0" fontId="117" fillId="0" borderId="39" xfId="72" applyFont="1" applyFill="1" applyBorder="1" applyAlignment="1">
      <alignment horizontal="center" vertical="center" wrapText="1"/>
    </xf>
    <xf numFmtId="0" fontId="60" fillId="0" borderId="0" xfId="26" applyFont="1" applyBorder="1"/>
    <xf numFmtId="0" fontId="117" fillId="24" borderId="0" xfId="76" applyFont="1" applyFill="1" applyBorder="1" applyAlignment="1">
      <alignment vertical="center" wrapText="1"/>
    </xf>
    <xf numFmtId="0" fontId="117" fillId="24" borderId="21" xfId="76" applyFont="1" applyFill="1" applyBorder="1" applyAlignment="1">
      <alignment vertical="center" wrapText="1"/>
    </xf>
    <xf numFmtId="0" fontId="114" fillId="0" borderId="61" xfId="0" applyFont="1" applyBorder="1" applyAlignment="1" applyProtection="1">
      <alignment horizontal="center" vertical="center" wrapText="1"/>
    </xf>
    <xf numFmtId="0" fontId="114" fillId="0" borderId="48" xfId="0" applyFont="1" applyBorder="1" applyAlignment="1" applyProtection="1">
      <alignment horizontal="center" vertical="center" wrapText="1"/>
    </xf>
    <xf numFmtId="0" fontId="114" fillId="0" borderId="65" xfId="0" applyFont="1" applyBorder="1" applyAlignment="1" applyProtection="1">
      <alignment horizontal="center" vertical="center" wrapText="1"/>
    </xf>
    <xf numFmtId="0" fontId="128" fillId="0" borderId="29" xfId="0" applyFont="1" applyBorder="1" applyProtection="1"/>
    <xf numFmtId="0" fontId="129" fillId="30" borderId="5" xfId="0" applyFont="1" applyFill="1" applyBorder="1" applyAlignment="1" applyProtection="1">
      <alignment vertical="top" wrapText="1"/>
    </xf>
    <xf numFmtId="0" fontId="128" fillId="0" borderId="37" xfId="0" applyFont="1" applyBorder="1" applyProtection="1"/>
    <xf numFmtId="0" fontId="149" fillId="30" borderId="5" xfId="0" applyFont="1" applyFill="1" applyBorder="1" applyProtection="1"/>
    <xf numFmtId="0" fontId="11" fillId="0" borderId="21" xfId="0" applyFont="1" applyBorder="1" applyAlignment="1" applyProtection="1">
      <alignment horizontal="center"/>
      <protection hidden="1"/>
    </xf>
    <xf numFmtId="0" fontId="115" fillId="0" borderId="0" xfId="82" applyFont="1"/>
    <xf numFmtId="0" fontId="115" fillId="0" borderId="40" xfId="82" applyFont="1" applyBorder="1"/>
    <xf numFmtId="0" fontId="115" fillId="0" borderId="40" xfId="82" applyFont="1" applyFill="1" applyBorder="1"/>
    <xf numFmtId="0" fontId="115" fillId="0" borderId="41" xfId="82" applyFont="1" applyBorder="1"/>
    <xf numFmtId="0" fontId="115" fillId="0" borderId="38" xfId="82" applyFont="1" applyBorder="1"/>
    <xf numFmtId="0" fontId="115" fillId="0" borderId="0" xfId="82" applyFont="1" applyBorder="1"/>
    <xf numFmtId="0" fontId="115" fillId="0" borderId="33" xfId="82" applyFont="1" applyBorder="1"/>
    <xf numFmtId="0" fontId="11" fillId="0" borderId="0" xfId="82" applyFont="1" applyFill="1"/>
    <xf numFmtId="0" fontId="115" fillId="0" borderId="38" xfId="40" applyFont="1" applyBorder="1"/>
    <xf numFmtId="0" fontId="115" fillId="0" borderId="0" xfId="40" applyFont="1" applyBorder="1"/>
    <xf numFmtId="0" fontId="115" fillId="0" borderId="33" xfId="40" applyFont="1" applyBorder="1"/>
    <xf numFmtId="0" fontId="115" fillId="0" borderId="0" xfId="40" applyFont="1" applyBorder="1" applyAlignment="1">
      <alignment vertical="center"/>
    </xf>
    <xf numFmtId="0" fontId="115" fillId="0" borderId="33" xfId="40" applyFont="1" applyBorder="1" applyAlignment="1">
      <alignment vertical="center"/>
    </xf>
    <xf numFmtId="0" fontId="115" fillId="0" borderId="0" xfId="82" applyFont="1" applyFill="1"/>
    <xf numFmtId="0" fontId="115" fillId="0" borderId="38" xfId="82" applyFont="1" applyBorder="1" applyProtection="1"/>
    <xf numFmtId="0" fontId="115" fillId="0" borderId="0" xfId="82" applyFont="1" applyBorder="1" applyProtection="1"/>
    <xf numFmtId="0" fontId="115" fillId="0" borderId="33" xfId="82" applyFont="1" applyBorder="1" applyProtection="1"/>
    <xf numFmtId="0" fontId="115" fillId="0" borderId="30" xfId="82" applyFont="1" applyBorder="1" applyProtection="1"/>
    <xf numFmtId="0" fontId="115" fillId="0" borderId="21" xfId="82" applyFont="1" applyBorder="1" applyProtection="1"/>
    <xf numFmtId="0" fontId="115"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19" fillId="19" borderId="5" xfId="78" applyNumberFormat="1" applyFont="1" applyFill="1" applyBorder="1" applyAlignment="1" applyProtection="1">
      <alignment horizontal="right" wrapText="1" indent="1"/>
    </xf>
    <xf numFmtId="0" fontId="117" fillId="0" borderId="0" xfId="78" applyFont="1" applyFill="1" applyAlignment="1" applyProtection="1">
      <alignment horizontal="center" vertical="center" wrapText="1"/>
    </xf>
    <xf numFmtId="0" fontId="118" fillId="24" borderId="0" xfId="78" applyFont="1" applyFill="1" applyBorder="1" applyAlignment="1">
      <alignment horizontal="centerContinuous" vertical="center"/>
    </xf>
    <xf numFmtId="0" fontId="202"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7"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7"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2" fillId="0" borderId="0" xfId="0" applyFont="1" applyAlignment="1" applyProtection="1">
      <alignment horizontal="right"/>
      <protection locked="0"/>
    </xf>
    <xf numFmtId="0" fontId="20" fillId="0" borderId="0" xfId="0" applyFont="1" applyProtection="1">
      <protection locked="0"/>
    </xf>
    <xf numFmtId="0" fontId="204" fillId="0" borderId="0" xfId="0" applyFont="1" applyAlignment="1">
      <alignment wrapText="1"/>
    </xf>
    <xf numFmtId="0" fontId="204" fillId="0" borderId="0" xfId="0" applyFont="1"/>
    <xf numFmtId="0" fontId="136" fillId="0" borderId="0" xfId="0" applyFont="1" applyAlignment="1">
      <alignment vertical="center" wrapText="1"/>
    </xf>
    <xf numFmtId="0" fontId="180" fillId="0" borderId="0" xfId="0" applyFont="1" applyBorder="1" applyAlignment="1">
      <alignment wrapText="1"/>
    </xf>
    <xf numFmtId="0" fontId="180"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0" fillId="0" borderId="0" xfId="0" applyFont="1" applyBorder="1" applyAlignment="1">
      <alignment vertical="top" wrapText="1"/>
    </xf>
    <xf numFmtId="0" fontId="136" fillId="0" borderId="0" xfId="0" applyFont="1" applyBorder="1" applyAlignment="1">
      <alignment wrapText="1"/>
    </xf>
    <xf numFmtId="0" fontId="153"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6"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3"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1"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6"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6" fillId="0" borderId="0" xfId="0" applyFont="1" applyFill="1" applyBorder="1" applyAlignment="1" applyProtection="1">
      <alignment horizontal="left" vertical="top" wrapText="1"/>
      <protection hidden="1"/>
    </xf>
    <xf numFmtId="0" fontId="164" fillId="0" borderId="13" xfId="0" applyFont="1" applyFill="1" applyBorder="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4" fillId="0" borderId="0" xfId="0" applyFont="1" applyBorder="1" applyAlignment="1" applyProtection="1">
      <alignment horizontal="center" vertical="center" wrapText="1"/>
      <protection hidden="1"/>
    </xf>
    <xf numFmtId="0" fontId="114" fillId="0" borderId="0" xfId="0" applyFont="1" applyBorder="1" applyAlignment="1">
      <alignment horizontal="center" vertical="center" wrapText="1"/>
    </xf>
    <xf numFmtId="0" fontId="205"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6" fillId="0" borderId="0" xfId="0" applyFont="1" applyBorder="1" applyAlignment="1">
      <alignment vertical="center"/>
    </xf>
    <xf numFmtId="176" fontId="20" fillId="0" borderId="5" xfId="28" applyNumberFormat="1" applyFont="1" applyBorder="1" applyAlignment="1" applyProtection="1">
      <protection locked="0"/>
    </xf>
    <xf numFmtId="0" fontId="119" fillId="0" borderId="5" xfId="72" applyFont="1" applyFill="1" applyBorder="1" applyAlignment="1" applyProtection="1">
      <alignment vertical="center"/>
      <protection locked="0"/>
    </xf>
    <xf numFmtId="0" fontId="119"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2" fillId="27" borderId="57" xfId="6" applyNumberFormat="1" applyFont="1" applyFill="1" applyBorder="1" applyAlignment="1" applyProtection="1">
      <alignment horizontal="right"/>
      <protection locked="0"/>
    </xf>
    <xf numFmtId="176" fontId="122"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6"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6"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4" fillId="0" borderId="0" xfId="0" applyFont="1" applyBorder="1" applyAlignment="1" applyProtection="1">
      <alignment vertical="center" wrapText="1"/>
      <protection hidden="1"/>
    </xf>
    <xf numFmtId="5" fontId="114"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7" fillId="0" borderId="0" xfId="0" applyFont="1" applyFill="1" applyAlignment="1" applyProtection="1">
      <alignment horizontal="center" vertical="center"/>
      <protection hidden="1"/>
    </xf>
    <xf numFmtId="0" fontId="97" fillId="0" borderId="0" xfId="0" applyFont="1" applyAlignment="1"/>
    <xf numFmtId="0" fontId="10" fillId="0" borderId="0" xfId="0" applyFont="1" applyBorder="1" applyAlignment="1" applyProtection="1">
      <alignment horizontal="left" vertical="center"/>
      <protection hidden="1"/>
    </xf>
    <xf numFmtId="0" fontId="153"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6" fillId="0" borderId="0" xfId="0" applyFont="1" applyFill="1" applyAlignment="1" applyProtection="1">
      <alignment horizontal="right"/>
      <protection hidden="1"/>
    </xf>
    <xf numFmtId="0" fontId="20" fillId="0" borderId="0" xfId="40" applyFont="1" applyFill="1" applyBorder="1"/>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80" fillId="0" borderId="0" xfId="0" applyFont="1" applyAlignment="1">
      <alignment vertical="top" wrapText="1"/>
    </xf>
    <xf numFmtId="0" fontId="20" fillId="0" borderId="0" xfId="0" applyFont="1" applyAlignment="1">
      <alignment vertical="top"/>
    </xf>
    <xf numFmtId="0" fontId="88" fillId="0" borderId="0" xfId="28" applyFont="1" applyBorder="1" applyAlignment="1" applyProtection="1"/>
    <xf numFmtId="176" fontId="51" fillId="14" borderId="14" xfId="0" applyNumberFormat="1" applyFont="1" applyFill="1" applyBorder="1" applyAlignment="1">
      <alignment horizontal="center" wrapText="1"/>
    </xf>
    <xf numFmtId="176" fontId="51"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0" fillId="0" borderId="0" xfId="40" applyFont="1" applyAlignment="1">
      <alignment wrapText="1"/>
    </xf>
    <xf numFmtId="49" fontId="10" fillId="0" borderId="2" xfId="6" applyNumberFormat="1" applyFont="1" applyBorder="1" applyProtection="1">
      <protection hidden="1"/>
    </xf>
    <xf numFmtId="0" fontId="117"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19"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19" fillId="0" borderId="87" xfId="73" applyNumberFormat="1" applyFont="1" applyBorder="1" applyAlignment="1" applyProtection="1">
      <alignment horizontal="center" vertical="center"/>
      <protection locked="0" hidden="1"/>
    </xf>
    <xf numFmtId="3" fontId="119" fillId="0" borderId="60" xfId="72" applyNumberFormat="1" applyFont="1" applyBorder="1" applyAlignment="1" applyProtection="1">
      <alignment horizontal="right" vertical="center"/>
      <protection locked="0" hidden="1"/>
    </xf>
    <xf numFmtId="0" fontId="119" fillId="0" borderId="59" xfId="72" applyFont="1" applyBorder="1" applyAlignment="1" applyProtection="1">
      <alignment horizontal="left" vertical="center"/>
      <protection locked="0" hidden="1"/>
    </xf>
    <xf numFmtId="5" fontId="119" fillId="19" borderId="66" xfId="73" applyNumberFormat="1" applyFont="1" applyFill="1" applyBorder="1" applyAlignment="1" applyProtection="1">
      <alignment horizontal="right" vertical="center"/>
      <protection locked="0" hidden="1"/>
    </xf>
    <xf numFmtId="164" fontId="119" fillId="0" borderId="69" xfId="73" applyNumberFormat="1" applyFont="1" applyBorder="1" applyAlignment="1" applyProtection="1">
      <alignment vertical="center"/>
      <protection locked="0" hidden="1"/>
    </xf>
    <xf numFmtId="164" fontId="119"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19" fillId="27" borderId="69" xfId="73" applyNumberFormat="1" applyFont="1" applyFill="1" applyBorder="1" applyAlignment="1" applyProtection="1">
      <alignment vertical="center"/>
      <protection hidden="1"/>
    </xf>
    <xf numFmtId="166" fontId="119" fillId="27" borderId="19" xfId="73" applyNumberFormat="1" applyFont="1" applyFill="1" applyBorder="1" applyAlignment="1" applyProtection="1">
      <alignment vertical="center"/>
      <protection hidden="1"/>
    </xf>
    <xf numFmtId="166" fontId="119" fillId="27" borderId="4" xfId="73" applyNumberFormat="1" applyFont="1" applyFill="1" applyBorder="1" applyAlignment="1" applyProtection="1">
      <alignment horizontal="right" vertical="center"/>
      <protection hidden="1"/>
    </xf>
    <xf numFmtId="5" fontId="119" fillId="27" borderId="57" xfId="73" applyNumberFormat="1" applyFont="1" applyFill="1" applyBorder="1" applyAlignment="1" applyProtection="1">
      <alignment horizontal="right" vertical="center"/>
      <protection hidden="1"/>
    </xf>
    <xf numFmtId="5" fontId="119" fillId="27" borderId="91" xfId="73" applyNumberFormat="1" applyFont="1" applyFill="1" applyBorder="1" applyAlignment="1" applyProtection="1">
      <alignment horizontal="right" vertical="center"/>
      <protection hidden="1"/>
    </xf>
    <xf numFmtId="208" fontId="119" fillId="19" borderId="69" xfId="73" applyNumberFormat="1" applyFont="1" applyFill="1" applyBorder="1" applyAlignment="1" applyProtection="1">
      <alignment horizontal="right" vertical="center"/>
      <protection locked="0" hidden="1"/>
    </xf>
    <xf numFmtId="3" fontId="119" fillId="19" borderId="91" xfId="73" applyNumberFormat="1" applyFont="1" applyFill="1" applyBorder="1" applyAlignment="1" applyProtection="1">
      <alignment horizontal="right" vertical="center"/>
      <protection locked="0" hidden="1"/>
    </xf>
    <xf numFmtId="3" fontId="119" fillId="27" borderId="12" xfId="72" applyNumberFormat="1" applyFont="1" applyFill="1" applyBorder="1" applyAlignment="1" applyProtection="1">
      <alignment horizontal="right" vertical="center" indent="1"/>
      <protection hidden="1"/>
    </xf>
    <xf numFmtId="3" fontId="119" fillId="27" borderId="5" xfId="72" applyNumberFormat="1" applyFont="1" applyFill="1" applyBorder="1" applyAlignment="1" applyProtection="1">
      <alignment horizontal="right" vertical="center" indent="1"/>
      <protection hidden="1"/>
    </xf>
    <xf numFmtId="3" fontId="119" fillId="27" borderId="20" xfId="72" applyNumberFormat="1" applyFont="1" applyFill="1" applyBorder="1" applyAlignment="1" applyProtection="1">
      <alignment horizontal="right" vertical="center" indent="1"/>
      <protection hidden="1"/>
    </xf>
    <xf numFmtId="3" fontId="119"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19" fillId="0" borderId="58" xfId="73" applyNumberFormat="1" applyFont="1" applyBorder="1" applyAlignment="1" applyProtection="1">
      <alignment horizontal="center" vertical="center"/>
      <protection locked="0" hidden="1"/>
    </xf>
    <xf numFmtId="3" fontId="119" fillId="0" borderId="66" xfId="72" applyNumberFormat="1" applyFont="1" applyBorder="1" applyAlignment="1" applyProtection="1">
      <alignment horizontal="right" vertical="center"/>
      <protection locked="0" hidden="1"/>
    </xf>
    <xf numFmtId="0" fontId="60"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7" fillId="0" borderId="5" xfId="0" applyFont="1" applyBorder="1" applyAlignment="1">
      <alignment vertical="center"/>
    </xf>
    <xf numFmtId="0" fontId="47"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2"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8" fillId="0" borderId="15" xfId="0" applyNumberFormat="1" applyFont="1" applyFill="1" applyBorder="1"/>
    <xf numFmtId="0" fontId="11" fillId="0" borderId="0" xfId="40" applyFont="1" applyBorder="1" applyAlignment="1">
      <alignment vertical="center"/>
    </xf>
    <xf numFmtId="0" fontId="41" fillId="0" borderId="0" xfId="80" applyFont="1" applyBorder="1" applyAlignment="1">
      <alignment horizontal="left" vertical="center" wrapText="1"/>
    </xf>
    <xf numFmtId="0" fontId="41" fillId="0" borderId="33" xfId="80" applyFont="1" applyBorder="1" applyAlignment="1">
      <alignment horizontal="left" vertical="center" wrapText="1"/>
    </xf>
    <xf numFmtId="0" fontId="150" fillId="46" borderId="34" xfId="82" applyFont="1" applyFill="1" applyBorder="1" applyAlignment="1">
      <alignment horizontal="center" vertical="center" wrapText="1"/>
    </xf>
    <xf numFmtId="0" fontId="150" fillId="46" borderId="35" xfId="82" applyFont="1" applyFill="1" applyBorder="1" applyAlignment="1">
      <alignment horizontal="center" vertical="center" wrapText="1"/>
    </xf>
    <xf numFmtId="0" fontId="150"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5" fillId="0" borderId="40" xfId="82" applyFont="1" applyBorder="1" applyAlignment="1">
      <alignment vertical="center" wrapText="1"/>
    </xf>
    <xf numFmtId="0" fontId="115" fillId="0" borderId="41" xfId="82" applyFont="1" applyBorder="1" applyAlignment="1">
      <alignment vertical="center" wrapText="1"/>
    </xf>
    <xf numFmtId="0" fontId="115" fillId="0" borderId="30" xfId="82" applyFont="1" applyBorder="1" applyAlignment="1">
      <alignment vertical="center" wrapText="1"/>
    </xf>
    <xf numFmtId="0" fontId="115" fillId="0" borderId="21" xfId="82" applyFont="1" applyBorder="1" applyAlignment="1">
      <alignment vertical="center" wrapText="1"/>
    </xf>
    <xf numFmtId="0" fontId="115" fillId="0" borderId="37" xfId="82" applyFont="1" applyBorder="1" applyAlignment="1">
      <alignment vertical="center" wrapText="1"/>
    </xf>
    <xf numFmtId="0" fontId="115" fillId="0" borderId="39" xfId="82" applyFont="1" applyBorder="1" applyAlignment="1">
      <alignment vertical="center" wrapText="1"/>
    </xf>
    <xf numFmtId="0" fontId="115" fillId="0" borderId="38" xfId="82" applyFont="1" applyFill="1" applyBorder="1" applyAlignment="1">
      <alignment vertical="center" wrapText="1"/>
    </xf>
    <xf numFmtId="0" fontId="115" fillId="0" borderId="0" xfId="82" applyFont="1" applyFill="1" applyBorder="1" applyAlignment="1">
      <alignment vertical="center" wrapText="1"/>
    </xf>
    <xf numFmtId="0" fontId="115" fillId="0" borderId="33" xfId="82" applyFont="1" applyFill="1" applyBorder="1" applyAlignment="1">
      <alignment vertical="center" wrapText="1"/>
    </xf>
    <xf numFmtId="0" fontId="109" fillId="0" borderId="38" xfId="81" applyFont="1" applyBorder="1" applyAlignment="1" applyProtection="1">
      <alignment vertical="center"/>
    </xf>
    <xf numFmtId="0" fontId="109" fillId="0" borderId="0" xfId="81" applyFont="1" applyBorder="1" applyAlignment="1" applyProtection="1">
      <alignment vertical="center"/>
    </xf>
    <xf numFmtId="0" fontId="152" fillId="0" borderId="38" xfId="81" applyFont="1" applyBorder="1" applyAlignment="1" applyProtection="1">
      <alignment vertical="center"/>
    </xf>
    <xf numFmtId="0" fontId="152" fillId="0" borderId="0" xfId="81" applyFont="1" applyBorder="1" applyAlignment="1" applyProtection="1">
      <alignment vertical="center"/>
    </xf>
    <xf numFmtId="0" fontId="115"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5" fillId="0" borderId="0" xfId="80" applyFont="1" applyBorder="1" applyAlignment="1">
      <alignment horizontal="left" vertical="center" wrapText="1"/>
    </xf>
    <xf numFmtId="0" fontId="115"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5" fillId="0" borderId="0" xfId="82" applyFont="1" applyBorder="1" applyAlignment="1">
      <alignment vertical="center" wrapText="1"/>
    </xf>
    <xf numFmtId="0" fontId="115" fillId="0" borderId="33" xfId="82" applyFont="1" applyBorder="1" applyAlignment="1">
      <alignment vertical="center" wrapText="1"/>
    </xf>
    <xf numFmtId="0" fontId="115" fillId="0" borderId="38" xfId="82" applyFont="1" applyBorder="1" applyAlignment="1">
      <alignment vertical="center" wrapText="1"/>
    </xf>
    <xf numFmtId="0" fontId="115" fillId="0" borderId="38" xfId="82" applyFont="1" applyBorder="1" applyAlignment="1">
      <alignment vertical="center"/>
    </xf>
    <xf numFmtId="0" fontId="115" fillId="0" borderId="0" xfId="82" applyFont="1" applyBorder="1" applyAlignment="1">
      <alignment vertical="center"/>
    </xf>
    <xf numFmtId="0" fontId="115" fillId="0" borderId="33" xfId="82" applyFont="1" applyBorder="1" applyAlignment="1">
      <alignment vertical="center"/>
    </xf>
    <xf numFmtId="0" fontId="11" fillId="0" borderId="38" xfId="82" applyFont="1" applyBorder="1" applyAlignment="1" applyProtection="1">
      <alignment horizontal="center" vertical="center" wrapText="1"/>
    </xf>
    <xf numFmtId="0" fontId="109" fillId="0" borderId="38" xfId="59" applyBorder="1" applyAlignment="1" applyProtection="1">
      <alignment horizontal="center"/>
    </xf>
    <xf numFmtId="0" fontId="109" fillId="0" borderId="0" xfId="81" applyFont="1" applyBorder="1" applyAlignment="1" applyProtection="1">
      <alignment horizontal="center"/>
    </xf>
    <xf numFmtId="0" fontId="109" fillId="0" borderId="33" xfId="81" applyFont="1" applyBorder="1" applyAlignment="1" applyProtection="1">
      <alignment horizontal="center"/>
    </xf>
    <xf numFmtId="0" fontId="109" fillId="0" borderId="38" xfId="59" applyBorder="1" applyAlignment="1" applyProtection="1">
      <alignment horizontal="center" vertical="center"/>
    </xf>
    <xf numFmtId="0" fontId="152" fillId="0" borderId="0" xfId="81" applyFont="1" applyBorder="1" applyAlignment="1" applyProtection="1">
      <alignment horizontal="center" vertical="center"/>
    </xf>
    <xf numFmtId="0" fontId="152" fillId="0" borderId="33" xfId="81" applyFont="1" applyBorder="1" applyAlignment="1" applyProtection="1">
      <alignment horizontal="center" vertical="center"/>
    </xf>
    <xf numFmtId="0" fontId="115" fillId="0" borderId="0" xfId="80" applyFont="1" applyBorder="1" applyAlignment="1">
      <alignment horizontal="center" vertical="center"/>
    </xf>
    <xf numFmtId="0" fontId="150" fillId="46" borderId="34" xfId="80" applyFont="1" applyFill="1" applyBorder="1" applyAlignment="1">
      <alignment horizontal="center" vertical="center" wrapText="1"/>
    </xf>
    <xf numFmtId="0" fontId="150" fillId="46" borderId="35" xfId="80" applyFont="1" applyFill="1" applyBorder="1" applyAlignment="1">
      <alignment horizontal="center" vertical="center" wrapText="1"/>
    </xf>
    <xf numFmtId="0" fontId="150"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5" fillId="0" borderId="40" xfId="80" applyFont="1" applyBorder="1" applyAlignment="1">
      <alignment vertical="center" wrapText="1"/>
    </xf>
    <xf numFmtId="0" fontId="115" fillId="0" borderId="41" xfId="80" applyFont="1" applyBorder="1" applyAlignment="1">
      <alignment vertical="center" wrapText="1"/>
    </xf>
    <xf numFmtId="0" fontId="115" fillId="0" borderId="30" xfId="80" applyFont="1" applyBorder="1" applyAlignment="1">
      <alignment vertical="center" wrapText="1"/>
    </xf>
    <xf numFmtId="0" fontId="115" fillId="0" borderId="21" xfId="80" applyFont="1" applyBorder="1" applyAlignment="1">
      <alignment vertical="center" wrapText="1"/>
    </xf>
    <xf numFmtId="0" fontId="115" fillId="0" borderId="37" xfId="80" applyFont="1" applyBorder="1" applyAlignment="1">
      <alignment vertical="center" wrapText="1"/>
    </xf>
    <xf numFmtId="0" fontId="115" fillId="0" borderId="39" xfId="80" applyFont="1" applyBorder="1" applyAlignment="1">
      <alignment vertical="center" wrapText="1"/>
    </xf>
    <xf numFmtId="0" fontId="115" fillId="0" borderId="38" xfId="80" applyFont="1" applyFill="1" applyBorder="1" applyAlignment="1">
      <alignment vertical="center" wrapText="1"/>
    </xf>
    <xf numFmtId="0" fontId="115" fillId="0" borderId="0" xfId="80" applyFont="1" applyFill="1" applyBorder="1" applyAlignment="1">
      <alignment vertical="center" wrapText="1"/>
    </xf>
    <xf numFmtId="0" fontId="115"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09" fillId="0" borderId="38" xfId="81" applyFont="1" applyBorder="1" applyAlignment="1" applyProtection="1">
      <alignment horizontal="center" vertical="center"/>
    </xf>
    <xf numFmtId="0" fontId="10" fillId="0" borderId="38" xfId="80" applyFont="1" applyBorder="1" applyAlignment="1">
      <alignment vertical="center" wrapText="1"/>
    </xf>
    <xf numFmtId="0" fontId="115" fillId="0" borderId="0" xfId="80" applyFont="1" applyBorder="1" applyAlignment="1">
      <alignment vertical="center" wrapText="1"/>
    </xf>
    <xf numFmtId="0" fontId="115" fillId="0" borderId="33" xfId="80" applyFont="1" applyBorder="1" applyAlignment="1">
      <alignment vertical="center" wrapText="1"/>
    </xf>
    <xf numFmtId="0" fontId="115" fillId="0" borderId="38" xfId="80" applyFont="1" applyBorder="1" applyAlignment="1">
      <alignment vertical="center" wrapText="1"/>
    </xf>
    <xf numFmtId="0" fontId="115" fillId="0" borderId="38" xfId="80" applyFont="1" applyBorder="1" applyAlignment="1">
      <alignment vertical="center"/>
    </xf>
    <xf numFmtId="0" fontId="115" fillId="0" borderId="0" xfId="80" applyFont="1" applyBorder="1" applyAlignment="1">
      <alignment vertical="center"/>
    </xf>
    <xf numFmtId="0" fontId="115" fillId="0" borderId="33" xfId="80" applyFont="1" applyBorder="1" applyAlignment="1">
      <alignment vertical="center"/>
    </xf>
    <xf numFmtId="0" fontId="11" fillId="0" borderId="38" xfId="80" applyFont="1" applyBorder="1" applyAlignment="1" applyProtection="1">
      <alignment horizontal="center" vertical="center" wrapText="1"/>
    </xf>
    <xf numFmtId="0" fontId="109" fillId="0" borderId="38" xfId="81" applyFont="1" applyBorder="1" applyAlignment="1" applyProtection="1">
      <alignment horizontal="center"/>
    </xf>
    <xf numFmtId="0" fontId="159" fillId="0" borderId="0" xfId="0" applyFont="1" applyFill="1" applyAlignment="1" applyProtection="1">
      <alignment horizontal="center" vertical="center" wrapText="1"/>
      <protection hidden="1"/>
    </xf>
    <xf numFmtId="0" fontId="158" fillId="0" borderId="0" xfId="0" applyFont="1" applyAlignment="1">
      <alignment horizontal="center" wrapText="1"/>
    </xf>
    <xf numFmtId="0" fontId="86" fillId="0" borderId="0" xfId="0" applyFont="1" applyFill="1" applyAlignment="1" applyProtection="1">
      <alignment horizontal="center"/>
    </xf>
    <xf numFmtId="0" fontId="189" fillId="0" borderId="0" xfId="0" applyFont="1" applyAlignment="1">
      <alignment horizontal="center" wrapText="1"/>
    </xf>
    <xf numFmtId="0" fontId="28" fillId="0" borderId="0" xfId="0" applyFont="1" applyFill="1" applyAlignment="1" applyProtection="1">
      <alignment horizontal="center" vertical="center"/>
      <protection hidden="1"/>
    </xf>
    <xf numFmtId="0" fontId="28"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7" fillId="0" borderId="0" xfId="0" applyFont="1" applyAlignment="1">
      <alignment horizontal="left" wrapText="1"/>
    </xf>
    <xf numFmtId="0" fontId="174"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6" fillId="0" borderId="21" xfId="0" applyFont="1" applyFill="1" applyBorder="1" applyAlignment="1">
      <alignment horizontal="center" wrapText="1"/>
    </xf>
    <xf numFmtId="0" fontId="28"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7" fillId="0" borderId="5" xfId="0" applyFont="1" applyBorder="1" applyAlignment="1">
      <alignment horizontal="center" vertical="center" wrapText="1"/>
    </xf>
    <xf numFmtId="0" fontId="47"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1"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7" fillId="0" borderId="5" xfId="0" applyFont="1" applyBorder="1" applyAlignment="1">
      <alignment vertical="center"/>
    </xf>
    <xf numFmtId="0" fontId="46" fillId="0" borderId="0" xfId="0" applyFont="1" applyFill="1" applyAlignment="1" applyProtection="1">
      <alignment horizontal="left" vertical="top" wrapText="1"/>
      <protection locked="0"/>
    </xf>
    <xf numFmtId="0" fontId="86" fillId="0" borderId="21" xfId="0" applyFont="1" applyFill="1" applyBorder="1" applyAlignment="1" applyProtection="1">
      <alignment horizontal="center" wrapText="1"/>
      <protection hidden="1"/>
    </xf>
    <xf numFmtId="0" fontId="25" fillId="0" borderId="21" xfId="0" applyFont="1" applyFill="1" applyBorder="1" applyAlignment="1" applyProtection="1">
      <alignment horizontal="right" wrapText="1"/>
      <protection hidden="1"/>
    </xf>
    <xf numFmtId="0" fontId="97" fillId="23" borderId="0" xfId="0" applyFont="1" applyFill="1" applyAlignment="1">
      <alignment wrapText="1"/>
    </xf>
    <xf numFmtId="0" fontId="97" fillId="0" borderId="0" xfId="0" applyFont="1" applyAlignment="1"/>
    <xf numFmtId="0" fontId="97" fillId="23" borderId="40" xfId="0" applyFont="1" applyFill="1" applyBorder="1" applyAlignment="1">
      <alignment horizontal="center" wrapText="1"/>
    </xf>
    <xf numFmtId="0" fontId="165" fillId="15" borderId="0" xfId="0" applyFont="1" applyFill="1" applyAlignment="1" applyProtection="1">
      <alignment horizontal="left" vertical="top" wrapText="1"/>
      <protection hidden="1"/>
    </xf>
    <xf numFmtId="0" fontId="165" fillId="15" borderId="0" xfId="0" applyFont="1" applyFill="1" applyAlignment="1" applyProtection="1">
      <alignment horizontal="left"/>
      <protection hidden="1"/>
    </xf>
    <xf numFmtId="0" fontId="137" fillId="0" borderId="0" xfId="0" applyFont="1" applyFill="1" applyAlignment="1" applyProtection="1">
      <alignment horizontal="left" vertical="top"/>
      <protection locked="0"/>
    </xf>
    <xf numFmtId="0" fontId="173" fillId="0" borderId="5" xfId="0" applyFont="1" applyBorder="1" applyAlignment="1">
      <alignment vertical="center"/>
    </xf>
    <xf numFmtId="0" fontId="147" fillId="0" borderId="5" xfId="0" applyFont="1" applyBorder="1" applyAlignment="1">
      <alignment vertical="center"/>
    </xf>
    <xf numFmtId="0" fontId="47" fillId="0" borderId="11" xfId="0" applyFont="1" applyBorder="1" applyAlignment="1">
      <alignment vertical="center"/>
    </xf>
    <xf numFmtId="0" fontId="47" fillId="0" borderId="20" xfId="0" applyFont="1" applyBorder="1" applyAlignment="1">
      <alignment vertical="center"/>
    </xf>
    <xf numFmtId="0" fontId="47" fillId="0" borderId="12" xfId="0" applyFont="1" applyBorder="1" applyAlignment="1">
      <alignment vertical="center"/>
    </xf>
    <xf numFmtId="0" fontId="46" fillId="0" borderId="0" xfId="40" applyFont="1" applyAlignment="1">
      <alignment horizontal="left" vertical="top" wrapText="1"/>
    </xf>
    <xf numFmtId="0" fontId="46" fillId="0" borderId="0" xfId="40" applyFont="1" applyAlignment="1">
      <alignment vertical="top" wrapText="1"/>
    </xf>
    <xf numFmtId="0" fontId="0" fillId="0" borderId="0" xfId="0" applyAlignment="1">
      <alignment vertical="top" wrapText="1"/>
    </xf>
    <xf numFmtId="0" fontId="60" fillId="15" borderId="11" xfId="40" applyFont="1" applyFill="1" applyBorder="1" applyAlignment="1">
      <alignment horizontal="left" vertical="center"/>
    </xf>
    <xf numFmtId="0" fontId="60" fillId="15" borderId="20" xfId="40" applyFont="1" applyFill="1" applyBorder="1" applyAlignment="1">
      <alignment horizontal="left" vertical="center"/>
    </xf>
    <xf numFmtId="0" fontId="60" fillId="15" borderId="12" xfId="40" applyFont="1" applyFill="1" applyBorder="1" applyAlignment="1">
      <alignment horizontal="left" vertical="center"/>
    </xf>
    <xf numFmtId="0" fontId="86"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5"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5" fillId="15" borderId="0" xfId="40" applyFont="1" applyFill="1" applyAlignment="1" applyProtection="1">
      <alignment horizontal="left" vertical="center"/>
      <protection locked="0"/>
    </xf>
    <xf numFmtId="0" fontId="193" fillId="0" borderId="0" xfId="40" applyFont="1" applyAlignment="1">
      <alignment horizontal="left" wrapText="1"/>
    </xf>
    <xf numFmtId="0" fontId="201"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7"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6"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6" fillId="0" borderId="4" xfId="0" applyFont="1" applyBorder="1" applyAlignment="1">
      <alignment horizontal="left" wrapText="1"/>
    </xf>
    <xf numFmtId="0" fontId="0" fillId="0" borderId="4" xfId="0" applyBorder="1" applyAlignment="1">
      <alignment horizontal="left" vertical="top"/>
    </xf>
    <xf numFmtId="0" fontId="166" fillId="0" borderId="13" xfId="0" applyFont="1" applyFill="1" applyBorder="1" applyAlignment="1" applyProtection="1">
      <alignment horizontal="left" vertical="top" wrapText="1"/>
      <protection hidden="1"/>
    </xf>
    <xf numFmtId="0" fontId="95" fillId="0" borderId="8" xfId="0" applyFont="1" applyBorder="1" applyAlignment="1">
      <alignment horizontal="left"/>
    </xf>
    <xf numFmtId="0" fontId="95" fillId="0" borderId="13" xfId="0" applyFont="1" applyBorder="1" applyAlignment="1">
      <alignment horizontal="left"/>
    </xf>
    <xf numFmtId="0" fontId="86"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6"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1" fillId="0" borderId="11" xfId="0" applyFont="1" applyBorder="1" applyAlignment="1">
      <alignment horizontal="center" wrapText="1"/>
    </xf>
    <xf numFmtId="0" fontId="51"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6" fillId="0" borderId="13" xfId="0" applyFont="1" applyFill="1" applyBorder="1" applyAlignment="1" applyProtection="1">
      <alignment horizontal="left" vertical="center" wrapText="1"/>
      <protection hidden="1"/>
    </xf>
    <xf numFmtId="0" fontId="103" fillId="0" borderId="8" xfId="0" applyFont="1" applyBorder="1" applyAlignment="1">
      <alignment horizontal="left"/>
    </xf>
    <xf numFmtId="0" fontId="103" fillId="0" borderId="13" xfId="0" applyFont="1" applyBorder="1" applyAlignment="1">
      <alignment horizontal="left"/>
    </xf>
    <xf numFmtId="0" fontId="166"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5"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4"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4" fillId="0" borderId="0" xfId="0" applyFont="1" applyFill="1" applyBorder="1" applyAlignment="1" applyProtection="1">
      <alignment horizontal="left" vertical="top" wrapText="1"/>
      <protection hidden="1"/>
    </xf>
    <xf numFmtId="0" fontId="97"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7" fillId="0" borderId="0" xfId="0" applyFont="1" applyAlignment="1">
      <alignment horizontal="left" wrapText="1"/>
    </xf>
    <xf numFmtId="0" fontId="180" fillId="0" borderId="0" xfId="0" applyFont="1" applyAlignment="1">
      <alignment horizontal="left" vertical="top" wrapText="1"/>
    </xf>
    <xf numFmtId="0" fontId="180"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0"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8" fillId="15" borderId="0" xfId="0" applyFont="1" applyFill="1" applyAlignment="1" applyProtection="1">
      <alignment horizontal="left"/>
      <protection hidden="1"/>
    </xf>
    <xf numFmtId="0" fontId="169" fillId="0" borderId="0" xfId="0" applyFont="1" applyAlignment="1" applyProtection="1">
      <alignment horizontal="left" vertical="center" wrapText="1"/>
      <protection hidden="1"/>
    </xf>
    <xf numFmtId="0" fontId="203"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6"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5" fillId="0" borderId="89" xfId="0" applyFont="1" applyBorder="1" applyAlignment="1" applyProtection="1">
      <alignment horizontal="center" vertical="top"/>
      <protection hidden="1"/>
    </xf>
    <xf numFmtId="0" fontId="115"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6" fillId="0" borderId="0" xfId="0" applyFont="1" applyBorder="1" applyAlignment="1">
      <alignment horizontal="left" vertical="top" wrapText="1"/>
    </xf>
    <xf numFmtId="0" fontId="46"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4"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6" fillId="0" borderId="8" xfId="0" applyFont="1" applyBorder="1" applyAlignment="1">
      <alignment horizontal="left" vertical="center"/>
    </xf>
    <xf numFmtId="0" fontId="97" fillId="0" borderId="13" xfId="0" applyFont="1" applyBorder="1" applyAlignment="1">
      <alignment vertical="center"/>
    </xf>
    <xf numFmtId="0" fontId="97" fillId="0" borderId="8" xfId="0" applyFont="1" applyBorder="1" applyAlignment="1">
      <alignment horizontal="left" vertical="center"/>
    </xf>
    <xf numFmtId="0" fontId="96" fillId="0" borderId="11" xfId="0" applyFont="1" applyBorder="1" applyAlignment="1">
      <alignment horizontal="left" vertical="center"/>
    </xf>
    <xf numFmtId="0" fontId="97" fillId="0" borderId="20" xfId="0" applyFont="1" applyBorder="1" applyAlignment="1">
      <alignment vertical="center"/>
    </xf>
    <xf numFmtId="0" fontId="96" fillId="0" borderId="14" xfId="0" applyFont="1" applyBorder="1" applyAlignment="1">
      <alignment horizontal="left" vertical="center"/>
    </xf>
    <xf numFmtId="0" fontId="97" fillId="0" borderId="0" xfId="0" applyFont="1" applyBorder="1" applyAlignment="1">
      <alignment vertical="center"/>
    </xf>
    <xf numFmtId="0" fontId="86" fillId="0" borderId="21" xfId="28" applyFont="1" applyBorder="1" applyAlignment="1" applyProtection="1">
      <alignment horizontal="center" wrapText="1"/>
      <protection hidden="1"/>
    </xf>
    <xf numFmtId="4" fontId="119" fillId="27" borderId="62" xfId="77" applyNumberFormat="1" applyFont="1" applyFill="1" applyBorder="1" applyAlignment="1" applyProtection="1">
      <alignment horizontal="left" vertical="center" wrapText="1"/>
      <protection hidden="1"/>
    </xf>
    <xf numFmtId="4" fontId="119" fillId="27" borderId="59" xfId="77" applyNumberFormat="1" applyFont="1" applyFill="1" applyBorder="1" applyAlignment="1" applyProtection="1">
      <alignment horizontal="left" vertical="center" wrapText="1"/>
      <protection hidden="1"/>
    </xf>
    <xf numFmtId="0" fontId="117" fillId="24" borderId="27" xfId="76" applyFont="1" applyFill="1" applyBorder="1" applyAlignment="1">
      <alignment horizontal="center" vertical="center" wrapText="1"/>
    </xf>
    <xf numFmtId="0" fontId="119" fillId="24" borderId="29" xfId="76" applyFont="1" applyFill="1" applyBorder="1" applyAlignment="1">
      <alignment horizontal="center" vertical="center" wrapText="1"/>
    </xf>
    <xf numFmtId="0" fontId="117" fillId="24" borderId="29" xfId="76" applyFont="1" applyFill="1" applyBorder="1" applyAlignment="1">
      <alignment horizontal="center" vertical="center" wrapText="1"/>
    </xf>
    <xf numFmtId="4" fontId="119" fillId="0" borderId="62" xfId="4" applyNumberFormat="1" applyFont="1" applyFill="1" applyBorder="1" applyAlignment="1" applyProtection="1">
      <alignment horizontal="left" vertical="center" wrapText="1"/>
      <protection locked="0"/>
    </xf>
    <xf numFmtId="4" fontId="119" fillId="0" borderId="20" xfId="4" applyNumberFormat="1" applyFont="1" applyFill="1" applyBorder="1" applyAlignment="1" applyProtection="1">
      <alignment horizontal="left" vertical="center" wrapText="1"/>
      <protection locked="0"/>
    </xf>
    <xf numFmtId="0" fontId="117" fillId="24" borderId="41" xfId="76" applyFont="1" applyFill="1" applyBorder="1" applyAlignment="1">
      <alignment horizontal="center" vertical="center" wrapText="1"/>
    </xf>
    <xf numFmtId="0" fontId="117" fillId="24" borderId="33" xfId="76" applyFont="1" applyFill="1" applyBorder="1" applyAlignment="1">
      <alignment horizontal="center" vertical="center" wrapText="1"/>
    </xf>
    <xf numFmtId="0" fontId="117" fillId="24" borderId="37" xfId="76" applyFont="1" applyFill="1" applyBorder="1" applyAlignment="1">
      <alignment horizontal="center" vertical="center" wrapText="1"/>
    </xf>
    <xf numFmtId="0" fontId="117" fillId="24" borderId="63" xfId="76" applyFont="1" applyFill="1" applyBorder="1" applyAlignment="1">
      <alignment horizontal="center" vertical="center" wrapText="1"/>
    </xf>
    <xf numFmtId="0" fontId="117" fillId="24" borderId="91" xfId="76" applyFont="1" applyFill="1" applyBorder="1" applyAlignment="1">
      <alignment horizontal="center" vertical="center" wrapText="1"/>
    </xf>
    <xf numFmtId="0" fontId="117" fillId="24" borderId="40" xfId="76" applyFont="1" applyFill="1" applyBorder="1" applyAlignment="1">
      <alignment horizontal="center" vertical="center" wrapText="1"/>
    </xf>
    <xf numFmtId="0" fontId="119" fillId="24" borderId="21" xfId="76" applyFont="1" applyFill="1" applyBorder="1" applyAlignment="1">
      <alignment horizontal="center" vertical="center" wrapText="1"/>
    </xf>
    <xf numFmtId="0" fontId="136"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19" fillId="27" borderId="63" xfId="77" applyNumberFormat="1" applyFont="1" applyFill="1" applyBorder="1" applyAlignment="1" applyProtection="1">
      <alignment horizontal="left" vertical="center" wrapText="1"/>
      <protection hidden="1"/>
    </xf>
    <xf numFmtId="4" fontId="119" fillId="27" borderId="91" xfId="77" applyNumberFormat="1" applyFont="1" applyFill="1" applyBorder="1" applyAlignment="1" applyProtection="1">
      <alignment horizontal="left" vertical="center" wrapText="1"/>
      <protection hidden="1"/>
    </xf>
    <xf numFmtId="0" fontId="165" fillId="15" borderId="0" xfId="28" applyFont="1" applyFill="1" applyBorder="1" applyAlignment="1" applyProtection="1">
      <alignment horizontal="left" vertical="center"/>
      <protection hidden="1"/>
    </xf>
    <xf numFmtId="0" fontId="117" fillId="24" borderId="42" xfId="76" applyFont="1" applyFill="1" applyBorder="1" applyAlignment="1">
      <alignment horizontal="center" vertical="center" wrapText="1"/>
    </xf>
    <xf numFmtId="0" fontId="117" fillId="24" borderId="14" xfId="76" applyFont="1" applyFill="1" applyBorder="1" applyAlignment="1">
      <alignment horizontal="center" vertical="center" wrapText="1"/>
    </xf>
    <xf numFmtId="0" fontId="117"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5" fillId="15" borderId="0" xfId="28" applyFont="1" applyFill="1" applyAlignment="1" applyProtection="1">
      <alignment horizontal="left" vertical="center"/>
      <protection hidden="1"/>
    </xf>
    <xf numFmtId="0" fontId="114" fillId="0" borderId="13" xfId="0" applyFont="1" applyBorder="1" applyAlignment="1" applyProtection="1">
      <alignment horizontal="center" wrapText="1"/>
      <protection hidden="1"/>
    </xf>
    <xf numFmtId="0" fontId="114" fillId="0" borderId="21" xfId="0" applyFont="1" applyBorder="1" applyAlignment="1" applyProtection="1">
      <alignment horizontal="center" wrapText="1"/>
      <protection hidden="1"/>
    </xf>
    <xf numFmtId="39" fontId="114" fillId="0" borderId="13" xfId="0" applyNumberFormat="1" applyFont="1" applyBorder="1" applyAlignment="1" applyProtection="1">
      <alignment horizontal="center" wrapText="1"/>
      <protection hidden="1"/>
    </xf>
    <xf numFmtId="39" fontId="114" fillId="0" borderId="21" xfId="0" applyNumberFormat="1" applyFont="1" applyBorder="1" applyAlignment="1" applyProtection="1">
      <alignment horizontal="center" wrapText="1"/>
      <protection hidden="1"/>
    </xf>
    <xf numFmtId="0" fontId="153" fillId="0" borderId="0" xfId="40" applyFont="1" applyAlignment="1">
      <alignment horizontal="left" wrapText="1"/>
    </xf>
    <xf numFmtId="0" fontId="10" fillId="0" borderId="0" xfId="40" applyFont="1" applyAlignment="1" applyProtection="1">
      <alignment wrapText="1"/>
      <protection hidden="1"/>
    </xf>
    <xf numFmtId="0" fontId="165" fillId="15" borderId="0" xfId="0" applyFont="1" applyFill="1" applyBorder="1" applyAlignment="1" applyProtection="1">
      <alignment horizontal="left" vertical="center" wrapText="1"/>
      <protection hidden="1"/>
    </xf>
    <xf numFmtId="0" fontId="111" fillId="0" borderId="0" xfId="0" applyFont="1" applyBorder="1" applyAlignment="1" applyProtection="1">
      <alignment horizontal="center" wrapText="1"/>
      <protection hidden="1"/>
    </xf>
    <xf numFmtId="0" fontId="111" fillId="0" borderId="21" xfId="0" applyFont="1" applyBorder="1" applyAlignment="1" applyProtection="1">
      <alignment horizontal="center" wrapText="1"/>
      <protection hidden="1"/>
    </xf>
    <xf numFmtId="0" fontId="111" fillId="0" borderId="0" xfId="0" applyFont="1" applyBorder="1" applyAlignment="1">
      <alignment horizontal="left" wrapText="1"/>
    </xf>
    <xf numFmtId="0" fontId="111" fillId="0" borderId="21" xfId="0" applyFont="1" applyBorder="1" applyAlignment="1">
      <alignment horizontal="left" wrapText="1"/>
    </xf>
    <xf numFmtId="0" fontId="111" fillId="0" borderId="0" xfId="0" applyFont="1" applyBorder="1" applyAlignment="1">
      <alignment horizontal="center" wrapText="1"/>
    </xf>
    <xf numFmtId="0" fontId="111" fillId="0" borderId="21" xfId="0" applyFont="1" applyBorder="1" applyAlignment="1">
      <alignment horizontal="center" wrapText="1"/>
    </xf>
    <xf numFmtId="39" fontId="111" fillId="0" borderId="0" xfId="0" applyNumberFormat="1" applyFont="1" applyBorder="1" applyAlignment="1" applyProtection="1">
      <alignment horizontal="center" wrapText="1"/>
      <protection hidden="1"/>
    </xf>
    <xf numFmtId="39" fontId="111" fillId="0" borderId="21" xfId="0" applyNumberFormat="1" applyFont="1" applyBorder="1" applyAlignment="1" applyProtection="1">
      <alignment horizontal="center" wrapText="1"/>
      <protection hidden="1"/>
    </xf>
    <xf numFmtId="0" fontId="51" fillId="0" borderId="0" xfId="40" applyFont="1" applyBorder="1" applyAlignment="1">
      <alignment horizontal="left"/>
    </xf>
    <xf numFmtId="0" fontId="86" fillId="0" borderId="21" xfId="40" applyFont="1" applyBorder="1" applyAlignment="1" applyProtection="1">
      <alignment horizontal="right"/>
      <protection hidden="1"/>
    </xf>
    <xf numFmtId="0" fontId="51" fillId="0" borderId="0" xfId="40" applyFont="1" applyBorder="1" applyAlignment="1">
      <alignment horizontal="center"/>
    </xf>
    <xf numFmtId="0" fontId="51" fillId="0" borderId="0" xfId="40" applyFont="1" applyBorder="1" applyAlignment="1">
      <alignment horizontal="center" wrapText="1"/>
    </xf>
    <xf numFmtId="0" fontId="96"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1" fillId="0" borderId="21" xfId="40" applyFont="1" applyBorder="1" applyAlignment="1">
      <alignment horizontal="center" wrapText="1"/>
    </xf>
    <xf numFmtId="0" fontId="51" fillId="0" borderId="21" xfId="40" applyFont="1" applyBorder="1" applyAlignment="1">
      <alignment horizontal="center"/>
    </xf>
    <xf numFmtId="176" fontId="51" fillId="14" borderId="10" xfId="0" applyNumberFormat="1" applyFont="1" applyFill="1" applyBorder="1" applyAlignment="1">
      <alignment horizontal="center" wrapText="1"/>
    </xf>
    <xf numFmtId="0" fontId="11" fillId="0" borderId="0" xfId="40" applyFont="1" applyBorder="1" applyAlignment="1">
      <alignment horizontal="left"/>
    </xf>
    <xf numFmtId="0" fontId="11" fillId="0" borderId="4" xfId="28" applyFont="1" applyBorder="1" applyAlignment="1">
      <alignment horizontal="center"/>
    </xf>
    <xf numFmtId="0" fontId="10" fillId="0" borderId="0" xfId="28" applyFont="1" applyBorder="1" applyAlignment="1">
      <alignment horizontal="left"/>
    </xf>
    <xf numFmtId="0" fontId="86" fillId="0" borderId="21" xfId="28" applyFont="1" applyBorder="1" applyAlignment="1">
      <alignment horizontal="center" wrapText="1"/>
    </xf>
    <xf numFmtId="0" fontId="25" fillId="0" borderId="21" xfId="0" applyFont="1" applyFill="1" applyBorder="1" applyAlignment="1">
      <alignment horizontal="right" wrapText="1"/>
    </xf>
    <xf numFmtId="0" fontId="165" fillId="15" borderId="0" xfId="28" applyFont="1" applyFill="1" applyAlignment="1">
      <alignment horizontal="left" vertical="center"/>
    </xf>
    <xf numFmtId="0" fontId="11" fillId="0" borderId="0" xfId="26" applyNumberFormat="1" applyFont="1" applyAlignment="1">
      <alignment horizontal="left" vertical="top" wrapText="1"/>
    </xf>
    <xf numFmtId="0" fontId="24" fillId="0" borderId="0" xfId="26" applyNumberFormat="1" applyFont="1" applyAlignment="1">
      <alignment horizontal="left" vertical="top" wrapText="1"/>
    </xf>
    <xf numFmtId="0" fontId="11" fillId="0" borderId="21" xfId="28" applyFont="1" applyBorder="1" applyAlignment="1">
      <alignment horizontal="left" wrapText="1"/>
    </xf>
    <xf numFmtId="0" fontId="117"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7" fillId="24" borderId="74" xfId="72" applyFont="1" applyFill="1" applyBorder="1" applyAlignment="1">
      <alignment horizontal="center" vertical="center" wrapText="1"/>
    </xf>
    <xf numFmtId="0" fontId="119" fillId="24" borderId="46" xfId="72" applyFont="1" applyFill="1" applyBorder="1" applyAlignment="1">
      <alignment horizontal="center" vertical="center" wrapText="1"/>
    </xf>
    <xf numFmtId="0" fontId="165"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0"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7" fillId="0" borderId="34" xfId="72" applyFont="1" applyBorder="1" applyAlignment="1">
      <alignment horizontal="center"/>
    </xf>
    <xf numFmtId="0" fontId="117" fillId="0" borderId="35" xfId="72" applyFont="1" applyBorder="1" applyAlignment="1">
      <alignment horizontal="center"/>
    </xf>
    <xf numFmtId="0" fontId="117" fillId="0" borderId="90" xfId="72" applyFont="1" applyBorder="1" applyAlignment="1">
      <alignment horizontal="center"/>
    </xf>
    <xf numFmtId="0" fontId="6" fillId="0" borderId="43" xfId="72" applyBorder="1" applyAlignment="1"/>
    <xf numFmtId="0" fontId="6" fillId="0" borderId="50" xfId="72" applyBorder="1" applyAlignment="1"/>
    <xf numFmtId="0" fontId="141" fillId="0" borderId="0" xfId="72" applyFont="1" applyAlignment="1">
      <alignment horizontal="center"/>
    </xf>
    <xf numFmtId="0" fontId="119"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7" fillId="24" borderId="70" xfId="72" applyFont="1" applyFill="1" applyBorder="1" applyAlignment="1">
      <alignment horizontal="center" vertical="center" wrapText="1"/>
    </xf>
    <xf numFmtId="0" fontId="119" fillId="24" borderId="49" xfId="72" applyFont="1" applyFill="1" applyBorder="1" applyAlignment="1">
      <alignment horizontal="center" vertical="center" wrapText="1"/>
    </xf>
    <xf numFmtId="0" fontId="117" fillId="24" borderId="41" xfId="72" applyFont="1" applyFill="1" applyBorder="1" applyAlignment="1">
      <alignment horizontal="center" vertical="center" wrapText="1"/>
    </xf>
    <xf numFmtId="0" fontId="119" fillId="24" borderId="37" xfId="72"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29" xfId="72" applyFont="1" applyFill="1" applyBorder="1" applyAlignment="1">
      <alignment horizontal="center" vertical="center" wrapText="1"/>
    </xf>
    <xf numFmtId="0" fontId="117" fillId="24" borderId="84" xfId="72" applyFont="1" applyFill="1" applyBorder="1" applyAlignment="1">
      <alignment horizontal="center" vertical="center" wrapText="1"/>
    </xf>
    <xf numFmtId="0" fontId="119" fillId="24" borderId="71" xfId="72" applyFont="1" applyFill="1" applyBorder="1" applyAlignment="1">
      <alignment horizontal="center" vertical="center" wrapText="1"/>
    </xf>
    <xf numFmtId="164" fontId="23" fillId="24" borderId="34" xfId="73" applyNumberFormat="1" applyFont="1" applyFill="1" applyBorder="1" applyAlignment="1">
      <alignment horizontal="center" vertical="center"/>
    </xf>
    <xf numFmtId="164" fontId="23" fillId="24" borderId="35" xfId="73" applyNumberFormat="1" applyFont="1" applyFill="1" applyBorder="1" applyAlignment="1">
      <alignment horizontal="center" vertical="center"/>
    </xf>
    <xf numFmtId="164" fontId="23" fillId="24" borderId="36" xfId="73" applyNumberFormat="1" applyFont="1" applyFill="1" applyBorder="1" applyAlignment="1">
      <alignment horizontal="center" vertical="center"/>
    </xf>
    <xf numFmtId="206" fontId="117" fillId="43" borderId="39" xfId="72" applyNumberFormat="1" applyFont="1" applyFill="1" applyBorder="1" applyAlignment="1">
      <alignment horizontal="center" vertical="center"/>
    </xf>
    <xf numFmtId="206" fontId="117" fillId="43" borderId="40" xfId="72" applyNumberFormat="1" applyFont="1" applyFill="1" applyBorder="1" applyAlignment="1">
      <alignment horizontal="center" vertical="center"/>
    </xf>
    <xf numFmtId="206" fontId="117" fillId="43" borderId="70" xfId="72" applyNumberFormat="1" applyFont="1" applyFill="1" applyBorder="1" applyAlignment="1">
      <alignment horizontal="center" vertical="center"/>
    </xf>
    <xf numFmtId="206" fontId="117" fillId="43" borderId="30" xfId="72" applyNumberFormat="1" applyFont="1" applyFill="1" applyBorder="1" applyAlignment="1">
      <alignment horizontal="center" vertical="center"/>
    </xf>
    <xf numFmtId="206" fontId="117" fillId="43" borderId="21" xfId="72" applyNumberFormat="1" applyFont="1" applyFill="1" applyBorder="1" applyAlignment="1">
      <alignment horizontal="center" vertical="center"/>
    </xf>
    <xf numFmtId="206" fontId="117" fillId="43" borderId="49" xfId="72" applyNumberFormat="1" applyFont="1" applyFill="1" applyBorder="1" applyAlignment="1">
      <alignment horizontal="center" vertical="center"/>
    </xf>
    <xf numFmtId="0" fontId="193" fillId="0" borderId="0" xfId="0" applyFont="1" applyAlignment="1">
      <alignment horizontal="left" wrapText="1"/>
    </xf>
    <xf numFmtId="0" fontId="180"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6" fillId="0" borderId="21" xfId="0" applyFont="1" applyBorder="1" applyAlignment="1" applyProtection="1">
      <alignment horizontal="center"/>
      <protection hidden="1"/>
    </xf>
    <xf numFmtId="0" fontId="117" fillId="0" borderId="0" xfId="67" applyFont="1" applyBorder="1" applyAlignment="1">
      <alignment horizontal="center"/>
    </xf>
    <xf numFmtId="0" fontId="119" fillId="0" borderId="0" xfId="67" applyFont="1" applyBorder="1" applyAlignment="1">
      <alignment horizontal="center"/>
    </xf>
    <xf numFmtId="0" fontId="117" fillId="0" borderId="39" xfId="67" applyFont="1" applyBorder="1" applyAlignment="1">
      <alignment horizontal="center"/>
    </xf>
    <xf numFmtId="0" fontId="119" fillId="0" borderId="40" xfId="67" applyFont="1" applyBorder="1" applyAlignment="1">
      <alignment horizontal="center"/>
    </xf>
    <xf numFmtId="0" fontId="119"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2" fillId="0" borderId="39" xfId="0" applyFont="1" applyBorder="1" applyAlignment="1" applyProtection="1">
      <alignment horizontal="center" vertical="center"/>
      <protection hidden="1"/>
    </xf>
    <xf numFmtId="0" fontId="172" fillId="0" borderId="30" xfId="0" applyFont="1" applyBorder="1" applyAlignment="1" applyProtection="1">
      <alignment horizontal="center" vertical="center"/>
      <protection hidden="1"/>
    </xf>
    <xf numFmtId="0" fontId="165"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4" fillId="0" borderId="0" xfId="40" applyFont="1" applyAlignment="1">
      <alignment horizontal="left" wrapText="1"/>
    </xf>
    <xf numFmtId="0" fontId="10" fillId="0" borderId="0" xfId="40" applyFont="1" applyBorder="1" applyAlignment="1">
      <alignment horizontal="left" vertical="top" wrapText="1"/>
    </xf>
    <xf numFmtId="0" fontId="86" fillId="0" borderId="21" xfId="40" applyFont="1" applyBorder="1" applyAlignment="1">
      <alignment horizontal="right" wrapText="1"/>
    </xf>
    <xf numFmtId="0" fontId="11" fillId="0" borderId="21" xfId="40" applyFont="1" applyBorder="1" applyAlignment="1">
      <alignment horizontal="center" vertical="center"/>
    </xf>
    <xf numFmtId="0" fontId="118" fillId="24" borderId="74" xfId="78" applyFont="1" applyFill="1" applyBorder="1" applyAlignment="1">
      <alignment horizontal="center" vertical="center" wrapText="1"/>
    </xf>
    <xf numFmtId="0" fontId="118" fillId="24" borderId="19" xfId="78" applyFont="1" applyFill="1" applyBorder="1" applyAlignment="1">
      <alignment horizontal="center" vertical="center" wrapText="1"/>
    </xf>
    <xf numFmtId="0" fontId="118" fillId="24" borderId="85" xfId="78" applyFont="1" applyFill="1" applyBorder="1" applyAlignment="1">
      <alignment horizontal="center" vertical="center" wrapText="1"/>
    </xf>
    <xf numFmtId="0" fontId="118" fillId="24" borderId="87" xfId="78" applyFont="1" applyFill="1" applyBorder="1" applyAlignment="1">
      <alignment horizontal="center" vertical="center" wrapText="1"/>
    </xf>
    <xf numFmtId="0" fontId="118" fillId="24" borderId="84" xfId="78" applyFont="1" applyFill="1" applyBorder="1" applyAlignment="1">
      <alignment horizontal="center" vertical="center" wrapText="1"/>
    </xf>
    <xf numFmtId="0" fontId="118"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7" fillId="0" borderId="0" xfId="40" applyFont="1" applyAlignment="1">
      <alignment horizontal="left" wrapText="1"/>
    </xf>
    <xf numFmtId="0" fontId="137" fillId="0" borderId="0" xfId="40" applyFont="1" applyBorder="1" applyAlignment="1">
      <alignment horizontal="left" wrapText="1"/>
    </xf>
    <xf numFmtId="0" fontId="136" fillId="0" borderId="0" xfId="0" applyFont="1" applyBorder="1" applyAlignment="1">
      <alignment horizontal="left" wrapText="1"/>
    </xf>
    <xf numFmtId="0" fontId="86"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6" fillId="0" borderId="0" xfId="0" applyFont="1" applyBorder="1" applyAlignment="1">
      <alignment horizontal="left" vertical="center" wrapText="1"/>
    </xf>
    <xf numFmtId="0" fontId="153" fillId="0" borderId="0" xfId="40" applyFont="1" applyAlignment="1" applyProtection="1">
      <alignment horizontal="left" wrapText="1"/>
      <protection hidden="1"/>
    </xf>
    <xf numFmtId="0" fontId="165"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6"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6" fillId="0" borderId="40" xfId="0" applyFont="1" applyFill="1" applyBorder="1" applyAlignment="1" applyProtection="1">
      <alignment horizontal="left" vertical="center"/>
      <protection hidden="1"/>
    </xf>
    <xf numFmtId="0" fontId="114" fillId="0" borderId="0" xfId="0" applyFont="1" applyBorder="1" applyAlignment="1" applyProtection="1">
      <alignment horizontal="center" vertical="center" wrapText="1"/>
      <protection hidden="1"/>
    </xf>
    <xf numFmtId="0" fontId="114" fillId="0" borderId="4" xfId="0" applyFont="1" applyBorder="1" applyAlignment="1" applyProtection="1">
      <alignment horizontal="center" vertical="center" wrapText="1"/>
      <protection hidden="1"/>
    </xf>
    <xf numFmtId="0" fontId="86"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6" fillId="0" borderId="21" xfId="40" applyFont="1" applyBorder="1" applyAlignment="1">
      <alignment horizontal="center" wrapText="1"/>
    </xf>
    <xf numFmtId="0" fontId="25"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3" fillId="0" borderId="0" xfId="40" applyFont="1" applyBorder="1" applyAlignment="1">
      <alignment horizontal="left" wrapText="1"/>
    </xf>
    <xf numFmtId="0" fontId="114"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4" fillId="0" borderId="0" xfId="0" applyNumberFormat="1" applyFont="1" applyBorder="1" applyAlignment="1" applyProtection="1">
      <alignment horizontal="center" vertical="center" wrapText="1"/>
      <protection hidden="1"/>
    </xf>
    <xf numFmtId="0" fontId="86"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5" fillId="15" borderId="0" xfId="0" applyFont="1" applyFill="1" applyAlignment="1">
      <alignment horizontal="left" vertical="center" wrapText="1"/>
    </xf>
    <xf numFmtId="0" fontId="136" fillId="0" borderId="0" xfId="0" applyFont="1" applyFill="1" applyAlignment="1">
      <alignment horizontal="left" wrapText="1"/>
    </xf>
    <xf numFmtId="0" fontId="36" fillId="0" borderId="21" xfId="0" applyFont="1" applyBorder="1" applyAlignment="1">
      <alignment horizontal="center"/>
    </xf>
    <xf numFmtId="0" fontId="32" fillId="19" borderId="40" xfId="0" applyFont="1" applyFill="1" applyBorder="1" applyAlignment="1">
      <alignment horizontal="center"/>
    </xf>
    <xf numFmtId="0" fontId="32" fillId="19" borderId="42" xfId="0" applyFont="1" applyFill="1" applyBorder="1" applyAlignment="1">
      <alignment horizontal="center"/>
    </xf>
    <xf numFmtId="0" fontId="32" fillId="19" borderId="41" xfId="0" applyFont="1" applyFill="1" applyBorder="1" applyAlignment="1">
      <alignment horizontal="center"/>
    </xf>
    <xf numFmtId="0" fontId="46"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3" fillId="19" borderId="30" xfId="0" applyFont="1" applyFill="1" applyBorder="1" applyAlignment="1">
      <alignment horizontal="center" vertical="top" wrapText="1"/>
    </xf>
    <xf numFmtId="0" fontId="153"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2" fillId="0" borderId="15" xfId="0" applyFont="1" applyBorder="1" applyAlignment="1">
      <alignment horizontal="center" wrapText="1"/>
    </xf>
    <xf numFmtId="0" fontId="22" fillId="0" borderId="18" xfId="0" applyFont="1" applyBorder="1" applyAlignment="1">
      <alignment horizontal="center" wrapText="1"/>
    </xf>
    <xf numFmtId="0" fontId="22" fillId="0" borderId="17" xfId="0" applyFont="1" applyBorder="1" applyAlignment="1">
      <alignment horizontal="center"/>
    </xf>
    <xf numFmtId="0" fontId="22" fillId="0" borderId="4" xfId="0" applyFont="1" applyBorder="1" applyAlignment="1">
      <alignment horizontal="center"/>
    </xf>
    <xf numFmtId="0" fontId="22" fillId="0" borderId="18" xfId="0" applyFont="1" applyBorder="1" applyAlignment="1">
      <alignment horizontal="center"/>
    </xf>
    <xf numFmtId="0" fontId="59" fillId="0" borderId="17" xfId="0" applyFont="1" applyBorder="1" applyAlignment="1">
      <alignment horizontal="center"/>
    </xf>
    <xf numFmtId="0" fontId="59" fillId="0" borderId="4" xfId="0" applyFont="1" applyBorder="1" applyAlignment="1">
      <alignment horizontal="center"/>
    </xf>
    <xf numFmtId="0" fontId="59" fillId="0" borderId="18" xfId="0" applyFont="1" applyBorder="1" applyAlignment="1">
      <alignment horizontal="center"/>
    </xf>
    <xf numFmtId="0" fontId="57" fillId="17" borderId="11" xfId="45" applyFont="1" applyFill="1" applyBorder="1" applyAlignment="1">
      <alignment horizontal="left" vertical="center" wrapText="1"/>
    </xf>
    <xf numFmtId="0" fontId="57" fillId="17" borderId="20" xfId="45" applyFont="1" applyFill="1" applyBorder="1" applyAlignment="1">
      <alignment horizontal="left" vertical="center" wrapText="1"/>
    </xf>
    <xf numFmtId="0" fontId="197" fillId="0" borderId="0" xfId="0" applyFont="1" applyAlignment="1">
      <alignment horizontal="center" wrapText="1"/>
    </xf>
    <xf numFmtId="0" fontId="88"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0" fillId="0" borderId="0" xfId="0" applyFont="1" applyFill="1" applyAlignment="1">
      <alignment horizontal="left" wrapText="1"/>
    </xf>
    <xf numFmtId="0" fontId="46" fillId="0" borderId="22" xfId="0" applyFont="1" applyBorder="1" applyAlignment="1">
      <alignment horizontal="right" vertical="top" wrapText="1"/>
    </xf>
    <xf numFmtId="0" fontId="50" fillId="0" borderId="11" xfId="0" applyFont="1" applyBorder="1" applyAlignment="1">
      <alignment horizontal="center" vertical="top" wrapText="1"/>
    </xf>
    <xf numFmtId="0" fontId="50" fillId="0" borderId="20" xfId="0" applyFont="1" applyBorder="1" applyAlignment="1">
      <alignment horizontal="center" vertical="top" wrapText="1"/>
    </xf>
    <xf numFmtId="0" fontId="50" fillId="0" borderId="12" xfId="0" applyFont="1" applyBorder="1" applyAlignment="1">
      <alignment horizontal="center" vertical="top" wrapText="1"/>
    </xf>
    <xf numFmtId="0" fontId="51" fillId="0" borderId="11" xfId="0" applyFont="1" applyFill="1" applyBorder="1" applyAlignment="1">
      <alignment horizontal="center"/>
    </xf>
    <xf numFmtId="0" fontId="51" fillId="0" borderId="20" xfId="0" applyFont="1" applyFill="1" applyBorder="1" applyAlignment="1">
      <alignment horizontal="center"/>
    </xf>
    <xf numFmtId="0" fontId="51" fillId="0" borderId="17" xfId="0" applyFont="1" applyBorder="1" applyAlignment="1">
      <alignment horizontal="center"/>
    </xf>
    <xf numFmtId="0" fontId="51" fillId="0" borderId="4" xfId="0" applyFont="1" applyBorder="1" applyAlignment="1">
      <alignment horizontal="center"/>
    </xf>
    <xf numFmtId="0" fontId="90" fillId="0" borderId="0" xfId="0" applyFont="1" applyAlignment="1">
      <alignment horizontal="left" vertical="top" wrapText="1"/>
    </xf>
    <xf numFmtId="0" fontId="90" fillId="0" borderId="0" xfId="0" applyFont="1" applyAlignment="1">
      <alignment horizontal="left" vertical="top"/>
    </xf>
    <xf numFmtId="0" fontId="51" fillId="0" borderId="12" xfId="0" applyFont="1" applyFill="1" applyBorder="1" applyAlignment="1">
      <alignment horizontal="center"/>
    </xf>
    <xf numFmtId="0" fontId="46" fillId="0" borderId="21" xfId="0" applyFont="1" applyBorder="1" applyAlignment="1">
      <alignment horizontal="center" vertical="top" wrapText="1"/>
    </xf>
    <xf numFmtId="0" fontId="68" fillId="0" borderId="0" xfId="0" applyFont="1" applyBorder="1" applyAlignment="1">
      <alignment horizontal="center"/>
    </xf>
    <xf numFmtId="0" fontId="68" fillId="0" borderId="15" xfId="0" applyFont="1" applyBorder="1" applyAlignment="1">
      <alignment horizontal="center"/>
    </xf>
    <xf numFmtId="44" fontId="46" fillId="0" borderId="0" xfId="6" applyFont="1" applyAlignment="1" applyProtection="1">
      <alignment horizontal="center"/>
    </xf>
    <xf numFmtId="0" fontId="97" fillId="0" borderId="0" xfId="0" applyFont="1" applyFill="1" applyBorder="1" applyAlignment="1" applyProtection="1">
      <alignment horizontal="center" wrapText="1"/>
    </xf>
    <xf numFmtId="0" fontId="97" fillId="0" borderId="0" xfId="0" applyFont="1" applyFill="1" applyBorder="1" applyAlignment="1" applyProtection="1">
      <alignment wrapText="1"/>
    </xf>
    <xf numFmtId="0" fontId="97"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3" fillId="0" borderId="0" xfId="46" applyFont="1" applyFill="1" applyBorder="1" applyAlignment="1" applyProtection="1">
      <alignment horizontal="left" wrapText="1"/>
      <protection hidden="1"/>
    </xf>
    <xf numFmtId="0" fontId="23" fillId="0" borderId="0" xfId="45" applyFont="1" applyFill="1" applyBorder="1" applyAlignment="1" applyProtection="1">
      <alignment horizontal="left" vertical="center" wrapText="1"/>
      <protection hidden="1"/>
    </xf>
    <xf numFmtId="0" fontId="97" fillId="0" borderId="0" xfId="0" applyFont="1" applyFill="1" applyAlignment="1">
      <alignment wrapText="1"/>
    </xf>
    <xf numFmtId="0" fontId="23" fillId="0" borderId="4" xfId="0" applyFont="1" applyBorder="1" applyAlignment="1">
      <alignment horizontal="left"/>
    </xf>
    <xf numFmtId="0" fontId="23"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6"/>
          <c:y val="0.23239436619718787"/>
          <c:w val="0.84116514865849679"/>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27739120"/>
        <c:axId val="27740208"/>
      </c:barChart>
      <c:catAx>
        <c:axId val="27739120"/>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27740208"/>
        <c:crosses val="autoZero"/>
        <c:auto val="1"/>
        <c:lblAlgn val="ctr"/>
        <c:lblOffset val="100"/>
        <c:tickLblSkip val="1"/>
        <c:tickMarkSkip val="1"/>
        <c:noMultiLvlLbl val="0"/>
      </c:catAx>
      <c:valAx>
        <c:axId val="27740208"/>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27739120"/>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27741840"/>
        <c:axId val="27742384"/>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27742928"/>
        <c:axId val="27746192"/>
      </c:lineChart>
      <c:catAx>
        <c:axId val="27741840"/>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27742384"/>
        <c:crosses val="autoZero"/>
        <c:auto val="0"/>
        <c:lblAlgn val="ctr"/>
        <c:lblOffset val="100"/>
        <c:tickLblSkip val="1"/>
        <c:tickMarkSkip val="1"/>
        <c:noMultiLvlLbl val="0"/>
      </c:catAx>
      <c:valAx>
        <c:axId val="27742384"/>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27741840"/>
        <c:crosses val="autoZero"/>
        <c:crossBetween val="between"/>
      </c:valAx>
      <c:catAx>
        <c:axId val="27742928"/>
        <c:scaling>
          <c:orientation val="minMax"/>
        </c:scaling>
        <c:delete val="1"/>
        <c:axPos val="b"/>
        <c:numFmt formatCode="General" sourceLinked="1"/>
        <c:majorTickMark val="out"/>
        <c:minorTickMark val="none"/>
        <c:tickLblPos val="none"/>
        <c:crossAx val="27746192"/>
        <c:crosses val="autoZero"/>
        <c:auto val="0"/>
        <c:lblAlgn val="ctr"/>
        <c:lblOffset val="100"/>
        <c:noMultiLvlLbl val="0"/>
      </c:catAx>
      <c:valAx>
        <c:axId val="27746192"/>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27742928"/>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252" name="Picture 1"/>
            <xdr:cNvPicPr>
              <a:picLocks noChangeAspect="1" noChangeArrowheads="1"/>
              <a:extLst>
                <a:ext uri="{84589F7E-364E-4C9E-8A38-B11213B215E9}">
                  <a14:cameraTool cellRange="$D$102:$L$107" spid="_x0000_s74287"/>
                </a:ext>
              </a:extLst>
            </xdr:cNvPicPr>
          </xdr:nvPicPr>
          <xdr:blipFill>
            <a:blip xmlns:r="http://schemas.openxmlformats.org/officeDocument/2006/relationships" r:embed="rId2"/>
            <a:srcRect/>
            <a:stretch>
              <a:fillRect/>
            </a:stretch>
          </xdr:blipFill>
          <xdr:spPr bwMode="auto">
            <a:xfrm>
              <a:off x="228600" y="82829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Men's Restroom</v>
          </cell>
        </row>
        <row r="15">
          <cell r="B15" t="str">
            <v>Women's Restroom</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cell r="K31" t="str">
            <v/>
          </cell>
        </row>
        <row r="32">
          <cell r="A32" t="str">
            <v xml:space="preserve">T8 U-Tube, </v>
          </cell>
          <cell r="B32" t="str">
            <v>U-Tube, (2) T8 lamps</v>
          </cell>
          <cell r="C32" t="e">
            <v>#N/A</v>
          </cell>
          <cell r="K32" t="str">
            <v/>
          </cell>
        </row>
        <row r="33">
          <cell r="A33" t="str">
            <v>CFL, 13</v>
          </cell>
          <cell r="B33" t="str">
            <v>Interior CF (1) 13W</v>
          </cell>
          <cell r="C33" t="e">
            <v>#N/A</v>
          </cell>
          <cell r="K33" t="str">
            <v>Replace Incandescent or CFL with PAR20 Screw-in Integral LED Lamp</v>
          </cell>
        </row>
        <row r="34">
          <cell r="A34" t="str">
            <v>CFL, 23</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cell r="K71" t="str">
            <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0"/>
    <col min="2" max="2" width="6.109375" style="2770" customWidth="1"/>
    <col min="3" max="3" width="9.5546875" style="2770" customWidth="1"/>
    <col min="4" max="4" width="12.88671875" style="2770" customWidth="1"/>
    <col min="5" max="5" width="26.6640625" style="2770" customWidth="1"/>
    <col min="6" max="6" width="3.6640625" style="2770" customWidth="1"/>
    <col min="7" max="7" width="5.109375" style="2770" customWidth="1"/>
    <col min="8" max="257" width="9.109375" style="2770"/>
    <col min="258" max="258" width="29" style="2770" customWidth="1"/>
    <col min="259" max="259" width="0.6640625" style="2770" customWidth="1"/>
    <col min="260" max="260" width="0.5546875" style="2770" customWidth="1"/>
    <col min="261" max="261" width="26.6640625" style="2770" customWidth="1"/>
    <col min="262" max="262" width="1.6640625" style="2770" customWidth="1"/>
    <col min="263" max="263" width="0.88671875" style="2770" customWidth="1"/>
    <col min="264" max="513" width="9.109375" style="2770"/>
    <col min="514" max="514" width="29" style="2770" customWidth="1"/>
    <col min="515" max="515" width="0.6640625" style="2770" customWidth="1"/>
    <col min="516" max="516" width="0.5546875" style="2770" customWidth="1"/>
    <col min="517" max="517" width="26.6640625" style="2770" customWidth="1"/>
    <col min="518" max="518" width="1.6640625" style="2770" customWidth="1"/>
    <col min="519" max="519" width="0.88671875" style="2770" customWidth="1"/>
    <col min="520" max="769" width="9.109375" style="2770"/>
    <col min="770" max="770" width="29" style="2770" customWidth="1"/>
    <col min="771" max="771" width="0.6640625" style="2770" customWidth="1"/>
    <col min="772" max="772" width="0.5546875" style="2770" customWidth="1"/>
    <col min="773" max="773" width="26.6640625" style="2770" customWidth="1"/>
    <col min="774" max="774" width="1.6640625" style="2770" customWidth="1"/>
    <col min="775" max="775" width="0.88671875" style="2770" customWidth="1"/>
    <col min="776" max="1025" width="9.109375" style="2770"/>
    <col min="1026" max="1026" width="29" style="2770" customWidth="1"/>
    <col min="1027" max="1027" width="0.6640625" style="2770" customWidth="1"/>
    <col min="1028" max="1028" width="0.5546875" style="2770" customWidth="1"/>
    <col min="1029" max="1029" width="26.6640625" style="2770" customWidth="1"/>
    <col min="1030" max="1030" width="1.6640625" style="2770" customWidth="1"/>
    <col min="1031" max="1031" width="0.88671875" style="2770" customWidth="1"/>
    <col min="1032" max="1281" width="9.109375" style="2770"/>
    <col min="1282" max="1282" width="29" style="2770" customWidth="1"/>
    <col min="1283" max="1283" width="0.6640625" style="2770" customWidth="1"/>
    <col min="1284" max="1284" width="0.5546875" style="2770" customWidth="1"/>
    <col min="1285" max="1285" width="26.6640625" style="2770" customWidth="1"/>
    <col min="1286" max="1286" width="1.6640625" style="2770" customWidth="1"/>
    <col min="1287" max="1287" width="0.88671875" style="2770" customWidth="1"/>
    <col min="1288" max="1537" width="9.109375" style="2770"/>
    <col min="1538" max="1538" width="29" style="2770" customWidth="1"/>
    <col min="1539" max="1539" width="0.6640625" style="2770" customWidth="1"/>
    <col min="1540" max="1540" width="0.5546875" style="2770" customWidth="1"/>
    <col min="1541" max="1541" width="26.6640625" style="2770" customWidth="1"/>
    <col min="1542" max="1542" width="1.6640625" style="2770" customWidth="1"/>
    <col min="1543" max="1543" width="0.88671875" style="2770" customWidth="1"/>
    <col min="1544" max="1793" width="9.109375" style="2770"/>
    <col min="1794" max="1794" width="29" style="2770" customWidth="1"/>
    <col min="1795" max="1795" width="0.6640625" style="2770" customWidth="1"/>
    <col min="1796" max="1796" width="0.5546875" style="2770" customWidth="1"/>
    <col min="1797" max="1797" width="26.6640625" style="2770" customWidth="1"/>
    <col min="1798" max="1798" width="1.6640625" style="2770" customWidth="1"/>
    <col min="1799" max="1799" width="0.88671875" style="2770" customWidth="1"/>
    <col min="1800" max="2049" width="9.109375" style="2770"/>
    <col min="2050" max="2050" width="29" style="2770" customWidth="1"/>
    <col min="2051" max="2051" width="0.6640625" style="2770" customWidth="1"/>
    <col min="2052" max="2052" width="0.5546875" style="2770" customWidth="1"/>
    <col min="2053" max="2053" width="26.6640625" style="2770" customWidth="1"/>
    <col min="2054" max="2054" width="1.6640625" style="2770" customWidth="1"/>
    <col min="2055" max="2055" width="0.88671875" style="2770" customWidth="1"/>
    <col min="2056" max="2305" width="9.109375" style="2770"/>
    <col min="2306" max="2306" width="29" style="2770" customWidth="1"/>
    <col min="2307" max="2307" width="0.6640625" style="2770" customWidth="1"/>
    <col min="2308" max="2308" width="0.5546875" style="2770" customWidth="1"/>
    <col min="2309" max="2309" width="26.6640625" style="2770" customWidth="1"/>
    <col min="2310" max="2310" width="1.6640625" style="2770" customWidth="1"/>
    <col min="2311" max="2311" width="0.88671875" style="2770" customWidth="1"/>
    <col min="2312" max="2561" width="9.109375" style="2770"/>
    <col min="2562" max="2562" width="29" style="2770" customWidth="1"/>
    <col min="2563" max="2563" width="0.6640625" style="2770" customWidth="1"/>
    <col min="2564" max="2564" width="0.5546875" style="2770" customWidth="1"/>
    <col min="2565" max="2565" width="26.6640625" style="2770" customWidth="1"/>
    <col min="2566" max="2566" width="1.6640625" style="2770" customWidth="1"/>
    <col min="2567" max="2567" width="0.88671875" style="2770" customWidth="1"/>
    <col min="2568" max="2817" width="9.109375" style="2770"/>
    <col min="2818" max="2818" width="29" style="2770" customWidth="1"/>
    <col min="2819" max="2819" width="0.6640625" style="2770" customWidth="1"/>
    <col min="2820" max="2820" width="0.5546875" style="2770" customWidth="1"/>
    <col min="2821" max="2821" width="26.6640625" style="2770" customWidth="1"/>
    <col min="2822" max="2822" width="1.6640625" style="2770" customWidth="1"/>
    <col min="2823" max="2823" width="0.88671875" style="2770" customWidth="1"/>
    <col min="2824" max="3073" width="9.109375" style="2770"/>
    <col min="3074" max="3074" width="29" style="2770" customWidth="1"/>
    <col min="3075" max="3075" width="0.6640625" style="2770" customWidth="1"/>
    <col min="3076" max="3076" width="0.5546875" style="2770" customWidth="1"/>
    <col min="3077" max="3077" width="26.6640625" style="2770" customWidth="1"/>
    <col min="3078" max="3078" width="1.6640625" style="2770" customWidth="1"/>
    <col min="3079" max="3079" width="0.88671875" style="2770" customWidth="1"/>
    <col min="3080" max="3329" width="9.109375" style="2770"/>
    <col min="3330" max="3330" width="29" style="2770" customWidth="1"/>
    <col min="3331" max="3331" width="0.6640625" style="2770" customWidth="1"/>
    <col min="3332" max="3332" width="0.5546875" style="2770" customWidth="1"/>
    <col min="3333" max="3333" width="26.6640625" style="2770" customWidth="1"/>
    <col min="3334" max="3334" width="1.6640625" style="2770" customWidth="1"/>
    <col min="3335" max="3335" width="0.88671875" style="2770" customWidth="1"/>
    <col min="3336" max="3585" width="9.109375" style="2770"/>
    <col min="3586" max="3586" width="29" style="2770" customWidth="1"/>
    <col min="3587" max="3587" width="0.6640625" style="2770" customWidth="1"/>
    <col min="3588" max="3588" width="0.5546875" style="2770" customWidth="1"/>
    <col min="3589" max="3589" width="26.6640625" style="2770" customWidth="1"/>
    <col min="3590" max="3590" width="1.6640625" style="2770" customWidth="1"/>
    <col min="3591" max="3591" width="0.88671875" style="2770" customWidth="1"/>
    <col min="3592" max="3841" width="9.109375" style="2770"/>
    <col min="3842" max="3842" width="29" style="2770" customWidth="1"/>
    <col min="3843" max="3843" width="0.6640625" style="2770" customWidth="1"/>
    <col min="3844" max="3844" width="0.5546875" style="2770" customWidth="1"/>
    <col min="3845" max="3845" width="26.6640625" style="2770" customWidth="1"/>
    <col min="3846" max="3846" width="1.6640625" style="2770" customWidth="1"/>
    <col min="3847" max="3847" width="0.88671875" style="2770" customWidth="1"/>
    <col min="3848" max="4097" width="9.109375" style="2770"/>
    <col min="4098" max="4098" width="29" style="2770" customWidth="1"/>
    <col min="4099" max="4099" width="0.6640625" style="2770" customWidth="1"/>
    <col min="4100" max="4100" width="0.5546875" style="2770" customWidth="1"/>
    <col min="4101" max="4101" width="26.6640625" style="2770" customWidth="1"/>
    <col min="4102" max="4102" width="1.6640625" style="2770" customWidth="1"/>
    <col min="4103" max="4103" width="0.88671875" style="2770" customWidth="1"/>
    <col min="4104" max="4353" width="9.109375" style="2770"/>
    <col min="4354" max="4354" width="29" style="2770" customWidth="1"/>
    <col min="4355" max="4355" width="0.6640625" style="2770" customWidth="1"/>
    <col min="4356" max="4356" width="0.5546875" style="2770" customWidth="1"/>
    <col min="4357" max="4357" width="26.6640625" style="2770" customWidth="1"/>
    <col min="4358" max="4358" width="1.6640625" style="2770" customWidth="1"/>
    <col min="4359" max="4359" width="0.88671875" style="2770" customWidth="1"/>
    <col min="4360" max="4609" width="9.109375" style="2770"/>
    <col min="4610" max="4610" width="29" style="2770" customWidth="1"/>
    <col min="4611" max="4611" width="0.6640625" style="2770" customWidth="1"/>
    <col min="4612" max="4612" width="0.5546875" style="2770" customWidth="1"/>
    <col min="4613" max="4613" width="26.6640625" style="2770" customWidth="1"/>
    <col min="4614" max="4614" width="1.6640625" style="2770" customWidth="1"/>
    <col min="4615" max="4615" width="0.88671875" style="2770" customWidth="1"/>
    <col min="4616" max="4865" width="9.109375" style="2770"/>
    <col min="4866" max="4866" width="29" style="2770" customWidth="1"/>
    <col min="4867" max="4867" width="0.6640625" style="2770" customWidth="1"/>
    <col min="4868" max="4868" width="0.5546875" style="2770" customWidth="1"/>
    <col min="4869" max="4869" width="26.6640625" style="2770" customWidth="1"/>
    <col min="4870" max="4870" width="1.6640625" style="2770" customWidth="1"/>
    <col min="4871" max="4871" width="0.88671875" style="2770" customWidth="1"/>
    <col min="4872" max="5121" width="9.109375" style="2770"/>
    <col min="5122" max="5122" width="29" style="2770" customWidth="1"/>
    <col min="5123" max="5123" width="0.6640625" style="2770" customWidth="1"/>
    <col min="5124" max="5124" width="0.5546875" style="2770" customWidth="1"/>
    <col min="5125" max="5125" width="26.6640625" style="2770" customWidth="1"/>
    <col min="5126" max="5126" width="1.6640625" style="2770" customWidth="1"/>
    <col min="5127" max="5127" width="0.88671875" style="2770" customWidth="1"/>
    <col min="5128" max="5377" width="9.109375" style="2770"/>
    <col min="5378" max="5378" width="29" style="2770" customWidth="1"/>
    <col min="5379" max="5379" width="0.6640625" style="2770" customWidth="1"/>
    <col min="5380" max="5380" width="0.5546875" style="2770" customWidth="1"/>
    <col min="5381" max="5381" width="26.6640625" style="2770" customWidth="1"/>
    <col min="5382" max="5382" width="1.6640625" style="2770" customWidth="1"/>
    <col min="5383" max="5383" width="0.88671875" style="2770" customWidth="1"/>
    <col min="5384" max="5633" width="9.109375" style="2770"/>
    <col min="5634" max="5634" width="29" style="2770" customWidth="1"/>
    <col min="5635" max="5635" width="0.6640625" style="2770" customWidth="1"/>
    <col min="5636" max="5636" width="0.5546875" style="2770" customWidth="1"/>
    <col min="5637" max="5637" width="26.6640625" style="2770" customWidth="1"/>
    <col min="5638" max="5638" width="1.6640625" style="2770" customWidth="1"/>
    <col min="5639" max="5639" width="0.88671875" style="2770" customWidth="1"/>
    <col min="5640" max="5889" width="9.109375" style="2770"/>
    <col min="5890" max="5890" width="29" style="2770" customWidth="1"/>
    <col min="5891" max="5891" width="0.6640625" style="2770" customWidth="1"/>
    <col min="5892" max="5892" width="0.5546875" style="2770" customWidth="1"/>
    <col min="5893" max="5893" width="26.6640625" style="2770" customWidth="1"/>
    <col min="5894" max="5894" width="1.6640625" style="2770" customWidth="1"/>
    <col min="5895" max="5895" width="0.88671875" style="2770" customWidth="1"/>
    <col min="5896" max="6145" width="9.109375" style="2770"/>
    <col min="6146" max="6146" width="29" style="2770" customWidth="1"/>
    <col min="6147" max="6147" width="0.6640625" style="2770" customWidth="1"/>
    <col min="6148" max="6148" width="0.5546875" style="2770" customWidth="1"/>
    <col min="6149" max="6149" width="26.6640625" style="2770" customWidth="1"/>
    <col min="6150" max="6150" width="1.6640625" style="2770" customWidth="1"/>
    <col min="6151" max="6151" width="0.88671875" style="2770" customWidth="1"/>
    <col min="6152" max="6401" width="9.109375" style="2770"/>
    <col min="6402" max="6402" width="29" style="2770" customWidth="1"/>
    <col min="6403" max="6403" width="0.6640625" style="2770" customWidth="1"/>
    <col min="6404" max="6404" width="0.5546875" style="2770" customWidth="1"/>
    <col min="6405" max="6405" width="26.6640625" style="2770" customWidth="1"/>
    <col min="6406" max="6406" width="1.6640625" style="2770" customWidth="1"/>
    <col min="6407" max="6407" width="0.88671875" style="2770" customWidth="1"/>
    <col min="6408" max="6657" width="9.109375" style="2770"/>
    <col min="6658" max="6658" width="29" style="2770" customWidth="1"/>
    <col min="6659" max="6659" width="0.6640625" style="2770" customWidth="1"/>
    <col min="6660" max="6660" width="0.5546875" style="2770" customWidth="1"/>
    <col min="6661" max="6661" width="26.6640625" style="2770" customWidth="1"/>
    <col min="6662" max="6662" width="1.6640625" style="2770" customWidth="1"/>
    <col min="6663" max="6663" width="0.88671875" style="2770" customWidth="1"/>
    <col min="6664" max="6913" width="9.109375" style="2770"/>
    <col min="6914" max="6914" width="29" style="2770" customWidth="1"/>
    <col min="6915" max="6915" width="0.6640625" style="2770" customWidth="1"/>
    <col min="6916" max="6916" width="0.5546875" style="2770" customWidth="1"/>
    <col min="6917" max="6917" width="26.6640625" style="2770" customWidth="1"/>
    <col min="6918" max="6918" width="1.6640625" style="2770" customWidth="1"/>
    <col min="6919" max="6919" width="0.88671875" style="2770" customWidth="1"/>
    <col min="6920" max="7169" width="9.109375" style="2770"/>
    <col min="7170" max="7170" width="29" style="2770" customWidth="1"/>
    <col min="7171" max="7171" width="0.6640625" style="2770" customWidth="1"/>
    <col min="7172" max="7172" width="0.5546875" style="2770" customWidth="1"/>
    <col min="7173" max="7173" width="26.6640625" style="2770" customWidth="1"/>
    <col min="7174" max="7174" width="1.6640625" style="2770" customWidth="1"/>
    <col min="7175" max="7175" width="0.88671875" style="2770" customWidth="1"/>
    <col min="7176" max="7425" width="9.109375" style="2770"/>
    <col min="7426" max="7426" width="29" style="2770" customWidth="1"/>
    <col min="7427" max="7427" width="0.6640625" style="2770" customWidth="1"/>
    <col min="7428" max="7428" width="0.5546875" style="2770" customWidth="1"/>
    <col min="7429" max="7429" width="26.6640625" style="2770" customWidth="1"/>
    <col min="7430" max="7430" width="1.6640625" style="2770" customWidth="1"/>
    <col min="7431" max="7431" width="0.88671875" style="2770" customWidth="1"/>
    <col min="7432" max="7681" width="9.109375" style="2770"/>
    <col min="7682" max="7682" width="29" style="2770" customWidth="1"/>
    <col min="7683" max="7683" width="0.6640625" style="2770" customWidth="1"/>
    <col min="7684" max="7684" width="0.5546875" style="2770" customWidth="1"/>
    <col min="7685" max="7685" width="26.6640625" style="2770" customWidth="1"/>
    <col min="7686" max="7686" width="1.6640625" style="2770" customWidth="1"/>
    <col min="7687" max="7687" width="0.88671875" style="2770" customWidth="1"/>
    <col min="7688" max="7937" width="9.109375" style="2770"/>
    <col min="7938" max="7938" width="29" style="2770" customWidth="1"/>
    <col min="7939" max="7939" width="0.6640625" style="2770" customWidth="1"/>
    <col min="7940" max="7940" width="0.5546875" style="2770" customWidth="1"/>
    <col min="7941" max="7941" width="26.6640625" style="2770" customWidth="1"/>
    <col min="7942" max="7942" width="1.6640625" style="2770" customWidth="1"/>
    <col min="7943" max="7943" width="0.88671875" style="2770" customWidth="1"/>
    <col min="7944" max="8193" width="9.109375" style="2770"/>
    <col min="8194" max="8194" width="29" style="2770" customWidth="1"/>
    <col min="8195" max="8195" width="0.6640625" style="2770" customWidth="1"/>
    <col min="8196" max="8196" width="0.5546875" style="2770" customWidth="1"/>
    <col min="8197" max="8197" width="26.6640625" style="2770" customWidth="1"/>
    <col min="8198" max="8198" width="1.6640625" style="2770" customWidth="1"/>
    <col min="8199" max="8199" width="0.88671875" style="2770" customWidth="1"/>
    <col min="8200" max="8449" width="9.109375" style="2770"/>
    <col min="8450" max="8450" width="29" style="2770" customWidth="1"/>
    <col min="8451" max="8451" width="0.6640625" style="2770" customWidth="1"/>
    <col min="8452" max="8452" width="0.5546875" style="2770" customWidth="1"/>
    <col min="8453" max="8453" width="26.6640625" style="2770" customWidth="1"/>
    <col min="8454" max="8454" width="1.6640625" style="2770" customWidth="1"/>
    <col min="8455" max="8455" width="0.88671875" style="2770" customWidth="1"/>
    <col min="8456" max="8705" width="9.109375" style="2770"/>
    <col min="8706" max="8706" width="29" style="2770" customWidth="1"/>
    <col min="8707" max="8707" width="0.6640625" style="2770" customWidth="1"/>
    <col min="8708" max="8708" width="0.5546875" style="2770" customWidth="1"/>
    <col min="8709" max="8709" width="26.6640625" style="2770" customWidth="1"/>
    <col min="8710" max="8710" width="1.6640625" style="2770" customWidth="1"/>
    <col min="8711" max="8711" width="0.88671875" style="2770" customWidth="1"/>
    <col min="8712" max="8961" width="9.109375" style="2770"/>
    <col min="8962" max="8962" width="29" style="2770" customWidth="1"/>
    <col min="8963" max="8963" width="0.6640625" style="2770" customWidth="1"/>
    <col min="8964" max="8964" width="0.5546875" style="2770" customWidth="1"/>
    <col min="8965" max="8965" width="26.6640625" style="2770" customWidth="1"/>
    <col min="8966" max="8966" width="1.6640625" style="2770" customWidth="1"/>
    <col min="8967" max="8967" width="0.88671875" style="2770" customWidth="1"/>
    <col min="8968" max="9217" width="9.109375" style="2770"/>
    <col min="9218" max="9218" width="29" style="2770" customWidth="1"/>
    <col min="9219" max="9219" width="0.6640625" style="2770" customWidth="1"/>
    <col min="9220" max="9220" width="0.5546875" style="2770" customWidth="1"/>
    <col min="9221" max="9221" width="26.6640625" style="2770" customWidth="1"/>
    <col min="9222" max="9222" width="1.6640625" style="2770" customWidth="1"/>
    <col min="9223" max="9223" width="0.88671875" style="2770" customWidth="1"/>
    <col min="9224" max="9473" width="9.109375" style="2770"/>
    <col min="9474" max="9474" width="29" style="2770" customWidth="1"/>
    <col min="9475" max="9475" width="0.6640625" style="2770" customWidth="1"/>
    <col min="9476" max="9476" width="0.5546875" style="2770" customWidth="1"/>
    <col min="9477" max="9477" width="26.6640625" style="2770" customWidth="1"/>
    <col min="9478" max="9478" width="1.6640625" style="2770" customWidth="1"/>
    <col min="9479" max="9479" width="0.88671875" style="2770" customWidth="1"/>
    <col min="9480" max="9729" width="9.109375" style="2770"/>
    <col min="9730" max="9730" width="29" style="2770" customWidth="1"/>
    <col min="9731" max="9731" width="0.6640625" style="2770" customWidth="1"/>
    <col min="9732" max="9732" width="0.5546875" style="2770" customWidth="1"/>
    <col min="9733" max="9733" width="26.6640625" style="2770" customWidth="1"/>
    <col min="9734" max="9734" width="1.6640625" style="2770" customWidth="1"/>
    <col min="9735" max="9735" width="0.88671875" style="2770" customWidth="1"/>
    <col min="9736" max="9985" width="9.109375" style="2770"/>
    <col min="9986" max="9986" width="29" style="2770" customWidth="1"/>
    <col min="9987" max="9987" width="0.6640625" style="2770" customWidth="1"/>
    <col min="9988" max="9988" width="0.5546875" style="2770" customWidth="1"/>
    <col min="9989" max="9989" width="26.6640625" style="2770" customWidth="1"/>
    <col min="9990" max="9990" width="1.6640625" style="2770" customWidth="1"/>
    <col min="9991" max="9991" width="0.88671875" style="2770" customWidth="1"/>
    <col min="9992" max="10241" width="9.109375" style="2770"/>
    <col min="10242" max="10242" width="29" style="2770" customWidth="1"/>
    <col min="10243" max="10243" width="0.6640625" style="2770" customWidth="1"/>
    <col min="10244" max="10244" width="0.5546875" style="2770" customWidth="1"/>
    <col min="10245" max="10245" width="26.6640625" style="2770" customWidth="1"/>
    <col min="10246" max="10246" width="1.6640625" style="2770" customWidth="1"/>
    <col min="10247" max="10247" width="0.88671875" style="2770" customWidth="1"/>
    <col min="10248" max="10497" width="9.109375" style="2770"/>
    <col min="10498" max="10498" width="29" style="2770" customWidth="1"/>
    <col min="10499" max="10499" width="0.6640625" style="2770" customWidth="1"/>
    <col min="10500" max="10500" width="0.5546875" style="2770" customWidth="1"/>
    <col min="10501" max="10501" width="26.6640625" style="2770" customWidth="1"/>
    <col min="10502" max="10502" width="1.6640625" style="2770" customWidth="1"/>
    <col min="10503" max="10503" width="0.88671875" style="2770" customWidth="1"/>
    <col min="10504" max="10753" width="9.109375" style="2770"/>
    <col min="10754" max="10754" width="29" style="2770" customWidth="1"/>
    <col min="10755" max="10755" width="0.6640625" style="2770" customWidth="1"/>
    <col min="10756" max="10756" width="0.5546875" style="2770" customWidth="1"/>
    <col min="10757" max="10757" width="26.6640625" style="2770" customWidth="1"/>
    <col min="10758" max="10758" width="1.6640625" style="2770" customWidth="1"/>
    <col min="10759" max="10759" width="0.88671875" style="2770" customWidth="1"/>
    <col min="10760" max="11009" width="9.109375" style="2770"/>
    <col min="11010" max="11010" width="29" style="2770" customWidth="1"/>
    <col min="11011" max="11011" width="0.6640625" style="2770" customWidth="1"/>
    <col min="11012" max="11012" width="0.5546875" style="2770" customWidth="1"/>
    <col min="11013" max="11013" width="26.6640625" style="2770" customWidth="1"/>
    <col min="11014" max="11014" width="1.6640625" style="2770" customWidth="1"/>
    <col min="11015" max="11015" width="0.88671875" style="2770" customWidth="1"/>
    <col min="11016" max="11265" width="9.109375" style="2770"/>
    <col min="11266" max="11266" width="29" style="2770" customWidth="1"/>
    <col min="11267" max="11267" width="0.6640625" style="2770" customWidth="1"/>
    <col min="11268" max="11268" width="0.5546875" style="2770" customWidth="1"/>
    <col min="11269" max="11269" width="26.6640625" style="2770" customWidth="1"/>
    <col min="11270" max="11270" width="1.6640625" style="2770" customWidth="1"/>
    <col min="11271" max="11271" width="0.88671875" style="2770" customWidth="1"/>
    <col min="11272" max="11521" width="9.109375" style="2770"/>
    <col min="11522" max="11522" width="29" style="2770" customWidth="1"/>
    <col min="11523" max="11523" width="0.6640625" style="2770" customWidth="1"/>
    <col min="11524" max="11524" width="0.5546875" style="2770" customWidth="1"/>
    <col min="11525" max="11525" width="26.6640625" style="2770" customWidth="1"/>
    <col min="11526" max="11526" width="1.6640625" style="2770" customWidth="1"/>
    <col min="11527" max="11527" width="0.88671875" style="2770" customWidth="1"/>
    <col min="11528" max="11777" width="9.109375" style="2770"/>
    <col min="11778" max="11778" width="29" style="2770" customWidth="1"/>
    <col min="11779" max="11779" width="0.6640625" style="2770" customWidth="1"/>
    <col min="11780" max="11780" width="0.5546875" style="2770" customWidth="1"/>
    <col min="11781" max="11781" width="26.6640625" style="2770" customWidth="1"/>
    <col min="11782" max="11782" width="1.6640625" style="2770" customWidth="1"/>
    <col min="11783" max="11783" width="0.88671875" style="2770" customWidth="1"/>
    <col min="11784" max="12033" width="9.109375" style="2770"/>
    <col min="12034" max="12034" width="29" style="2770" customWidth="1"/>
    <col min="12035" max="12035" width="0.6640625" style="2770" customWidth="1"/>
    <col min="12036" max="12036" width="0.5546875" style="2770" customWidth="1"/>
    <col min="12037" max="12037" width="26.6640625" style="2770" customWidth="1"/>
    <col min="12038" max="12038" width="1.6640625" style="2770" customWidth="1"/>
    <col min="12039" max="12039" width="0.88671875" style="2770" customWidth="1"/>
    <col min="12040" max="12289" width="9.109375" style="2770"/>
    <col min="12290" max="12290" width="29" style="2770" customWidth="1"/>
    <col min="12291" max="12291" width="0.6640625" style="2770" customWidth="1"/>
    <col min="12292" max="12292" width="0.5546875" style="2770" customWidth="1"/>
    <col min="12293" max="12293" width="26.6640625" style="2770" customWidth="1"/>
    <col min="12294" max="12294" width="1.6640625" style="2770" customWidth="1"/>
    <col min="12295" max="12295" width="0.88671875" style="2770" customWidth="1"/>
    <col min="12296" max="12545" width="9.109375" style="2770"/>
    <col min="12546" max="12546" width="29" style="2770" customWidth="1"/>
    <col min="12547" max="12547" width="0.6640625" style="2770" customWidth="1"/>
    <col min="12548" max="12548" width="0.5546875" style="2770" customWidth="1"/>
    <col min="12549" max="12549" width="26.6640625" style="2770" customWidth="1"/>
    <col min="12550" max="12550" width="1.6640625" style="2770" customWidth="1"/>
    <col min="12551" max="12551" width="0.88671875" style="2770" customWidth="1"/>
    <col min="12552" max="12801" width="9.109375" style="2770"/>
    <col min="12802" max="12802" width="29" style="2770" customWidth="1"/>
    <col min="12803" max="12803" width="0.6640625" style="2770" customWidth="1"/>
    <col min="12804" max="12804" width="0.5546875" style="2770" customWidth="1"/>
    <col min="12805" max="12805" width="26.6640625" style="2770" customWidth="1"/>
    <col min="12806" max="12806" width="1.6640625" style="2770" customWidth="1"/>
    <col min="12807" max="12807" width="0.88671875" style="2770" customWidth="1"/>
    <col min="12808" max="13057" width="9.109375" style="2770"/>
    <col min="13058" max="13058" width="29" style="2770" customWidth="1"/>
    <col min="13059" max="13059" width="0.6640625" style="2770" customWidth="1"/>
    <col min="13060" max="13060" width="0.5546875" style="2770" customWidth="1"/>
    <col min="13061" max="13061" width="26.6640625" style="2770" customWidth="1"/>
    <col min="13062" max="13062" width="1.6640625" style="2770" customWidth="1"/>
    <col min="13063" max="13063" width="0.88671875" style="2770" customWidth="1"/>
    <col min="13064" max="13313" width="9.109375" style="2770"/>
    <col min="13314" max="13314" width="29" style="2770" customWidth="1"/>
    <col min="13315" max="13315" width="0.6640625" style="2770" customWidth="1"/>
    <col min="13316" max="13316" width="0.5546875" style="2770" customWidth="1"/>
    <col min="13317" max="13317" width="26.6640625" style="2770" customWidth="1"/>
    <col min="13318" max="13318" width="1.6640625" style="2770" customWidth="1"/>
    <col min="13319" max="13319" width="0.88671875" style="2770" customWidth="1"/>
    <col min="13320" max="13569" width="9.109375" style="2770"/>
    <col min="13570" max="13570" width="29" style="2770" customWidth="1"/>
    <col min="13571" max="13571" width="0.6640625" style="2770" customWidth="1"/>
    <col min="13572" max="13572" width="0.5546875" style="2770" customWidth="1"/>
    <col min="13573" max="13573" width="26.6640625" style="2770" customWidth="1"/>
    <col min="13574" max="13574" width="1.6640625" style="2770" customWidth="1"/>
    <col min="13575" max="13575" width="0.88671875" style="2770" customWidth="1"/>
    <col min="13576" max="13825" width="9.109375" style="2770"/>
    <col min="13826" max="13826" width="29" style="2770" customWidth="1"/>
    <col min="13827" max="13827" width="0.6640625" style="2770" customWidth="1"/>
    <col min="13828" max="13828" width="0.5546875" style="2770" customWidth="1"/>
    <col min="13829" max="13829" width="26.6640625" style="2770" customWidth="1"/>
    <col min="13830" max="13830" width="1.6640625" style="2770" customWidth="1"/>
    <col min="13831" max="13831" width="0.88671875" style="2770" customWidth="1"/>
    <col min="13832" max="14081" width="9.109375" style="2770"/>
    <col min="14082" max="14082" width="29" style="2770" customWidth="1"/>
    <col min="14083" max="14083" width="0.6640625" style="2770" customWidth="1"/>
    <col min="14084" max="14084" width="0.5546875" style="2770" customWidth="1"/>
    <col min="14085" max="14085" width="26.6640625" style="2770" customWidth="1"/>
    <col min="14086" max="14086" width="1.6640625" style="2770" customWidth="1"/>
    <col min="14087" max="14087" width="0.88671875" style="2770" customWidth="1"/>
    <col min="14088" max="14337" width="9.109375" style="2770"/>
    <col min="14338" max="14338" width="29" style="2770" customWidth="1"/>
    <col min="14339" max="14339" width="0.6640625" style="2770" customWidth="1"/>
    <col min="14340" max="14340" width="0.5546875" style="2770" customWidth="1"/>
    <col min="14341" max="14341" width="26.6640625" style="2770" customWidth="1"/>
    <col min="14342" max="14342" width="1.6640625" style="2770" customWidth="1"/>
    <col min="14343" max="14343" width="0.88671875" style="2770" customWidth="1"/>
    <col min="14344" max="14593" width="9.109375" style="2770"/>
    <col min="14594" max="14594" width="29" style="2770" customWidth="1"/>
    <col min="14595" max="14595" width="0.6640625" style="2770" customWidth="1"/>
    <col min="14596" max="14596" width="0.5546875" style="2770" customWidth="1"/>
    <col min="14597" max="14597" width="26.6640625" style="2770" customWidth="1"/>
    <col min="14598" max="14598" width="1.6640625" style="2770" customWidth="1"/>
    <col min="14599" max="14599" width="0.88671875" style="2770" customWidth="1"/>
    <col min="14600" max="14849" width="9.109375" style="2770"/>
    <col min="14850" max="14850" width="29" style="2770" customWidth="1"/>
    <col min="14851" max="14851" width="0.6640625" style="2770" customWidth="1"/>
    <col min="14852" max="14852" width="0.5546875" style="2770" customWidth="1"/>
    <col min="14853" max="14853" width="26.6640625" style="2770" customWidth="1"/>
    <col min="14854" max="14854" width="1.6640625" style="2770" customWidth="1"/>
    <col min="14855" max="14855" width="0.88671875" style="2770" customWidth="1"/>
    <col min="14856" max="15105" width="9.109375" style="2770"/>
    <col min="15106" max="15106" width="29" style="2770" customWidth="1"/>
    <col min="15107" max="15107" width="0.6640625" style="2770" customWidth="1"/>
    <col min="15108" max="15108" width="0.5546875" style="2770" customWidth="1"/>
    <col min="15109" max="15109" width="26.6640625" style="2770" customWidth="1"/>
    <col min="15110" max="15110" width="1.6640625" style="2770" customWidth="1"/>
    <col min="15111" max="15111" width="0.88671875" style="2770" customWidth="1"/>
    <col min="15112" max="15361" width="9.109375" style="2770"/>
    <col min="15362" max="15362" width="29" style="2770" customWidth="1"/>
    <col min="15363" max="15363" width="0.6640625" style="2770" customWidth="1"/>
    <col min="15364" max="15364" width="0.5546875" style="2770" customWidth="1"/>
    <col min="15365" max="15365" width="26.6640625" style="2770" customWidth="1"/>
    <col min="15366" max="15366" width="1.6640625" style="2770" customWidth="1"/>
    <col min="15367" max="15367" width="0.88671875" style="2770" customWidth="1"/>
    <col min="15368" max="15617" width="9.109375" style="2770"/>
    <col min="15618" max="15618" width="29" style="2770" customWidth="1"/>
    <col min="15619" max="15619" width="0.6640625" style="2770" customWidth="1"/>
    <col min="15620" max="15620" width="0.5546875" style="2770" customWidth="1"/>
    <col min="15621" max="15621" width="26.6640625" style="2770" customWidth="1"/>
    <col min="15622" max="15622" width="1.6640625" style="2770" customWidth="1"/>
    <col min="15623" max="15623" width="0.88671875" style="2770" customWidth="1"/>
    <col min="15624" max="15873" width="9.109375" style="2770"/>
    <col min="15874" max="15874" width="29" style="2770" customWidth="1"/>
    <col min="15875" max="15875" width="0.6640625" style="2770" customWidth="1"/>
    <col min="15876" max="15876" width="0.5546875" style="2770" customWidth="1"/>
    <col min="15877" max="15877" width="26.6640625" style="2770" customWidth="1"/>
    <col min="15878" max="15878" width="1.6640625" style="2770" customWidth="1"/>
    <col min="15879" max="15879" width="0.88671875" style="2770" customWidth="1"/>
    <col min="15880" max="16129" width="9.109375" style="2770"/>
    <col min="16130" max="16130" width="29" style="2770" customWidth="1"/>
    <col min="16131" max="16131" width="0.6640625" style="2770" customWidth="1"/>
    <col min="16132" max="16132" width="0.5546875" style="2770" customWidth="1"/>
    <col min="16133" max="16133" width="26.6640625" style="2770" customWidth="1"/>
    <col min="16134" max="16134" width="1.6640625" style="2770" customWidth="1"/>
    <col min="16135" max="16135" width="0.88671875" style="2770" customWidth="1"/>
    <col min="16136" max="16384" width="9.109375" style="2770"/>
  </cols>
  <sheetData>
    <row r="1" spans="2:14" ht="13.8" thickBot="1"/>
    <row r="2" spans="2:14">
      <c r="B2" s="1439" t="s">
        <v>3879</v>
      </c>
      <c r="C2" s="2771"/>
      <c r="D2" s="2771"/>
      <c r="E2" s="2771"/>
      <c r="F2" s="2771"/>
      <c r="G2" s="2771"/>
      <c r="H2" s="2771"/>
      <c r="I2" s="2772"/>
      <c r="J2" s="2773"/>
    </row>
    <row r="3" spans="2:14" ht="21.75" customHeight="1" thickBot="1">
      <c r="B3" s="2774"/>
      <c r="C3" s="2775"/>
      <c r="D3" s="2775"/>
      <c r="E3" s="2775"/>
      <c r="F3" s="2775"/>
      <c r="G3" s="2775"/>
      <c r="H3" s="2775"/>
      <c r="I3" s="2775"/>
      <c r="J3" s="2776"/>
    </row>
    <row r="4" spans="2:14" ht="35.25" customHeight="1" thickBot="1">
      <c r="B4" s="2974" t="s">
        <v>3773</v>
      </c>
      <c r="C4" s="2975"/>
      <c r="D4" s="2975"/>
      <c r="E4" s="2975"/>
      <c r="F4" s="2975"/>
      <c r="G4" s="2975"/>
      <c r="H4" s="2975"/>
      <c r="I4" s="2975"/>
      <c r="J4" s="2976"/>
    </row>
    <row r="5" spans="2:14" ht="15" customHeight="1">
      <c r="B5" s="2977" t="s">
        <v>3774</v>
      </c>
      <c r="C5" s="2978"/>
      <c r="D5" s="2978"/>
      <c r="E5" s="2978"/>
      <c r="F5" s="2978"/>
      <c r="G5" s="2978"/>
      <c r="H5" s="2978"/>
      <c r="I5" s="2978"/>
      <c r="J5" s="2979"/>
    </row>
    <row r="6" spans="2:14" ht="42.75" customHeight="1" thickBot="1">
      <c r="B6" s="2980"/>
      <c r="C6" s="2981"/>
      <c r="D6" s="2981"/>
      <c r="E6" s="2981"/>
      <c r="F6" s="2981"/>
      <c r="G6" s="2981"/>
      <c r="H6" s="2981"/>
      <c r="I6" s="2981"/>
      <c r="J6" s="2982"/>
    </row>
    <row r="7" spans="2:14" ht="10.5" customHeight="1">
      <c r="B7" s="2983"/>
      <c r="C7" s="2978"/>
      <c r="D7" s="2978"/>
      <c r="E7" s="2978"/>
      <c r="F7" s="2978"/>
      <c r="G7" s="2978"/>
      <c r="H7" s="2978"/>
      <c r="I7" s="2978"/>
      <c r="J7" s="2979"/>
    </row>
    <row r="8" spans="2:14" ht="35.25" customHeight="1">
      <c r="B8" s="2984" t="s">
        <v>3429</v>
      </c>
      <c r="C8" s="2985"/>
      <c r="D8" s="2985"/>
      <c r="E8" s="2985"/>
      <c r="F8" s="2985"/>
      <c r="G8" s="2985"/>
      <c r="H8" s="2985"/>
      <c r="I8" s="2985"/>
      <c r="J8" s="2986"/>
    </row>
    <row r="9" spans="2:14" ht="19.5" customHeight="1">
      <c r="B9" s="2984"/>
      <c r="C9" s="2985"/>
      <c r="D9" s="2985"/>
      <c r="E9" s="2985"/>
      <c r="F9" s="2985"/>
      <c r="G9" s="2985"/>
      <c r="H9" s="2985"/>
      <c r="I9" s="2985"/>
      <c r="J9" s="2986"/>
      <c r="L9" s="2777"/>
      <c r="M9" s="2777"/>
      <c r="N9" s="2777"/>
    </row>
    <row r="10" spans="2:14">
      <c r="B10" s="2778"/>
      <c r="C10" s="2779"/>
      <c r="D10" s="2779"/>
      <c r="E10" s="2779"/>
      <c r="F10" s="2779"/>
      <c r="G10" s="2779"/>
      <c r="H10" s="2779"/>
      <c r="I10" s="2779"/>
      <c r="J10" s="2780"/>
    </row>
    <row r="11" spans="2:14">
      <c r="B11" s="2987" t="s">
        <v>3430</v>
      </c>
      <c r="C11" s="2988"/>
      <c r="D11" s="2988"/>
      <c r="E11" s="2988"/>
      <c r="F11" s="2781"/>
      <c r="G11" s="2781"/>
      <c r="H11" s="2781"/>
      <c r="I11" s="2781"/>
      <c r="J11" s="2782"/>
    </row>
    <row r="12" spans="2:14" ht="21" customHeight="1">
      <c r="B12" s="2989" t="s">
        <v>3431</v>
      </c>
      <c r="C12" s="2990"/>
      <c r="D12" s="2990"/>
      <c r="E12" s="2990"/>
      <c r="F12" s="2781"/>
      <c r="G12" s="2781"/>
      <c r="H12" s="2991" t="s">
        <v>3809</v>
      </c>
      <c r="I12" s="2991"/>
      <c r="J12" s="2782"/>
      <c r="L12" s="2783"/>
    </row>
    <row r="13" spans="2:14" ht="48.75" customHeight="1">
      <c r="B13" s="2992" t="s">
        <v>3436</v>
      </c>
      <c r="C13" s="2993"/>
      <c r="D13" s="2993"/>
      <c r="E13" s="2993"/>
      <c r="F13" s="2993"/>
      <c r="G13" s="2993"/>
      <c r="H13" s="2993"/>
      <c r="I13" s="2993"/>
      <c r="J13" s="2994"/>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2774"/>
      <c r="C17" s="2972" t="s">
        <v>3775</v>
      </c>
      <c r="D17" s="2972"/>
      <c r="E17" s="2972"/>
      <c r="F17" s="2972"/>
      <c r="G17" s="2972"/>
      <c r="H17" s="2972"/>
      <c r="I17" s="2972"/>
      <c r="J17" s="2973"/>
    </row>
    <row r="18" spans="2:10" ht="53.25" customHeight="1">
      <c r="B18" s="2774"/>
      <c r="C18" s="2998" t="s">
        <v>3772</v>
      </c>
      <c r="D18" s="2998"/>
      <c r="E18" s="2998"/>
      <c r="F18" s="2998"/>
      <c r="G18" s="2998"/>
      <c r="H18" s="2998"/>
      <c r="I18" s="2998"/>
      <c r="J18" s="2999"/>
    </row>
    <row r="19" spans="2:10" ht="53.25" customHeight="1">
      <c r="B19" s="2774"/>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11" t="s">
        <v>3810</v>
      </c>
      <c r="C23" s="3012"/>
      <c r="D23" s="3012"/>
      <c r="E23" s="3012"/>
      <c r="F23" s="3012"/>
      <c r="G23" s="3012"/>
      <c r="H23" s="3012"/>
      <c r="I23" s="3012"/>
      <c r="J23" s="3013"/>
    </row>
    <row r="24" spans="2:10" ht="15" customHeight="1">
      <c r="B24" s="3000" t="s">
        <v>3769</v>
      </c>
      <c r="C24" s="3001"/>
      <c r="D24" s="3001"/>
      <c r="E24" s="3001"/>
      <c r="F24" s="3001"/>
      <c r="G24" s="3001"/>
      <c r="H24" s="3001"/>
      <c r="I24" s="3001"/>
      <c r="J24" s="3002"/>
    </row>
    <row r="25" spans="2:10">
      <c r="B25" s="3003"/>
      <c r="C25" s="3001"/>
      <c r="D25" s="3001"/>
      <c r="E25" s="3001"/>
      <c r="F25" s="3001"/>
      <c r="G25" s="3001"/>
      <c r="H25" s="3001"/>
      <c r="I25" s="3001"/>
      <c r="J25" s="3002"/>
    </row>
    <row r="26" spans="2:10">
      <c r="B26" s="3004"/>
      <c r="C26" s="3005"/>
      <c r="D26" s="3005"/>
      <c r="E26" s="3005"/>
      <c r="F26" s="3005"/>
      <c r="G26" s="3005"/>
      <c r="H26" s="3005"/>
      <c r="I26" s="3005"/>
      <c r="J26" s="3006"/>
    </row>
    <row r="27" spans="2:10">
      <c r="B27" s="3004"/>
      <c r="C27" s="3005"/>
      <c r="D27" s="3005"/>
      <c r="E27" s="3005"/>
      <c r="F27" s="3005"/>
      <c r="G27" s="3005"/>
      <c r="H27" s="3005"/>
      <c r="I27" s="3005"/>
      <c r="J27" s="3006"/>
    </row>
    <row r="28" spans="2:10" ht="20.25" customHeight="1">
      <c r="B28" s="2774"/>
      <c r="C28" s="2775"/>
      <c r="D28" s="2775"/>
      <c r="E28" s="2775"/>
      <c r="F28" s="2775"/>
      <c r="G28" s="2775"/>
      <c r="H28" s="2775"/>
      <c r="I28" s="2775"/>
      <c r="J28" s="2776"/>
    </row>
    <row r="29" spans="2:10" ht="7.5" customHeight="1">
      <c r="B29" s="2774"/>
      <c r="C29" s="2775"/>
      <c r="D29" s="2775"/>
      <c r="E29" s="2775"/>
      <c r="F29" s="2775"/>
      <c r="G29" s="2775"/>
      <c r="H29" s="2775"/>
      <c r="I29" s="2775"/>
      <c r="J29" s="2776"/>
    </row>
    <row r="30" spans="2:10" ht="15" hidden="1" customHeight="1">
      <c r="B30" s="2774"/>
      <c r="C30" s="2775"/>
      <c r="D30" s="2775"/>
      <c r="E30" s="2775"/>
      <c r="F30" s="2775"/>
      <c r="G30" s="2775"/>
      <c r="H30" s="2775"/>
      <c r="I30" s="2775"/>
      <c r="J30" s="2776"/>
    </row>
    <row r="31" spans="2:10" ht="15" hidden="1" customHeight="1">
      <c r="B31" s="2774"/>
      <c r="C31" s="2775"/>
      <c r="D31" s="2775"/>
      <c r="E31" s="2775"/>
      <c r="F31" s="2775"/>
      <c r="G31" s="2775"/>
      <c r="H31" s="2775"/>
      <c r="I31" s="2775"/>
      <c r="J31" s="2776"/>
    </row>
    <row r="32" spans="2:10" ht="29.25" hidden="1" customHeight="1">
      <c r="B32" s="3007" t="s">
        <v>3434</v>
      </c>
      <c r="C32" s="2993"/>
      <c r="D32" s="2993"/>
      <c r="E32" s="2993"/>
      <c r="F32" s="2993"/>
      <c r="G32" s="2993"/>
      <c r="H32" s="2993"/>
      <c r="I32" s="2993"/>
      <c r="J32" s="2994"/>
    </row>
    <row r="33" spans="2:10" ht="33" hidden="1" customHeight="1">
      <c r="B33" s="2784"/>
      <c r="C33" s="2785"/>
      <c r="D33" s="2785"/>
      <c r="E33" s="2785"/>
      <c r="F33" s="2785"/>
      <c r="G33" s="2785"/>
      <c r="H33" s="2785"/>
      <c r="I33" s="2785"/>
      <c r="J33" s="2786"/>
    </row>
    <row r="34" spans="2:10" hidden="1">
      <c r="B34" s="3008" t="s">
        <v>3811</v>
      </c>
      <c r="C34" s="3009"/>
      <c r="D34" s="3009"/>
      <c r="E34" s="3009"/>
      <c r="F34" s="3009"/>
      <c r="G34" s="3009"/>
      <c r="H34" s="3009"/>
      <c r="I34" s="3009"/>
      <c r="J34" s="3010"/>
    </row>
    <row r="35" spans="2:10" ht="3" customHeight="1" thickBot="1">
      <c r="B35" s="2787"/>
      <c r="C35" s="2788"/>
      <c r="D35" s="2788"/>
      <c r="E35" s="2788"/>
      <c r="F35" s="2788"/>
      <c r="G35" s="2788"/>
      <c r="H35" s="2788"/>
      <c r="I35" s="2788"/>
      <c r="J35" s="2789"/>
    </row>
    <row r="36" spans="2:10">
      <c r="B36" s="2775"/>
      <c r="C36" s="2775"/>
      <c r="D36" s="2775"/>
      <c r="E36" s="2775"/>
      <c r="F36" s="2775"/>
      <c r="G36" s="2775"/>
      <c r="H36" s="2775"/>
      <c r="I36" s="2775"/>
      <c r="J36" s="2775"/>
    </row>
    <row r="37" spans="2:10">
      <c r="B37" s="2775"/>
      <c r="C37" s="2775"/>
      <c r="D37" s="2775"/>
      <c r="E37" s="2895" t="s">
        <v>3878</v>
      </c>
      <c r="F37" s="2775"/>
      <c r="G37" s="2775"/>
      <c r="H37" s="2775"/>
      <c r="I37" s="2775"/>
      <c r="J37" s="2775"/>
    </row>
    <row r="38" spans="2:10">
      <c r="B38" s="2775"/>
      <c r="C38" s="2775"/>
      <c r="D38" s="2775"/>
      <c r="E38" s="2896" t="str">
        <f>Utility_Rights</f>
        <v>All Rights Reserved</v>
      </c>
      <c r="F38" s="2775"/>
      <c r="G38" s="2775"/>
      <c r="H38" s="2775"/>
      <c r="I38" s="2775"/>
      <c r="J38" s="2775"/>
    </row>
    <row r="39" spans="2:10">
      <c r="B39" s="2775"/>
      <c r="C39" s="2775"/>
      <c r="D39" s="2775"/>
      <c r="E39" s="2775"/>
      <c r="F39" s="2775"/>
      <c r="G39" s="2775"/>
      <c r="H39" s="2775"/>
      <c r="I39" s="2775"/>
      <c r="J39" s="2775"/>
    </row>
    <row r="40" spans="2:10">
      <c r="B40" s="2775"/>
      <c r="C40" s="2775"/>
      <c r="D40" s="2775"/>
      <c r="E40" s="2775"/>
      <c r="F40" s="2775"/>
      <c r="G40" s="2775"/>
      <c r="H40" s="2775"/>
      <c r="I40" s="2775"/>
      <c r="J40" s="2775"/>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2" sqref="C2:I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08" t="s">
        <v>596</v>
      </c>
      <c r="D2" s="3108"/>
      <c r="E2" s="3108"/>
      <c r="F2" s="3108"/>
      <c r="G2" s="3108"/>
      <c r="H2" s="3108"/>
      <c r="I2" s="3108"/>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3"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3" t="str">
        <f>Utility_Rights</f>
        <v>All Rights Reserved</v>
      </c>
      <c r="K4" s="1685"/>
      <c r="L4" s="572"/>
      <c r="M4" s="572"/>
      <c r="N4" s="572"/>
      <c r="O4" s="572"/>
      <c r="P4" s="572"/>
      <c r="Q4" s="572"/>
      <c r="R4" s="572"/>
      <c r="S4" s="572"/>
      <c r="T4" s="572"/>
      <c r="U4" s="572"/>
      <c r="V4" s="572"/>
      <c r="W4" s="3048" t="s">
        <v>3871</v>
      </c>
      <c r="X4" s="3048"/>
      <c r="Y4" s="3048"/>
      <c r="Z4" s="3048"/>
      <c r="AA4" s="3048"/>
      <c r="AB4" s="3048"/>
      <c r="AC4" s="3048"/>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48"/>
      <c r="X5" s="3048"/>
      <c r="Y5" s="3048"/>
      <c r="Z5" s="3048"/>
      <c r="AA5" s="3048"/>
      <c r="AB5" s="3048"/>
      <c r="AC5" s="3048"/>
      <c r="AF5" s="572"/>
    </row>
    <row r="6" spans="1:32" ht="15.75" customHeight="1">
      <c r="A6" s="1685"/>
      <c r="B6" s="3073" t="s">
        <v>246</v>
      </c>
      <c r="C6" s="3073"/>
      <c r="D6" s="3073"/>
      <c r="E6" s="3073"/>
      <c r="F6" s="3073"/>
      <c r="G6" s="3073"/>
      <c r="H6" s="3073"/>
      <c r="I6" s="3073"/>
      <c r="J6" s="2016"/>
      <c r="K6" s="1685"/>
      <c r="L6" s="572"/>
      <c r="M6" s="572"/>
      <c r="N6" s="572"/>
      <c r="O6" s="629"/>
      <c r="P6" s="572"/>
      <c r="Q6" s="572"/>
      <c r="R6" s="572"/>
      <c r="S6" s="572"/>
      <c r="T6" s="572"/>
      <c r="U6" s="572"/>
      <c r="V6" s="572"/>
      <c r="W6" s="3048"/>
      <c r="X6" s="3048"/>
      <c r="Y6" s="3048"/>
      <c r="Z6" s="3048"/>
      <c r="AA6" s="3048"/>
      <c r="AB6" s="3048"/>
      <c r="AC6" s="3048"/>
      <c r="AF6" s="572"/>
    </row>
    <row r="7" spans="1:32" ht="35.25" customHeight="1">
      <c r="A7" s="1685"/>
      <c r="B7" s="3111" t="s">
        <v>3729</v>
      </c>
      <c r="C7" s="3111"/>
      <c r="D7" s="3111"/>
      <c r="E7" s="3111"/>
      <c r="F7" s="3111"/>
      <c r="G7" s="3111"/>
      <c r="H7" s="3111"/>
      <c r="I7" s="3111"/>
      <c r="J7" s="3111"/>
      <c r="K7" s="1685"/>
      <c r="L7" s="572"/>
      <c r="M7" s="572"/>
      <c r="N7" s="572"/>
      <c r="O7" s="2829" t="b">
        <v>0</v>
      </c>
      <c r="Q7" s="571"/>
      <c r="R7" s="571"/>
      <c r="S7" s="571"/>
      <c r="T7" s="571"/>
      <c r="U7" s="572"/>
      <c r="V7" s="572"/>
      <c r="W7" s="3097" t="s">
        <v>3829</v>
      </c>
      <c r="X7" s="3097"/>
      <c r="Y7" s="3097"/>
      <c r="Z7" s="3097"/>
      <c r="AA7" s="3097"/>
      <c r="AB7" s="3097"/>
      <c r="AC7" s="3097"/>
      <c r="AD7" s="3097"/>
      <c r="AF7" s="572"/>
    </row>
    <row r="8" spans="1:32" ht="34.5" customHeight="1">
      <c r="A8" s="1685"/>
      <c r="B8" s="3111" t="s">
        <v>2656</v>
      </c>
      <c r="C8" s="3111"/>
      <c r="D8" s="3111"/>
      <c r="E8" s="3111"/>
      <c r="F8" s="3111"/>
      <c r="G8" s="3111"/>
      <c r="H8" s="3111"/>
      <c r="I8" s="3111"/>
      <c r="J8" s="3111"/>
      <c r="K8" s="1685"/>
      <c r="L8" s="572"/>
      <c r="M8" s="572"/>
      <c r="N8" s="572"/>
      <c r="O8" s="630"/>
      <c r="P8" s="571"/>
      <c r="Q8" s="571"/>
      <c r="R8" s="571"/>
      <c r="S8" s="571"/>
      <c r="T8" s="571"/>
      <c r="U8" s="572"/>
      <c r="V8" s="572"/>
      <c r="W8" s="3097"/>
      <c r="X8" s="3097"/>
      <c r="Y8" s="3097"/>
      <c r="Z8" s="3097"/>
      <c r="AA8" s="3097"/>
      <c r="AB8" s="3097"/>
      <c r="AC8" s="3097"/>
      <c r="AD8" s="3097"/>
      <c r="AF8" s="572"/>
    </row>
    <row r="9" spans="1:32" ht="47.25" customHeight="1">
      <c r="A9" s="1685"/>
      <c r="B9" s="3111" t="s">
        <v>270</v>
      </c>
      <c r="C9" s="3111"/>
      <c r="D9" s="3111"/>
      <c r="E9" s="3111"/>
      <c r="F9" s="3111"/>
      <c r="G9" s="3111"/>
      <c r="H9" s="3111"/>
      <c r="I9" s="3111"/>
      <c r="J9" s="3111"/>
      <c r="K9" s="1694"/>
      <c r="L9" s="572"/>
      <c r="M9" s="572"/>
      <c r="N9" s="572"/>
      <c r="O9" s="630"/>
      <c r="P9" s="571"/>
      <c r="Q9" s="571"/>
      <c r="R9" s="571"/>
      <c r="S9" s="571"/>
      <c r="T9" s="571"/>
      <c r="U9" s="572"/>
      <c r="V9" s="572"/>
      <c r="W9" s="3097"/>
      <c r="X9" s="3097"/>
      <c r="Y9" s="3097"/>
      <c r="Z9" s="3097"/>
      <c r="AA9" s="3097"/>
      <c r="AB9" s="3097"/>
      <c r="AC9" s="3097"/>
      <c r="AD9" s="3097"/>
      <c r="AF9" s="572"/>
    </row>
    <row r="10" spans="1:32" ht="15.75" customHeight="1">
      <c r="A10" s="1685"/>
      <c r="B10" s="3073" t="s">
        <v>3225</v>
      </c>
      <c r="C10" s="3073"/>
      <c r="D10" s="3073"/>
      <c r="E10" s="3073"/>
      <c r="F10" s="3073"/>
      <c r="G10" s="3073"/>
      <c r="H10" s="3073"/>
      <c r="I10" s="3073"/>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09" t="s">
        <v>219</v>
      </c>
      <c r="C11" s="3109"/>
      <c r="D11" s="2020" t="s">
        <v>2166</v>
      </c>
      <c r="E11" s="2020" t="s">
        <v>332</v>
      </c>
      <c r="F11" s="2020" t="s">
        <v>211</v>
      </c>
      <c r="G11" s="2020" t="s">
        <v>212</v>
      </c>
      <c r="H11" s="2020" t="s">
        <v>213</v>
      </c>
      <c r="I11" s="2799" t="str">
        <f>IF($O$7=TRUE,"Trade Ally Proposed Cost", "Utility Estimated Cost")</f>
        <v>Utility Estimated Cost</v>
      </c>
      <c r="J11" s="2751" t="str">
        <f>Utility_Name_Cap&amp;" Incentive"</f>
        <v>PEPCO Incentive</v>
      </c>
      <c r="K11" s="1685"/>
      <c r="L11" s="2805" t="str">
        <f>IF($O$7=TRUE,"Trade Ally Costs","")</f>
        <v/>
      </c>
      <c r="M11" s="572"/>
      <c r="N11" s="572"/>
      <c r="O11" s="2640" t="s">
        <v>246</v>
      </c>
      <c r="P11" s="2641"/>
      <c r="Q11" s="2310" t="s">
        <v>332</v>
      </c>
      <c r="R11" s="2310" t="s">
        <v>2298</v>
      </c>
      <c r="S11" s="2310" t="s">
        <v>2299</v>
      </c>
      <c r="T11" s="2310" t="s">
        <v>2300</v>
      </c>
      <c r="U11" s="2310" t="s">
        <v>2301</v>
      </c>
      <c r="V11" s="2311" t="s">
        <v>2040</v>
      </c>
      <c r="W11" s="1"/>
      <c r="X11" s="1"/>
      <c r="Y11" s="1"/>
      <c r="Z11" s="572"/>
      <c r="AA11" s="572"/>
      <c r="AB11" s="572"/>
      <c r="AC11" s="572"/>
      <c r="AD11" s="572"/>
      <c r="AE11" s="572"/>
      <c r="AF11" s="572"/>
    </row>
    <row r="12" spans="1:32" ht="14.25" customHeight="1">
      <c r="A12" s="1702"/>
      <c r="B12" s="1735" t="s">
        <v>333</v>
      </c>
      <c r="C12" s="3126" t="str">
        <f>O12</f>
        <v/>
      </c>
      <c r="D12" s="3126"/>
      <c r="E12" s="3126"/>
      <c r="F12" s="3126"/>
      <c r="G12" s="3126"/>
      <c r="H12" s="3126"/>
      <c r="I12" s="3126"/>
      <c r="J12" s="2022"/>
      <c r="K12" s="1685"/>
      <c r="L12" s="2082"/>
      <c r="M12" s="572"/>
      <c r="N12" s="572">
        <v>1</v>
      </c>
      <c r="O12" s="3124" t="str">
        <f>IF(ISERROR(VLOOKUP(N12,LEDlookup,6,FALSE)),"",VLOOKUP(N12,LEDlookup,6,FALSE))</f>
        <v/>
      </c>
      <c r="P12" s="3125"/>
      <c r="Q12" s="2356">
        <f>IF(O12="",0,VLOOKUP(N12,LEDlookup,8,FALSE))</f>
        <v>0</v>
      </c>
      <c r="R12" s="2631">
        <f>IF(O12="",0,VLOOKUP(N12,LEDlookup,14,FALSE))</f>
        <v>0</v>
      </c>
      <c r="S12" s="2631">
        <f>IF(O12="",0,VLOOKUP(N12,LEDlookup,15,FALSE))</f>
        <v>0</v>
      </c>
      <c r="T12" s="2313">
        <f>IF(O12="",0,VLOOKUP(N12,LEDlookup,17,FALSE))</f>
        <v>0</v>
      </c>
      <c r="U12" s="2313">
        <f>IF(O12="",0,VLOOKUP(N12,LEDlookup,19,FALSE))</f>
        <v>0</v>
      </c>
      <c r="V12" s="2632">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4"/>
      <c r="M13" s="572"/>
      <c r="N13" s="572"/>
      <c r="O13" s="2633" t="s">
        <v>2649</v>
      </c>
      <c r="P13" s="3116">
        <f>IF(O12="",0,VLOOKUP(N12,LEDlookup,34,FALSE))</f>
        <v>0</v>
      </c>
      <c r="Q13" s="3116"/>
      <c r="R13" s="3116"/>
      <c r="S13" s="3116"/>
      <c r="T13" s="3116"/>
      <c r="U13" s="3116"/>
      <c r="V13" s="670"/>
      <c r="W13" s="2806" t="str">
        <f>IF(C12="","",IF($O$7=TRUE,"Enter Cost",""))</f>
        <v/>
      </c>
      <c r="X13" s="1"/>
      <c r="Y13" s="1"/>
      <c r="Z13" s="572"/>
      <c r="AA13" s="572"/>
      <c r="AB13" s="572"/>
      <c r="AC13" s="572"/>
      <c r="AD13" s="572"/>
      <c r="AE13" s="572"/>
      <c r="AF13" s="572"/>
    </row>
    <row r="14" spans="1:32" ht="14.25" customHeight="1">
      <c r="A14" s="1662"/>
      <c r="B14" s="3117" t="s">
        <v>479</v>
      </c>
      <c r="C14" s="3117"/>
      <c r="D14" s="3118">
        <f>P14</f>
        <v>0</v>
      </c>
      <c r="E14" s="3118"/>
      <c r="F14" s="3118"/>
      <c r="G14" s="3118"/>
      <c r="H14" s="3118"/>
      <c r="I14" s="3118"/>
      <c r="J14" s="1729"/>
      <c r="K14" s="1685"/>
      <c r="L14" s="2082"/>
      <c r="M14" s="572"/>
      <c r="N14" s="572"/>
      <c r="O14" s="2633" t="s">
        <v>2646</v>
      </c>
      <c r="P14" s="3116">
        <f>IF(O12="",0,VLOOKUP(N12,LEDlookup,32,FALSE))</f>
        <v>0</v>
      </c>
      <c r="Q14" s="3116"/>
      <c r="R14" s="3116"/>
      <c r="S14" s="3116"/>
      <c r="T14" s="3116"/>
      <c r="U14" s="3116"/>
      <c r="V14" s="670"/>
      <c r="W14" s="1"/>
      <c r="X14" s="1"/>
      <c r="Y14" s="1"/>
      <c r="Z14" s="572"/>
      <c r="AA14" s="572"/>
      <c r="AB14" s="572"/>
      <c r="AC14" s="572"/>
      <c r="AD14" s="572"/>
      <c r="AE14" s="572"/>
      <c r="AF14" s="572"/>
    </row>
    <row r="15" spans="1:32" ht="14.25" customHeight="1">
      <c r="A15" s="1662"/>
      <c r="B15" s="3127" t="s">
        <v>214</v>
      </c>
      <c r="C15" s="3127"/>
      <c r="D15" s="3130">
        <f>P15</f>
        <v>0</v>
      </c>
      <c r="E15" s="3130"/>
      <c r="F15" s="3130"/>
      <c r="G15" s="3130"/>
      <c r="H15" s="3130"/>
      <c r="I15" s="3130"/>
      <c r="J15" s="1661"/>
      <c r="K15" s="1685"/>
      <c r="L15" s="2082"/>
      <c r="M15" s="572"/>
      <c r="N15" s="572"/>
      <c r="O15" s="2634" t="s">
        <v>2647</v>
      </c>
      <c r="P15" s="3121">
        <f>IF(O12="",0,VLOOKUP(N12,LEDlookup,33,FALSE))</f>
        <v>0</v>
      </c>
      <c r="Q15" s="3121"/>
      <c r="R15" s="3121"/>
      <c r="S15" s="3121"/>
      <c r="T15" s="3121"/>
      <c r="U15" s="3121"/>
      <c r="V15" s="671"/>
      <c r="W15" s="1"/>
      <c r="X15" s="1"/>
      <c r="Y15" s="1"/>
      <c r="Z15" s="572"/>
      <c r="AA15" s="572"/>
      <c r="AB15" s="572"/>
      <c r="AC15" s="572"/>
      <c r="AD15" s="572"/>
      <c r="AE15" s="572"/>
      <c r="AF15" s="572"/>
    </row>
    <row r="16" spans="1:32" ht="14.25" customHeight="1">
      <c r="A16" s="1702"/>
      <c r="B16" s="1735" t="s">
        <v>334</v>
      </c>
      <c r="C16" s="3123" t="str">
        <f>O16</f>
        <v/>
      </c>
      <c r="D16" s="3123"/>
      <c r="E16" s="3123"/>
      <c r="F16" s="3123"/>
      <c r="G16" s="3123"/>
      <c r="H16" s="3123"/>
      <c r="I16" s="3123"/>
      <c r="J16" s="2022"/>
      <c r="K16" s="1685"/>
      <c r="L16" s="2082"/>
      <c r="M16" s="572"/>
      <c r="N16" s="20">
        <v>2</v>
      </c>
      <c r="O16" s="3124" t="str">
        <f>IF(ISERROR(VLOOKUP(N16,LEDlookup,6,FALSE)),"",VLOOKUP(N16,LEDlookup,6,FALSE))</f>
        <v/>
      </c>
      <c r="P16" s="3125"/>
      <c r="Q16" s="2356">
        <f>IF(O16="",0,VLOOKUP(N16,LEDlookup,8,FALSE))</f>
        <v>0</v>
      </c>
      <c r="R16" s="2631">
        <f>IF(O16="",0,VLOOKUP(N16,LEDlookup,14,FALSE))</f>
        <v>0</v>
      </c>
      <c r="S16" s="2631">
        <f>IF(O16="",0,VLOOKUP(N16,LEDlookup,15,FALSE))</f>
        <v>0</v>
      </c>
      <c r="T16" s="2313">
        <f>IF(O16="",0,VLOOKUP(N16,LEDlookup,17,FALSE))</f>
        <v>0</v>
      </c>
      <c r="U16" s="2313">
        <f>IF(O16="",0,VLOOKUP(N16,LEDlookup,19,FALSE))</f>
        <v>0</v>
      </c>
      <c r="V16" s="2632">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4"/>
      <c r="M17" s="572"/>
      <c r="N17" s="20"/>
      <c r="O17" s="2633" t="s">
        <v>2649</v>
      </c>
      <c r="P17" s="3116">
        <f>IF(O16="",0,VLOOKUP(N16,LEDlookup,34,FALSE))</f>
        <v>0</v>
      </c>
      <c r="Q17" s="3116"/>
      <c r="R17" s="3116"/>
      <c r="S17" s="3116"/>
      <c r="T17" s="3116"/>
      <c r="U17" s="3116"/>
      <c r="V17" s="670"/>
      <c r="W17" s="2806" t="str">
        <f>IF(C16="","",IF($O$7=TRUE,"Enter Cost",""))</f>
        <v/>
      </c>
      <c r="X17" s="1"/>
      <c r="Y17" s="1"/>
      <c r="Z17" s="572"/>
      <c r="AA17" s="572"/>
      <c r="AB17" s="572"/>
      <c r="AC17" s="572"/>
      <c r="AD17" s="572"/>
      <c r="AE17" s="572"/>
      <c r="AF17" s="572"/>
    </row>
    <row r="18" spans="1:32" ht="14.25" customHeight="1">
      <c r="A18" s="1662"/>
      <c r="B18" s="3117" t="str">
        <f>B14</f>
        <v>Existing:</v>
      </c>
      <c r="C18" s="3117"/>
      <c r="D18" s="3118">
        <f>P18</f>
        <v>0</v>
      </c>
      <c r="E18" s="3118"/>
      <c r="F18" s="3118"/>
      <c r="G18" s="3118"/>
      <c r="H18" s="3118"/>
      <c r="I18" s="3118"/>
      <c r="J18" s="1662"/>
      <c r="K18" s="1685"/>
      <c r="L18" s="2082"/>
      <c r="M18" s="572"/>
      <c r="N18" s="572"/>
      <c r="O18" s="2633" t="s">
        <v>2646</v>
      </c>
      <c r="P18" s="3116">
        <f>IF(O16="",0,VLOOKUP(N16,LEDlookup,32,FALSE))</f>
        <v>0</v>
      </c>
      <c r="Q18" s="3116"/>
      <c r="R18" s="3116"/>
      <c r="S18" s="3116"/>
      <c r="T18" s="3116"/>
      <c r="U18" s="3116"/>
      <c r="V18" s="670"/>
      <c r="W18" s="1"/>
      <c r="X18" s="1"/>
      <c r="Y18" s="1"/>
      <c r="Z18" s="572"/>
      <c r="AA18" s="572"/>
      <c r="AB18" s="572"/>
      <c r="AC18" s="572"/>
      <c r="AD18" s="572"/>
      <c r="AE18" s="572"/>
      <c r="AF18" s="572"/>
    </row>
    <row r="19" spans="1:32" ht="14.25" customHeight="1">
      <c r="A19" s="1662"/>
      <c r="B19" s="3127" t="str">
        <f>B15</f>
        <v>Proposed retrofit:</v>
      </c>
      <c r="C19" s="3127"/>
      <c r="D19" s="3130">
        <f>P19</f>
        <v>0</v>
      </c>
      <c r="E19" s="3130"/>
      <c r="F19" s="3130"/>
      <c r="G19" s="3130"/>
      <c r="H19" s="3130"/>
      <c r="I19" s="3130"/>
      <c r="J19" s="1661"/>
      <c r="K19" s="1685"/>
      <c r="L19" s="2082"/>
      <c r="M19" s="572"/>
      <c r="N19" s="572"/>
      <c r="O19" s="2634" t="s">
        <v>2647</v>
      </c>
      <c r="P19" s="3121">
        <f>IF(O16="",0,VLOOKUP(N16,LEDlookup,33,FALSE))</f>
        <v>0</v>
      </c>
      <c r="Q19" s="3121"/>
      <c r="R19" s="3121"/>
      <c r="S19" s="3121"/>
      <c r="T19" s="3121"/>
      <c r="U19" s="3121"/>
      <c r="V19" s="671"/>
      <c r="W19" s="1"/>
      <c r="X19" s="1"/>
      <c r="Y19" s="1"/>
      <c r="Z19" s="572"/>
      <c r="AA19" s="572"/>
      <c r="AB19" s="572"/>
      <c r="AC19" s="572"/>
      <c r="AD19" s="572"/>
      <c r="AE19" s="572"/>
      <c r="AF19" s="572"/>
    </row>
    <row r="20" spans="1:32" ht="14.25" customHeight="1">
      <c r="A20" s="1702"/>
      <c r="B20" s="1735" t="s">
        <v>335</v>
      </c>
      <c r="C20" s="3123" t="str">
        <f>O20</f>
        <v/>
      </c>
      <c r="D20" s="3123"/>
      <c r="E20" s="3123"/>
      <c r="F20" s="3123"/>
      <c r="G20" s="3123"/>
      <c r="H20" s="3123"/>
      <c r="I20" s="3123"/>
      <c r="J20" s="2022"/>
      <c r="K20" s="1685"/>
      <c r="L20" s="2082"/>
      <c r="M20" s="572"/>
      <c r="N20" s="572">
        <v>3</v>
      </c>
      <c r="O20" s="3124" t="str">
        <f>IF(ISERROR(VLOOKUP(N20,LEDlookup,6,FALSE)),"",VLOOKUP(N20,LEDlookup,6,FALSE))</f>
        <v/>
      </c>
      <c r="P20" s="3125"/>
      <c r="Q20" s="2356">
        <f>IF(O20="",0,VLOOKUP(N20,LEDlookup,8,FALSE))</f>
        <v>0</v>
      </c>
      <c r="R20" s="2631">
        <f>IF(O20="",0,VLOOKUP(N20,LEDlookup,14,FALSE))</f>
        <v>0</v>
      </c>
      <c r="S20" s="2631">
        <f>IF(O20="",0,VLOOKUP(N20,LEDlookup,15,FALSE))</f>
        <v>0</v>
      </c>
      <c r="T20" s="2313">
        <f>IF(O20="",0,VLOOKUP(N20,LEDlookup,17,FALSE))</f>
        <v>0</v>
      </c>
      <c r="U20" s="2313">
        <f>IF(O20="",0,VLOOKUP(N20,LEDlookup,19,FALSE))</f>
        <v>0</v>
      </c>
      <c r="V20" s="2632">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4"/>
      <c r="M21" s="572"/>
      <c r="N21" s="572"/>
      <c r="O21" s="2633" t="s">
        <v>2649</v>
      </c>
      <c r="P21" s="3116">
        <f>IF(O20="",0,VLOOKUP(N20,LEDlookup,34,FALSE))</f>
        <v>0</v>
      </c>
      <c r="Q21" s="3116"/>
      <c r="R21" s="3116"/>
      <c r="S21" s="3116"/>
      <c r="T21" s="3116"/>
      <c r="U21" s="3116"/>
      <c r="V21" s="670"/>
      <c r="W21" s="2806" t="str">
        <f>IF(C20="","",IF($O$7=TRUE,"Enter Cost",""))</f>
        <v/>
      </c>
      <c r="X21" s="1"/>
      <c r="Y21" s="1"/>
      <c r="Z21" s="572"/>
      <c r="AA21" s="572"/>
      <c r="AB21" s="572"/>
      <c r="AC21" s="572"/>
      <c r="AD21" s="572"/>
      <c r="AE21" s="572"/>
      <c r="AF21" s="572"/>
    </row>
    <row r="22" spans="1:32" ht="14.25" customHeight="1">
      <c r="A22" s="1662"/>
      <c r="B22" s="3117" t="s">
        <v>479</v>
      </c>
      <c r="C22" s="3117"/>
      <c r="D22" s="3118">
        <f>P22</f>
        <v>0</v>
      </c>
      <c r="E22" s="3118"/>
      <c r="F22" s="3118"/>
      <c r="G22" s="3118"/>
      <c r="H22" s="3118"/>
      <c r="I22" s="3118"/>
      <c r="J22" s="1662"/>
      <c r="K22" s="1685"/>
      <c r="L22" s="2082"/>
      <c r="M22" s="572"/>
      <c r="N22" s="572"/>
      <c r="O22" s="2633" t="s">
        <v>2646</v>
      </c>
      <c r="P22" s="3116">
        <f>IF(O20="",0,VLOOKUP(N20,LEDlookup,32,FALSE))</f>
        <v>0</v>
      </c>
      <c r="Q22" s="3116"/>
      <c r="R22" s="3116"/>
      <c r="S22" s="3116"/>
      <c r="T22" s="3116"/>
      <c r="U22" s="3116"/>
      <c r="V22" s="670"/>
      <c r="W22" s="1"/>
      <c r="X22" s="1"/>
      <c r="Y22" s="1"/>
      <c r="Z22" s="572"/>
      <c r="AA22" s="572"/>
      <c r="AB22" s="572"/>
      <c r="AC22" s="572"/>
      <c r="AD22" s="572"/>
      <c r="AE22" s="572"/>
      <c r="AF22" s="572"/>
    </row>
    <row r="23" spans="1:32" ht="14.25" customHeight="1">
      <c r="A23" s="1662"/>
      <c r="B23" s="3127" t="s">
        <v>214</v>
      </c>
      <c r="C23" s="3127"/>
      <c r="D23" s="3130">
        <f>P23</f>
        <v>0</v>
      </c>
      <c r="E23" s="3130"/>
      <c r="F23" s="3130"/>
      <c r="G23" s="3130"/>
      <c r="H23" s="3130"/>
      <c r="I23" s="3130"/>
      <c r="J23" s="1661"/>
      <c r="K23" s="1685"/>
      <c r="L23" s="2082"/>
      <c r="M23" s="572"/>
      <c r="N23" s="572"/>
      <c r="O23" s="2634" t="s">
        <v>2647</v>
      </c>
      <c r="P23" s="3121">
        <f>IF(O20="",0,VLOOKUP(N20,LEDlookup,33,FALSE))</f>
        <v>0</v>
      </c>
      <c r="Q23" s="3121"/>
      <c r="R23" s="3121"/>
      <c r="S23" s="3121"/>
      <c r="T23" s="3121"/>
      <c r="U23" s="3121"/>
      <c r="V23" s="671"/>
      <c r="W23" s="1"/>
      <c r="X23" s="1"/>
      <c r="Y23" s="1"/>
      <c r="Z23" s="572"/>
      <c r="AA23" s="572"/>
      <c r="AB23" s="572"/>
      <c r="AC23" s="572"/>
      <c r="AD23" s="572"/>
      <c r="AE23" s="572"/>
      <c r="AF23" s="572"/>
    </row>
    <row r="24" spans="1:32" ht="14.25" customHeight="1">
      <c r="A24" s="1702"/>
      <c r="B24" s="1735" t="s">
        <v>582</v>
      </c>
      <c r="C24" s="3123" t="str">
        <f>O24</f>
        <v/>
      </c>
      <c r="D24" s="3123"/>
      <c r="E24" s="3123"/>
      <c r="F24" s="3123"/>
      <c r="G24" s="3123"/>
      <c r="H24" s="3123"/>
      <c r="I24" s="3123"/>
      <c r="J24" s="2022"/>
      <c r="K24" s="1685"/>
      <c r="L24" s="2082"/>
      <c r="M24" s="572"/>
      <c r="N24" s="572">
        <v>4</v>
      </c>
      <c r="O24" s="3124" t="str">
        <f>IF(ISERROR(VLOOKUP(N24,LEDlookup,6,FALSE)),"",VLOOKUP(N24,LEDlookup,6,FALSE))</f>
        <v/>
      </c>
      <c r="P24" s="3125"/>
      <c r="Q24" s="2356">
        <f>IF(O24="",0,VLOOKUP(N24,LEDlookup,8,FALSE))</f>
        <v>0</v>
      </c>
      <c r="R24" s="2631">
        <f>IF(O24="",0,VLOOKUP(N24,LEDlookup,14,FALSE))</f>
        <v>0</v>
      </c>
      <c r="S24" s="2631">
        <f>IF(O24="",0,VLOOKUP(N24,LEDlookup,15,FALSE))</f>
        <v>0</v>
      </c>
      <c r="T24" s="2313">
        <f>IF(O24="",0,VLOOKUP(N24,LEDlookup,17,FALSE))</f>
        <v>0</v>
      </c>
      <c r="U24" s="2313">
        <f>IF(O24="",0,VLOOKUP(N24,LEDlookup,19,FALSE))</f>
        <v>0</v>
      </c>
      <c r="V24" s="2632">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4"/>
      <c r="M25" s="572"/>
      <c r="N25" s="572"/>
      <c r="O25" s="2633" t="s">
        <v>2649</v>
      </c>
      <c r="P25" s="3116">
        <f>IF(O24="",0,VLOOKUP(N24,LEDlookup,34,FALSE))</f>
        <v>0</v>
      </c>
      <c r="Q25" s="3116"/>
      <c r="R25" s="3116"/>
      <c r="S25" s="3116"/>
      <c r="T25" s="3116"/>
      <c r="U25" s="3116"/>
      <c r="V25" s="670"/>
      <c r="W25" s="2806" t="str">
        <f>IF(C24="","",IF($O$7=TRUE,"Enter Cost",""))</f>
        <v/>
      </c>
      <c r="X25" s="1"/>
      <c r="Y25" s="1"/>
      <c r="Z25" s="572"/>
      <c r="AA25" s="572"/>
      <c r="AB25" s="572"/>
      <c r="AC25" s="572"/>
      <c r="AD25" s="572"/>
      <c r="AE25" s="572"/>
      <c r="AF25" s="572"/>
    </row>
    <row r="26" spans="1:32" ht="14.25" customHeight="1">
      <c r="A26" s="1662"/>
      <c r="B26" s="3117" t="str">
        <f>B22</f>
        <v>Existing:</v>
      </c>
      <c r="C26" s="3117"/>
      <c r="D26" s="3118">
        <f>P26</f>
        <v>0</v>
      </c>
      <c r="E26" s="3118"/>
      <c r="F26" s="3118"/>
      <c r="G26" s="3118"/>
      <c r="H26" s="3118"/>
      <c r="I26" s="3118"/>
      <c r="J26" s="1662"/>
      <c r="K26" s="1685"/>
      <c r="L26" s="2082"/>
      <c r="M26" s="572"/>
      <c r="N26" s="572"/>
      <c r="O26" s="2633" t="s">
        <v>2646</v>
      </c>
      <c r="P26" s="3116">
        <f>IF(O24="",0,VLOOKUP(N24,LEDlookup,32,FALSE))</f>
        <v>0</v>
      </c>
      <c r="Q26" s="3116"/>
      <c r="R26" s="3116"/>
      <c r="S26" s="3116"/>
      <c r="T26" s="3116"/>
      <c r="U26" s="3116"/>
      <c r="V26" s="670"/>
      <c r="W26" s="1"/>
      <c r="X26" s="1"/>
      <c r="Y26" s="1"/>
      <c r="Z26" s="572"/>
      <c r="AA26" s="572"/>
      <c r="AB26" s="572"/>
      <c r="AC26" s="572"/>
      <c r="AD26" s="572"/>
      <c r="AE26" s="572"/>
      <c r="AF26" s="572"/>
    </row>
    <row r="27" spans="1:32" ht="14.25" customHeight="1">
      <c r="A27" s="1662"/>
      <c r="B27" s="3127" t="str">
        <f>B23</f>
        <v>Proposed retrofit:</v>
      </c>
      <c r="C27" s="3127"/>
      <c r="D27" s="3130">
        <f>P27</f>
        <v>0</v>
      </c>
      <c r="E27" s="3130"/>
      <c r="F27" s="3130"/>
      <c r="G27" s="3130"/>
      <c r="H27" s="3130"/>
      <c r="I27" s="3130"/>
      <c r="J27" s="1661"/>
      <c r="K27" s="1685"/>
      <c r="L27" s="2082"/>
      <c r="M27" s="572"/>
      <c r="N27" s="572"/>
      <c r="O27" s="2634" t="s">
        <v>2647</v>
      </c>
      <c r="P27" s="3121">
        <f>IF(O24="",0,VLOOKUP(N24,LEDlookup,33,FALSE))</f>
        <v>0</v>
      </c>
      <c r="Q27" s="3121"/>
      <c r="R27" s="3121"/>
      <c r="S27" s="3121"/>
      <c r="T27" s="3121"/>
      <c r="U27" s="3121"/>
      <c r="V27" s="671"/>
      <c r="W27" s="1"/>
      <c r="X27" s="1"/>
      <c r="Y27" s="1"/>
      <c r="Z27" s="572"/>
      <c r="AA27" s="572"/>
      <c r="AB27" s="572"/>
      <c r="AC27" s="572"/>
      <c r="AD27" s="572"/>
      <c r="AE27" s="572"/>
      <c r="AF27" s="572"/>
    </row>
    <row r="28" spans="1:32" ht="14.25" customHeight="1">
      <c r="A28" s="1702"/>
      <c r="B28" s="1735" t="s">
        <v>336</v>
      </c>
      <c r="C28" s="3123" t="str">
        <f>O28</f>
        <v/>
      </c>
      <c r="D28" s="3123"/>
      <c r="E28" s="3123"/>
      <c r="F28" s="3123"/>
      <c r="G28" s="3123"/>
      <c r="H28" s="3123"/>
      <c r="I28" s="3123"/>
      <c r="J28" s="2022"/>
      <c r="K28" s="1685"/>
      <c r="L28" s="2082"/>
      <c r="M28" s="572"/>
      <c r="N28" s="572">
        <v>5</v>
      </c>
      <c r="O28" s="3124" t="str">
        <f>IF(ISERROR(VLOOKUP(N28,LEDlookup,6,FALSE)),"",VLOOKUP(N28,LEDlookup,6,FALSE))</f>
        <v/>
      </c>
      <c r="P28" s="3125"/>
      <c r="Q28" s="2356">
        <f>IF(O28="",0,VLOOKUP(N28,LEDlookup,8,FALSE))</f>
        <v>0</v>
      </c>
      <c r="R28" s="2631">
        <f>IF(O28="",0,VLOOKUP(N28,LEDlookup,14,FALSE))</f>
        <v>0</v>
      </c>
      <c r="S28" s="2631">
        <f>IF(O28="",0,VLOOKUP(N28,LEDlookup,15,FALSE))</f>
        <v>0</v>
      </c>
      <c r="T28" s="2313">
        <f>IF(O28="",0,VLOOKUP(N28,LEDlookup,17,FALSE))</f>
        <v>0</v>
      </c>
      <c r="U28" s="2313">
        <f>IF(O28="",0,VLOOKUP(N28,LEDlookup,19,FALSE))</f>
        <v>0</v>
      </c>
      <c r="V28" s="2632">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4"/>
      <c r="M29" s="572"/>
      <c r="N29" s="572"/>
      <c r="O29" s="2633" t="s">
        <v>2649</v>
      </c>
      <c r="P29" s="3116">
        <f>IF(O28="",0,VLOOKUP(N28,LEDlookup,34,FALSE))</f>
        <v>0</v>
      </c>
      <c r="Q29" s="3116"/>
      <c r="R29" s="3116"/>
      <c r="S29" s="3116"/>
      <c r="T29" s="3116"/>
      <c r="U29" s="3116"/>
      <c r="V29" s="670"/>
      <c r="W29" s="2806" t="str">
        <f>IF(C28="","",IF($O$7=TRUE,"Enter Cost",""))</f>
        <v/>
      </c>
      <c r="X29" s="1"/>
      <c r="Y29" s="1"/>
      <c r="Z29" s="572"/>
      <c r="AA29" s="572"/>
      <c r="AB29" s="572"/>
      <c r="AC29" s="572"/>
      <c r="AD29" s="572"/>
      <c r="AE29" s="572"/>
      <c r="AF29" s="572"/>
    </row>
    <row r="30" spans="1:32" ht="14.25" customHeight="1">
      <c r="A30" s="1662"/>
      <c r="B30" s="3117" t="s">
        <v>479</v>
      </c>
      <c r="C30" s="3117"/>
      <c r="D30" s="3118">
        <f>P30</f>
        <v>0</v>
      </c>
      <c r="E30" s="3118"/>
      <c r="F30" s="3118"/>
      <c r="G30" s="3118"/>
      <c r="H30" s="3118"/>
      <c r="I30" s="3118"/>
      <c r="J30" s="1662"/>
      <c r="K30" s="1685"/>
      <c r="L30" s="2082"/>
      <c r="M30" s="572"/>
      <c r="N30" s="572"/>
      <c r="O30" s="2633" t="s">
        <v>2646</v>
      </c>
      <c r="P30" s="3116">
        <f>IF(O28="",0,VLOOKUP(N28,LEDlookup,32,FALSE))</f>
        <v>0</v>
      </c>
      <c r="Q30" s="3116"/>
      <c r="R30" s="3116"/>
      <c r="S30" s="3116"/>
      <c r="T30" s="3116"/>
      <c r="U30" s="3116"/>
      <c r="V30" s="670"/>
      <c r="W30" s="1"/>
      <c r="X30" s="1"/>
      <c r="Y30" s="1"/>
      <c r="Z30" s="572"/>
      <c r="AA30" s="572"/>
      <c r="AB30" s="572"/>
      <c r="AC30" s="572"/>
      <c r="AD30" s="572"/>
      <c r="AE30" s="572"/>
      <c r="AF30" s="572"/>
    </row>
    <row r="31" spans="1:32" ht="14.25" customHeight="1">
      <c r="A31" s="1662"/>
      <c r="B31" s="3127" t="s">
        <v>214</v>
      </c>
      <c r="C31" s="3127"/>
      <c r="D31" s="3128">
        <f>P31</f>
        <v>0</v>
      </c>
      <c r="E31" s="3128"/>
      <c r="F31" s="3128"/>
      <c r="G31" s="3128"/>
      <c r="H31" s="3128"/>
      <c r="I31" s="3128"/>
      <c r="J31" s="1661"/>
      <c r="K31" s="1685"/>
      <c r="L31" s="2082"/>
      <c r="M31" s="572"/>
      <c r="N31" s="572"/>
      <c r="O31" s="2634" t="s">
        <v>2647</v>
      </c>
      <c r="P31" s="3121">
        <f>IF(O28="",0,VLOOKUP(N28,LEDlookup,33,FALSE))</f>
        <v>0</v>
      </c>
      <c r="Q31" s="3121"/>
      <c r="R31" s="3121"/>
      <c r="S31" s="3121"/>
      <c r="T31" s="3121"/>
      <c r="U31" s="3121"/>
      <c r="V31" s="671"/>
      <c r="W31" s="1"/>
      <c r="X31" s="1"/>
      <c r="Y31" s="1"/>
      <c r="Z31" s="572"/>
      <c r="AA31" s="572"/>
      <c r="AB31" s="572"/>
      <c r="AC31" s="572"/>
      <c r="AD31" s="572"/>
      <c r="AE31" s="572"/>
      <c r="AF31" s="572"/>
    </row>
    <row r="32" spans="1:32" ht="14.25" customHeight="1">
      <c r="A32" s="1662"/>
      <c r="B32" s="1735" t="s">
        <v>583</v>
      </c>
      <c r="C32" s="3126" t="str">
        <f>O32</f>
        <v/>
      </c>
      <c r="D32" s="3126"/>
      <c r="E32" s="3126"/>
      <c r="F32" s="3126"/>
      <c r="G32" s="3126"/>
      <c r="H32" s="3126"/>
      <c r="I32" s="3126"/>
      <c r="J32" s="2022"/>
      <c r="K32" s="1685"/>
      <c r="L32" s="2082"/>
      <c r="M32" s="572"/>
      <c r="N32" s="572">
        <v>6</v>
      </c>
      <c r="O32" s="3124" t="str">
        <f>IF(ISERROR(VLOOKUP(N32,LEDlookup,6,FALSE)),"",VLOOKUP(N32,LEDlookup,6,FALSE))</f>
        <v/>
      </c>
      <c r="P32" s="3125"/>
      <c r="Q32" s="2356">
        <f>IF(O32="",0,VLOOKUP(N32,LEDlookup,8,FALSE))</f>
        <v>0</v>
      </c>
      <c r="R32" s="2631">
        <f>IF(O32="",0,VLOOKUP(N32,LEDlookup,14,FALSE))</f>
        <v>0</v>
      </c>
      <c r="S32" s="2631">
        <f>IF(O32="",0,VLOOKUP(N32,LEDlookup,15,FALSE))</f>
        <v>0</v>
      </c>
      <c r="T32" s="2313">
        <f>IF(O32="",0,VLOOKUP(N32,LEDlookup,17,FALSE))</f>
        <v>0</v>
      </c>
      <c r="U32" s="2313">
        <f>IF(O32="",0,VLOOKUP(N32,LEDlookup,19,FALSE))</f>
        <v>0</v>
      </c>
      <c r="V32" s="2632">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4"/>
      <c r="M33" s="572"/>
      <c r="N33" s="572"/>
      <c r="O33" s="2633" t="s">
        <v>2649</v>
      </c>
      <c r="P33" s="3116">
        <f>IF(O32="",0,VLOOKUP(N32,LEDlookup,34,FALSE))</f>
        <v>0</v>
      </c>
      <c r="Q33" s="3116"/>
      <c r="R33" s="3116"/>
      <c r="S33" s="3116"/>
      <c r="T33" s="3116"/>
      <c r="U33" s="3116"/>
      <c r="V33" s="670"/>
      <c r="W33" s="2806" t="str">
        <f>IF(C32="","",IF($O$7=TRUE,"Enter Cost",""))</f>
        <v/>
      </c>
      <c r="X33" s="1"/>
      <c r="Y33" s="1"/>
      <c r="Z33" s="572"/>
      <c r="AA33" s="572"/>
      <c r="AB33" s="572"/>
      <c r="AC33" s="572"/>
      <c r="AD33" s="572"/>
      <c r="AE33" s="572"/>
      <c r="AF33" s="572"/>
    </row>
    <row r="34" spans="1:32" ht="14.25" customHeight="1">
      <c r="A34" s="1662"/>
      <c r="B34" s="3117" t="s">
        <v>479</v>
      </c>
      <c r="C34" s="3117"/>
      <c r="D34" s="3118">
        <f>P34</f>
        <v>0</v>
      </c>
      <c r="E34" s="3118"/>
      <c r="F34" s="3118"/>
      <c r="G34" s="3118"/>
      <c r="H34" s="3118"/>
      <c r="I34" s="3118"/>
      <c r="J34" s="1662"/>
      <c r="K34" s="1685"/>
      <c r="L34" s="2082"/>
      <c r="M34" s="572"/>
      <c r="N34" s="572"/>
      <c r="O34" s="2633" t="s">
        <v>2646</v>
      </c>
      <c r="P34" s="3116">
        <f>IF(O32="",0,VLOOKUP(N32,LEDlookup,32,FALSE))</f>
        <v>0</v>
      </c>
      <c r="Q34" s="3116"/>
      <c r="R34" s="3116"/>
      <c r="S34" s="3116"/>
      <c r="T34" s="3116"/>
      <c r="U34" s="3116"/>
      <c r="V34" s="670"/>
      <c r="W34" s="1"/>
      <c r="X34" s="1"/>
      <c r="Y34" s="1"/>
      <c r="Z34" s="572"/>
      <c r="AA34" s="572"/>
      <c r="AB34" s="572"/>
      <c r="AC34" s="572"/>
      <c r="AD34" s="572"/>
      <c r="AE34" s="572"/>
      <c r="AF34" s="572"/>
    </row>
    <row r="35" spans="1:32" ht="14.25" customHeight="1">
      <c r="A35" s="1662"/>
      <c r="B35" s="3127" t="s">
        <v>214</v>
      </c>
      <c r="C35" s="3127"/>
      <c r="D35" s="3128">
        <f>P35</f>
        <v>0</v>
      </c>
      <c r="E35" s="3128"/>
      <c r="F35" s="3128"/>
      <c r="G35" s="3128"/>
      <c r="H35" s="3128"/>
      <c r="I35" s="3128"/>
      <c r="J35" s="1661"/>
      <c r="K35" s="1685"/>
      <c r="L35" s="2082"/>
      <c r="M35" s="572"/>
      <c r="N35" s="572"/>
      <c r="O35" s="2634" t="s">
        <v>2647</v>
      </c>
      <c r="P35" s="3121">
        <f>IF(O32="",0,VLOOKUP(N32,LEDlookup,33,FALSE))</f>
        <v>0</v>
      </c>
      <c r="Q35" s="3121"/>
      <c r="R35" s="3121"/>
      <c r="S35" s="3121"/>
      <c r="T35" s="3121"/>
      <c r="U35" s="3121"/>
      <c r="V35" s="671"/>
      <c r="W35" s="1"/>
      <c r="X35" s="1"/>
      <c r="Y35" s="1"/>
      <c r="Z35" s="572"/>
      <c r="AA35" s="572"/>
      <c r="AB35" s="572"/>
      <c r="AC35" s="572"/>
      <c r="AD35" s="572"/>
      <c r="AE35" s="572"/>
      <c r="AF35" s="572"/>
    </row>
    <row r="36" spans="1:32" ht="14.25" customHeight="1">
      <c r="A36" s="1662"/>
      <c r="B36" s="1735" t="s">
        <v>584</v>
      </c>
      <c r="C36" s="3126" t="str">
        <f>O36</f>
        <v/>
      </c>
      <c r="D36" s="3126"/>
      <c r="E36" s="3126"/>
      <c r="F36" s="3126"/>
      <c r="G36" s="3126"/>
      <c r="H36" s="3126"/>
      <c r="I36" s="3126"/>
      <c r="J36" s="2022"/>
      <c r="K36" s="1685"/>
      <c r="L36" s="2082"/>
      <c r="M36" s="572"/>
      <c r="N36" s="572">
        <v>7</v>
      </c>
      <c r="O36" s="3124" t="str">
        <f>IF(ISERROR(VLOOKUP(N36,LEDlookup,6,FALSE)),"",VLOOKUP(N36,LEDlookup,6,FALSE))</f>
        <v/>
      </c>
      <c r="P36" s="3125"/>
      <c r="Q36" s="2356">
        <f>IF(O36="",0,VLOOKUP(N36,LEDlookup,8,FALSE))</f>
        <v>0</v>
      </c>
      <c r="R36" s="2631">
        <f>IF(O36="",0,VLOOKUP(N36,LEDlookup,14,FALSE))</f>
        <v>0</v>
      </c>
      <c r="S36" s="2631">
        <f>IF(O36="",0,VLOOKUP(N36,LEDlookup,15,FALSE))</f>
        <v>0</v>
      </c>
      <c r="T36" s="2313">
        <f>IF(O36="",0,VLOOKUP(N36,LEDlookup,17,FALSE))</f>
        <v>0</v>
      </c>
      <c r="U36" s="2313">
        <f>IF(O36="",0,VLOOKUP(N36,LEDlookup,19,FALSE))</f>
        <v>0</v>
      </c>
      <c r="V36" s="2632">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4"/>
      <c r="M37" s="572"/>
      <c r="N37" s="572"/>
      <c r="O37" s="2633" t="s">
        <v>2649</v>
      </c>
      <c r="P37" s="3116">
        <f>IF(O36="",0,VLOOKUP(N36,LEDlookup,34,FALSE))</f>
        <v>0</v>
      </c>
      <c r="Q37" s="3116"/>
      <c r="R37" s="3116"/>
      <c r="S37" s="3116"/>
      <c r="T37" s="3116"/>
      <c r="U37" s="3116"/>
      <c r="V37" s="670"/>
      <c r="W37" s="2806" t="str">
        <f>IF(C36="","",IF($O$7=TRUE,"Enter Cost",""))</f>
        <v/>
      </c>
      <c r="X37" s="1"/>
      <c r="Y37" s="1"/>
      <c r="Z37" s="572"/>
      <c r="AA37" s="572"/>
      <c r="AB37" s="572"/>
      <c r="AC37" s="572"/>
      <c r="AD37" s="572"/>
      <c r="AE37" s="572"/>
      <c r="AF37" s="572"/>
    </row>
    <row r="38" spans="1:32" ht="14.25" customHeight="1">
      <c r="A38" s="1662"/>
      <c r="B38" s="3117" t="s">
        <v>479</v>
      </c>
      <c r="C38" s="3117"/>
      <c r="D38" s="3118">
        <f>P38</f>
        <v>0</v>
      </c>
      <c r="E38" s="3118"/>
      <c r="F38" s="3118"/>
      <c r="G38" s="3118"/>
      <c r="H38" s="3118"/>
      <c r="I38" s="3118"/>
      <c r="J38" s="1662"/>
      <c r="K38" s="1685"/>
      <c r="L38" s="2082"/>
      <c r="M38" s="572"/>
      <c r="N38" s="572"/>
      <c r="O38" s="2633" t="s">
        <v>2646</v>
      </c>
      <c r="P38" s="3116">
        <f>IF(O36="",0,VLOOKUP(N36,LEDlookup,32,FALSE))</f>
        <v>0</v>
      </c>
      <c r="Q38" s="3116"/>
      <c r="R38" s="3116"/>
      <c r="S38" s="3116"/>
      <c r="T38" s="3116"/>
      <c r="U38" s="3116"/>
      <c r="V38" s="670"/>
      <c r="W38" s="1"/>
      <c r="X38" s="1"/>
      <c r="Y38" s="1"/>
      <c r="Z38" s="572"/>
      <c r="AA38" s="572"/>
      <c r="AB38" s="572"/>
      <c r="AC38" s="572"/>
      <c r="AD38" s="572"/>
      <c r="AE38" s="572"/>
      <c r="AF38" s="572"/>
    </row>
    <row r="39" spans="1:32" ht="14.25" customHeight="1">
      <c r="A39" s="1662"/>
      <c r="B39" s="3127" t="s">
        <v>214</v>
      </c>
      <c r="C39" s="3127"/>
      <c r="D39" s="3128">
        <f>P39</f>
        <v>0</v>
      </c>
      <c r="E39" s="3128"/>
      <c r="F39" s="3128"/>
      <c r="G39" s="3128"/>
      <c r="H39" s="3128"/>
      <c r="I39" s="3128"/>
      <c r="J39" s="1661"/>
      <c r="K39" s="1685"/>
      <c r="L39" s="2082"/>
      <c r="M39" s="572"/>
      <c r="N39" s="572"/>
      <c r="O39" s="2634" t="s">
        <v>2647</v>
      </c>
      <c r="P39" s="3121">
        <f>IF(O36="",0,VLOOKUP(N36,LEDlookup,33,FALSE))</f>
        <v>0</v>
      </c>
      <c r="Q39" s="3121"/>
      <c r="R39" s="3121"/>
      <c r="S39" s="3121"/>
      <c r="T39" s="3121"/>
      <c r="U39" s="3121"/>
      <c r="V39" s="671"/>
      <c r="W39" s="1"/>
      <c r="X39" s="1"/>
      <c r="Y39" s="1"/>
      <c r="Z39" s="572"/>
      <c r="AA39" s="572"/>
      <c r="AB39" s="572"/>
      <c r="AC39" s="572"/>
      <c r="AD39" s="572"/>
      <c r="AE39" s="572"/>
      <c r="AF39" s="572"/>
    </row>
    <row r="40" spans="1:32" ht="14.25" customHeight="1">
      <c r="A40" s="1662"/>
      <c r="B40" s="2868" t="s">
        <v>585</v>
      </c>
      <c r="C40" s="3123" t="str">
        <f>O40</f>
        <v/>
      </c>
      <c r="D40" s="3123"/>
      <c r="E40" s="3123"/>
      <c r="F40" s="3123"/>
      <c r="G40" s="3123"/>
      <c r="H40" s="3123"/>
      <c r="I40" s="3123"/>
      <c r="J40" s="2839"/>
      <c r="K40" s="1685"/>
      <c r="L40" s="2082"/>
      <c r="M40" s="572"/>
      <c r="N40" s="572">
        <v>8</v>
      </c>
      <c r="O40" s="3124" t="str">
        <f>IF(ISERROR(VLOOKUP(N40,LEDlookup,6,FALSE)),"",VLOOKUP(N40,LEDlookup,6,FALSE))</f>
        <v/>
      </c>
      <c r="P40" s="3125"/>
      <c r="Q40" s="2356">
        <f>IF(O40="",0,VLOOKUP(N40,LEDlookup,8,FALSE))</f>
        <v>0</v>
      </c>
      <c r="R40" s="2631">
        <f>IF(O40="",0,VLOOKUP(N40,LEDlookup,14,FALSE))</f>
        <v>0</v>
      </c>
      <c r="S40" s="2631">
        <f>IF(O40="",0,VLOOKUP(N40,LEDlookup,15,FALSE))</f>
        <v>0</v>
      </c>
      <c r="T40" s="2313">
        <f>IF(O40="",0,VLOOKUP(N40,LEDlookup,17,FALSE))</f>
        <v>0</v>
      </c>
      <c r="U40" s="2313">
        <f>IF(O40="",0,VLOOKUP(N40,LEDlookup,19,FALSE))</f>
        <v>0</v>
      </c>
      <c r="V40" s="2632">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4"/>
      <c r="M41" s="572"/>
      <c r="N41" s="572"/>
      <c r="O41" s="2633" t="s">
        <v>2649</v>
      </c>
      <c r="P41" s="3116">
        <f>IF(O40="",0,VLOOKUP(N40,LEDlookup,34,FALSE))</f>
        <v>0</v>
      </c>
      <c r="Q41" s="3116"/>
      <c r="R41" s="3116"/>
      <c r="S41" s="3116"/>
      <c r="T41" s="3116"/>
      <c r="U41" s="3116"/>
      <c r="V41" s="670"/>
      <c r="W41" s="1"/>
      <c r="X41" s="1"/>
      <c r="Y41" s="1"/>
      <c r="Z41" s="572"/>
      <c r="AA41" s="572"/>
      <c r="AB41" s="572"/>
      <c r="AC41" s="572"/>
      <c r="AD41" s="572"/>
      <c r="AE41" s="572"/>
      <c r="AF41" s="572"/>
    </row>
    <row r="42" spans="1:32" ht="14.25" customHeight="1">
      <c r="A42" s="1662"/>
      <c r="B42" s="3117" t="s">
        <v>479</v>
      </c>
      <c r="C42" s="3117"/>
      <c r="D42" s="3118">
        <f>P42</f>
        <v>0</v>
      </c>
      <c r="E42" s="3118"/>
      <c r="F42" s="3118"/>
      <c r="G42" s="3118"/>
      <c r="H42" s="3118"/>
      <c r="I42" s="3118"/>
      <c r="J42" s="1662"/>
      <c r="K42" s="1685"/>
      <c r="L42" s="2082"/>
      <c r="M42" s="572"/>
      <c r="N42" s="572"/>
      <c r="O42" s="2633" t="s">
        <v>2646</v>
      </c>
      <c r="P42" s="3116">
        <f>IF(O40="",0,VLOOKUP(N40,LEDlookup,32,FALSE))</f>
        <v>0</v>
      </c>
      <c r="Q42" s="3116"/>
      <c r="R42" s="3116"/>
      <c r="S42" s="3116"/>
      <c r="T42" s="3116"/>
      <c r="U42" s="3116"/>
      <c r="V42" s="670"/>
      <c r="W42" s="1"/>
      <c r="X42" s="1"/>
      <c r="Y42" s="1"/>
      <c r="Z42" s="572"/>
      <c r="AA42" s="572"/>
      <c r="AB42" s="572"/>
      <c r="AC42" s="572"/>
      <c r="AD42" s="572"/>
      <c r="AE42" s="572"/>
      <c r="AF42" s="572"/>
    </row>
    <row r="43" spans="1:32" ht="14.25" customHeight="1">
      <c r="A43" s="1662"/>
      <c r="B43" s="3127" t="s">
        <v>214</v>
      </c>
      <c r="C43" s="3127"/>
      <c r="D43" s="3128">
        <f>P43</f>
        <v>0</v>
      </c>
      <c r="E43" s="3128"/>
      <c r="F43" s="3128"/>
      <c r="G43" s="3128"/>
      <c r="H43" s="3128"/>
      <c r="I43" s="3128"/>
      <c r="J43" s="1661"/>
      <c r="K43" s="1685"/>
      <c r="L43" s="2082"/>
      <c r="M43" s="572"/>
      <c r="N43" s="572"/>
      <c r="O43" s="2634" t="s">
        <v>2647</v>
      </c>
      <c r="P43" s="3121">
        <f>IF(O40="",0,VLOOKUP(N40,LEDlookup,33,FALSE))</f>
        <v>0</v>
      </c>
      <c r="Q43" s="3121"/>
      <c r="R43" s="3121"/>
      <c r="S43" s="3121"/>
      <c r="T43" s="3121"/>
      <c r="U43" s="3121"/>
      <c r="V43" s="671"/>
      <c r="W43" s="1"/>
      <c r="X43" s="1"/>
      <c r="Y43" s="1"/>
      <c r="Z43" s="572"/>
      <c r="AA43" s="572"/>
      <c r="AB43" s="572"/>
      <c r="AC43" s="572"/>
      <c r="AD43" s="572"/>
      <c r="AE43" s="572"/>
      <c r="AF43" s="572"/>
    </row>
    <row r="44" spans="1:32" ht="14.25" customHeight="1">
      <c r="A44" s="1662"/>
      <c r="B44" s="1735" t="s">
        <v>62</v>
      </c>
      <c r="C44" s="3126" t="str">
        <f>O44</f>
        <v/>
      </c>
      <c r="D44" s="3126"/>
      <c r="E44" s="3126"/>
      <c r="F44" s="3126"/>
      <c r="G44" s="3126"/>
      <c r="H44" s="3126"/>
      <c r="I44" s="3126"/>
      <c r="J44" s="2840"/>
      <c r="K44" s="1685"/>
      <c r="L44" s="2082"/>
      <c r="M44" s="572"/>
      <c r="N44" s="572">
        <v>9</v>
      </c>
      <c r="O44" s="3124" t="str">
        <f>IF(ISERROR(VLOOKUP(N44,LEDlookup,6,FALSE)),"",VLOOKUP(N44,LEDlookup,6,FALSE))</f>
        <v/>
      </c>
      <c r="P44" s="3125"/>
      <c r="Q44" s="2356">
        <f>IF(O44="",0,VLOOKUP(N44,LEDlookup,8,FALSE))</f>
        <v>0</v>
      </c>
      <c r="R44" s="2631">
        <f>IF(O44="",0,VLOOKUP(N44,LEDlookup,14,FALSE))</f>
        <v>0</v>
      </c>
      <c r="S44" s="2631">
        <f>IF(O44="",0,VLOOKUP(N44,LEDlookup,15,FALSE))</f>
        <v>0</v>
      </c>
      <c r="T44" s="2313">
        <f>IF(O44="",0,VLOOKUP(N44,LEDlookup,17,FALSE))</f>
        <v>0</v>
      </c>
      <c r="U44" s="2313">
        <f>IF(O44="",0,VLOOKUP(N44,LEDlookup,19,FALSE))</f>
        <v>0</v>
      </c>
      <c r="V44" s="2632">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4"/>
      <c r="M45" s="572"/>
      <c r="N45" s="572"/>
      <c r="O45" s="2633" t="s">
        <v>2649</v>
      </c>
      <c r="P45" s="3116">
        <f>IF(O44="",0,VLOOKUP(N44,LEDlookup,34,FALSE))</f>
        <v>0</v>
      </c>
      <c r="Q45" s="3116"/>
      <c r="R45" s="3116"/>
      <c r="S45" s="3116"/>
      <c r="T45" s="3116"/>
      <c r="U45" s="3116"/>
      <c r="V45" s="670"/>
      <c r="W45" s="1"/>
      <c r="X45" s="1"/>
      <c r="Y45" s="1"/>
      <c r="Z45" s="572"/>
      <c r="AA45" s="572"/>
      <c r="AB45" s="572"/>
      <c r="AC45" s="572"/>
      <c r="AD45" s="572"/>
      <c r="AE45" s="572"/>
      <c r="AF45" s="572"/>
    </row>
    <row r="46" spans="1:32" ht="14.25" customHeight="1">
      <c r="A46" s="1662"/>
      <c r="B46" s="3117" t="s">
        <v>479</v>
      </c>
      <c r="C46" s="3117"/>
      <c r="D46" s="3118">
        <f>P46</f>
        <v>0</v>
      </c>
      <c r="E46" s="3118"/>
      <c r="F46" s="3118"/>
      <c r="G46" s="3118"/>
      <c r="H46" s="3118"/>
      <c r="I46" s="3118"/>
      <c r="J46" s="1662"/>
      <c r="K46" s="1685"/>
      <c r="L46" s="2082"/>
      <c r="M46" s="572"/>
      <c r="N46" s="572"/>
      <c r="O46" s="2633" t="s">
        <v>2646</v>
      </c>
      <c r="P46" s="3116">
        <f>IF(O44="",0,VLOOKUP(N44,LEDlookup,32,FALSE))</f>
        <v>0</v>
      </c>
      <c r="Q46" s="3116"/>
      <c r="R46" s="3116"/>
      <c r="S46" s="3116"/>
      <c r="T46" s="3116"/>
      <c r="U46" s="3116"/>
      <c r="V46" s="670"/>
      <c r="W46" s="1"/>
      <c r="X46" s="1"/>
      <c r="Y46" s="1"/>
      <c r="Z46" s="572"/>
      <c r="AA46" s="572"/>
      <c r="AB46" s="572"/>
      <c r="AC46" s="572"/>
      <c r="AD46" s="572"/>
      <c r="AE46" s="572"/>
      <c r="AF46" s="572"/>
    </row>
    <row r="47" spans="1:32" ht="14.25" customHeight="1">
      <c r="A47" s="1662"/>
      <c r="B47" s="3127" t="s">
        <v>214</v>
      </c>
      <c r="C47" s="3127"/>
      <c r="D47" s="3128">
        <f>P47</f>
        <v>0</v>
      </c>
      <c r="E47" s="3128"/>
      <c r="F47" s="3128"/>
      <c r="G47" s="3128"/>
      <c r="H47" s="3128"/>
      <c r="I47" s="3128"/>
      <c r="J47" s="1661"/>
      <c r="K47" s="1685"/>
      <c r="L47" s="2082"/>
      <c r="M47" s="572"/>
      <c r="N47" s="572"/>
      <c r="O47" s="2634" t="s">
        <v>2647</v>
      </c>
      <c r="P47" s="3121">
        <f>IF(O44="",0,VLOOKUP(N44,LEDlookup,33,FALSE))</f>
        <v>0</v>
      </c>
      <c r="Q47" s="3121"/>
      <c r="R47" s="3121"/>
      <c r="S47" s="3121"/>
      <c r="T47" s="3121"/>
      <c r="U47" s="3121"/>
      <c r="V47" s="671"/>
      <c r="W47" s="1"/>
      <c r="X47" s="1"/>
      <c r="Y47" s="1"/>
      <c r="Z47" s="572"/>
      <c r="AA47" s="572"/>
      <c r="AB47" s="572"/>
      <c r="AC47" s="572"/>
      <c r="AD47" s="572"/>
      <c r="AE47" s="572"/>
      <c r="AF47" s="572"/>
    </row>
    <row r="48" spans="1:32" ht="14.25" customHeight="1">
      <c r="A48" s="1662"/>
      <c r="B48" s="1735" t="s">
        <v>63</v>
      </c>
      <c r="C48" s="3126" t="str">
        <f>O48</f>
        <v/>
      </c>
      <c r="D48" s="3126"/>
      <c r="E48" s="3126"/>
      <c r="F48" s="3126"/>
      <c r="G48" s="3126"/>
      <c r="H48" s="3126"/>
      <c r="I48" s="3126"/>
      <c r="J48" s="2840"/>
      <c r="K48" s="1685"/>
      <c r="L48" s="2082"/>
      <c r="M48" s="572"/>
      <c r="N48" s="572">
        <v>10</v>
      </c>
      <c r="O48" s="3124" t="str">
        <f>IF(ISERROR(VLOOKUP(N48,LEDlookup,6,FALSE)),"",VLOOKUP(N48,LEDlookup,6,FALSE))</f>
        <v/>
      </c>
      <c r="P48" s="3125"/>
      <c r="Q48" s="2356">
        <f>IF(O48="",0,VLOOKUP(N48,LEDlookup,8,FALSE))</f>
        <v>0</v>
      </c>
      <c r="R48" s="2631">
        <f>IF(O48="",0,VLOOKUP(N48,LEDlookup,14,FALSE))</f>
        <v>0</v>
      </c>
      <c r="S48" s="2631">
        <f>IF(O48="",0,VLOOKUP(N48,LEDlookup,15,FALSE))</f>
        <v>0</v>
      </c>
      <c r="T48" s="2313">
        <f>IF(O48="",0,VLOOKUP(N48,LEDlookup,17,FALSE))</f>
        <v>0</v>
      </c>
      <c r="U48" s="2313">
        <f>IF(O48="",0,VLOOKUP(N48,LEDlookup,19,FALSE))</f>
        <v>0</v>
      </c>
      <c r="V48" s="2632">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4"/>
      <c r="M49" s="572"/>
      <c r="N49" s="572"/>
      <c r="O49" s="2633" t="s">
        <v>2649</v>
      </c>
      <c r="P49" s="3116">
        <f>IF(O48="",0,VLOOKUP(N48,LEDlookup,34,FALSE))</f>
        <v>0</v>
      </c>
      <c r="Q49" s="3116"/>
      <c r="R49" s="3116"/>
      <c r="S49" s="3116"/>
      <c r="T49" s="3116"/>
      <c r="U49" s="3116"/>
      <c r="V49" s="670"/>
      <c r="W49" s="1"/>
      <c r="X49" s="1"/>
      <c r="Y49" s="1"/>
      <c r="Z49" s="572"/>
      <c r="AA49" s="572"/>
      <c r="AB49" s="572"/>
      <c r="AC49" s="572"/>
      <c r="AD49" s="572"/>
      <c r="AE49" s="572"/>
      <c r="AF49" s="572"/>
    </row>
    <row r="50" spans="1:32" ht="14.25" customHeight="1">
      <c r="A50" s="1662"/>
      <c r="B50" s="3117" t="s">
        <v>479</v>
      </c>
      <c r="C50" s="3117"/>
      <c r="D50" s="3118">
        <f>P50</f>
        <v>0</v>
      </c>
      <c r="E50" s="3118"/>
      <c r="F50" s="3118"/>
      <c r="G50" s="3118"/>
      <c r="H50" s="3118"/>
      <c r="I50" s="3118"/>
      <c r="J50" s="1662"/>
      <c r="K50" s="1685"/>
      <c r="L50" s="2082"/>
      <c r="M50" s="572"/>
      <c r="N50" s="572"/>
      <c r="O50" s="2633" t="s">
        <v>2646</v>
      </c>
      <c r="P50" s="3116">
        <f>IF(O48="",0,VLOOKUP(N48,LEDlookup,32,FALSE))</f>
        <v>0</v>
      </c>
      <c r="Q50" s="3116"/>
      <c r="R50" s="3116"/>
      <c r="S50" s="3116"/>
      <c r="T50" s="3116"/>
      <c r="U50" s="3116"/>
      <c r="V50" s="670"/>
      <c r="W50" s="1"/>
      <c r="X50" s="1"/>
      <c r="Y50" s="1"/>
      <c r="Z50" s="572"/>
      <c r="AA50" s="572"/>
      <c r="AB50" s="572"/>
      <c r="AC50" s="572"/>
      <c r="AD50" s="572"/>
      <c r="AE50" s="572"/>
      <c r="AF50" s="572"/>
    </row>
    <row r="51" spans="1:32" ht="14.25" customHeight="1">
      <c r="A51" s="1662"/>
      <c r="B51" s="3127" t="s">
        <v>214</v>
      </c>
      <c r="C51" s="3127"/>
      <c r="D51" s="3128">
        <f>P51</f>
        <v>0</v>
      </c>
      <c r="E51" s="3128"/>
      <c r="F51" s="3128"/>
      <c r="G51" s="3128"/>
      <c r="H51" s="3128"/>
      <c r="I51" s="3128"/>
      <c r="J51" s="1661"/>
      <c r="K51" s="1685"/>
      <c r="L51" s="2082"/>
      <c r="M51" s="572"/>
      <c r="N51" s="572"/>
      <c r="O51" s="2634" t="s">
        <v>2647</v>
      </c>
      <c r="P51" s="3121">
        <f>IF(O48="",0,VLOOKUP(N48,LEDlookup,33,FALSE))</f>
        <v>0</v>
      </c>
      <c r="Q51" s="3121"/>
      <c r="R51" s="3121"/>
      <c r="S51" s="3121"/>
      <c r="T51" s="3121"/>
      <c r="U51" s="3121"/>
      <c r="V51" s="671"/>
      <c r="W51" s="1"/>
      <c r="X51" s="1"/>
      <c r="Y51" s="1"/>
      <c r="Z51" s="572"/>
      <c r="AA51" s="572"/>
      <c r="AB51" s="572"/>
      <c r="AC51" s="572"/>
      <c r="AD51" s="572"/>
      <c r="AE51" s="572"/>
      <c r="AF51" s="572"/>
    </row>
    <row r="52" spans="1:32" ht="14.25" customHeight="1">
      <c r="A52" s="1662"/>
      <c r="B52" s="1735" t="s">
        <v>3843</v>
      </c>
      <c r="C52" s="3126" t="str">
        <f>O52</f>
        <v/>
      </c>
      <c r="D52" s="3126"/>
      <c r="E52" s="3126"/>
      <c r="F52" s="3126"/>
      <c r="G52" s="3126"/>
      <c r="H52" s="3126"/>
      <c r="I52" s="3126"/>
      <c r="J52" s="2840"/>
      <c r="K52" s="1685"/>
      <c r="L52" s="2082"/>
      <c r="M52" s="572"/>
      <c r="N52" s="572">
        <v>11</v>
      </c>
      <c r="O52" s="3124" t="str">
        <f>IF(ISERROR(VLOOKUP(N52,LEDlookup,6,FALSE)),"",VLOOKUP(N52,LEDlookup,6,FALSE))</f>
        <v/>
      </c>
      <c r="P52" s="3125"/>
      <c r="Q52" s="2356">
        <f>IF(O52="",0,VLOOKUP(N52,LEDlookup,8,FALSE))</f>
        <v>0</v>
      </c>
      <c r="R52" s="2631">
        <f>IF(O52="",0,VLOOKUP(N52,LEDlookup,14,FALSE))</f>
        <v>0</v>
      </c>
      <c r="S52" s="2631">
        <f>IF(O52="",0,VLOOKUP(N52,LEDlookup,15,FALSE))</f>
        <v>0</v>
      </c>
      <c r="T52" s="2313">
        <f>IF(O52="",0,VLOOKUP(N52,LEDlookup,17,FALSE))</f>
        <v>0</v>
      </c>
      <c r="U52" s="2313">
        <f>IF(O52="",0,VLOOKUP(N52,LEDlookup,19,FALSE))</f>
        <v>0</v>
      </c>
      <c r="V52" s="2632">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4"/>
      <c r="M53" s="572"/>
      <c r="N53" s="572"/>
      <c r="O53" s="2633" t="s">
        <v>2649</v>
      </c>
      <c r="P53" s="3116">
        <f>IF(O52="",0,VLOOKUP(N52,LEDlookup,34,FALSE))</f>
        <v>0</v>
      </c>
      <c r="Q53" s="3116"/>
      <c r="R53" s="3116"/>
      <c r="S53" s="3116"/>
      <c r="T53" s="3116"/>
      <c r="U53" s="3116"/>
      <c r="V53" s="670"/>
      <c r="W53" s="1"/>
      <c r="X53" s="1"/>
      <c r="Y53" s="1"/>
      <c r="Z53" s="572"/>
      <c r="AA53" s="572"/>
      <c r="AB53" s="572"/>
      <c r="AC53" s="572"/>
      <c r="AD53" s="572"/>
      <c r="AE53" s="572"/>
      <c r="AF53" s="572"/>
    </row>
    <row r="54" spans="1:32" ht="14.25" customHeight="1">
      <c r="A54" s="1662"/>
      <c r="B54" s="3117" t="s">
        <v>479</v>
      </c>
      <c r="C54" s="3117"/>
      <c r="D54" s="3118">
        <f>P54</f>
        <v>0</v>
      </c>
      <c r="E54" s="3118"/>
      <c r="F54" s="3118"/>
      <c r="G54" s="3118"/>
      <c r="H54" s="3118"/>
      <c r="I54" s="3118"/>
      <c r="J54" s="1662"/>
      <c r="K54" s="1685"/>
      <c r="L54" s="2082"/>
      <c r="M54" s="572"/>
      <c r="N54" s="572"/>
      <c r="O54" s="2633" t="s">
        <v>2646</v>
      </c>
      <c r="P54" s="3116">
        <f>IF(O52="",0,VLOOKUP(N52,LEDlookup,32,FALSE))</f>
        <v>0</v>
      </c>
      <c r="Q54" s="3116"/>
      <c r="R54" s="3116"/>
      <c r="S54" s="3116"/>
      <c r="T54" s="3116"/>
      <c r="U54" s="3116"/>
      <c r="V54" s="670"/>
      <c r="W54" s="1"/>
      <c r="X54" s="1"/>
      <c r="Y54" s="1"/>
      <c r="Z54" s="572"/>
      <c r="AA54" s="572"/>
      <c r="AB54" s="572"/>
      <c r="AC54" s="572"/>
      <c r="AD54" s="572"/>
      <c r="AE54" s="572"/>
      <c r="AF54" s="572"/>
    </row>
    <row r="55" spans="1:32" ht="14.25" customHeight="1">
      <c r="A55" s="1662"/>
      <c r="B55" s="3127" t="s">
        <v>214</v>
      </c>
      <c r="C55" s="3127"/>
      <c r="D55" s="3128">
        <f>P55</f>
        <v>0</v>
      </c>
      <c r="E55" s="3128"/>
      <c r="F55" s="3128"/>
      <c r="G55" s="3128"/>
      <c r="H55" s="3128"/>
      <c r="I55" s="3128"/>
      <c r="J55" s="1661"/>
      <c r="K55" s="1685"/>
      <c r="L55" s="2082"/>
      <c r="M55" s="572"/>
      <c r="N55" s="572"/>
      <c r="O55" s="2634" t="s">
        <v>2647</v>
      </c>
      <c r="P55" s="3121">
        <f>IF(O52="",0,VLOOKUP(N52,LEDlookup,33,FALSE))</f>
        <v>0</v>
      </c>
      <c r="Q55" s="3121"/>
      <c r="R55" s="3121"/>
      <c r="S55" s="3121"/>
      <c r="T55" s="3121"/>
      <c r="U55" s="3121"/>
      <c r="V55" s="671"/>
      <c r="W55" s="1"/>
      <c r="X55" s="1"/>
      <c r="Y55" s="1"/>
      <c r="Z55" s="572"/>
      <c r="AA55" s="572"/>
      <c r="AB55" s="572"/>
      <c r="AC55" s="572"/>
      <c r="AD55" s="572"/>
      <c r="AE55" s="572"/>
      <c r="AF55" s="572"/>
    </row>
    <row r="56" spans="1:32" ht="14.25" customHeight="1">
      <c r="A56" s="1662"/>
      <c r="B56" s="1735" t="s">
        <v>3844</v>
      </c>
      <c r="C56" s="3126" t="str">
        <f>O56</f>
        <v/>
      </c>
      <c r="D56" s="3126"/>
      <c r="E56" s="3126"/>
      <c r="F56" s="3126"/>
      <c r="G56" s="3126"/>
      <c r="H56" s="3126"/>
      <c r="I56" s="3126"/>
      <c r="J56" s="2840"/>
      <c r="K56" s="1685"/>
      <c r="L56" s="2082"/>
      <c r="M56" s="572"/>
      <c r="N56" s="572">
        <v>12</v>
      </c>
      <c r="O56" s="3124" t="str">
        <f>IF(ISERROR(VLOOKUP(N56,LEDlookup,6,FALSE)),"",VLOOKUP(N56,LEDlookup,6,FALSE))</f>
        <v/>
      </c>
      <c r="P56" s="3125"/>
      <c r="Q56" s="2356">
        <f>IF(O56="",0,VLOOKUP(N56,LEDlookup,8,FALSE))</f>
        <v>0</v>
      </c>
      <c r="R56" s="2631">
        <f>IF(O56="",0,VLOOKUP(N56,LEDlookup,14,FALSE))</f>
        <v>0</v>
      </c>
      <c r="S56" s="2631">
        <f>IF(O56="",0,VLOOKUP(N56,LEDlookup,15,FALSE))</f>
        <v>0</v>
      </c>
      <c r="T56" s="2313">
        <f>IF(O56="",0,VLOOKUP(N56,LEDlookup,17,FALSE))</f>
        <v>0</v>
      </c>
      <c r="U56" s="2313">
        <f>IF(O56="",0,VLOOKUP(N56,LEDlookup,19,FALSE))</f>
        <v>0</v>
      </c>
      <c r="V56" s="2632">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4"/>
      <c r="M57" s="572"/>
      <c r="N57" s="572"/>
      <c r="O57" s="2633" t="s">
        <v>2649</v>
      </c>
      <c r="P57" s="3116">
        <f>IF(O56="",0,VLOOKUP(N56,LEDlookup,34,FALSE))</f>
        <v>0</v>
      </c>
      <c r="Q57" s="3116"/>
      <c r="R57" s="3116"/>
      <c r="S57" s="3116"/>
      <c r="T57" s="3116"/>
      <c r="U57" s="3116"/>
      <c r="V57" s="670"/>
      <c r="W57" s="1"/>
      <c r="X57" s="1"/>
      <c r="Y57" s="1"/>
      <c r="Z57" s="572"/>
      <c r="AA57" s="572"/>
      <c r="AB57" s="572"/>
      <c r="AC57" s="572"/>
      <c r="AD57" s="572"/>
      <c r="AE57" s="572"/>
      <c r="AF57" s="572"/>
    </row>
    <row r="58" spans="1:32" ht="14.25" customHeight="1">
      <c r="A58" s="1662"/>
      <c r="B58" s="3117" t="s">
        <v>479</v>
      </c>
      <c r="C58" s="3117"/>
      <c r="D58" s="3118">
        <f>P58</f>
        <v>0</v>
      </c>
      <c r="E58" s="3118"/>
      <c r="F58" s="3118"/>
      <c r="G58" s="3118"/>
      <c r="H58" s="3118"/>
      <c r="I58" s="3118"/>
      <c r="J58" s="1662"/>
      <c r="K58" s="1685"/>
      <c r="L58" s="2082"/>
      <c r="M58" s="572"/>
      <c r="N58" s="572"/>
      <c r="O58" s="2633" t="s">
        <v>2646</v>
      </c>
      <c r="P58" s="3116">
        <f>IF(O56="",0,VLOOKUP(N56,LEDlookup,32,FALSE))</f>
        <v>0</v>
      </c>
      <c r="Q58" s="3116"/>
      <c r="R58" s="3116"/>
      <c r="S58" s="3116"/>
      <c r="T58" s="3116"/>
      <c r="U58" s="3116"/>
      <c r="V58" s="670"/>
      <c r="W58" s="1"/>
      <c r="X58" s="1"/>
      <c r="Y58" s="1"/>
      <c r="Z58" s="572"/>
      <c r="AA58" s="572"/>
      <c r="AB58" s="572"/>
      <c r="AC58" s="572"/>
      <c r="AD58" s="572"/>
      <c r="AE58" s="572"/>
      <c r="AF58" s="572"/>
    </row>
    <row r="59" spans="1:32" ht="14.25" customHeight="1">
      <c r="A59" s="1662"/>
      <c r="B59" s="3127" t="s">
        <v>214</v>
      </c>
      <c r="C59" s="3127"/>
      <c r="D59" s="3128">
        <f>P59</f>
        <v>0</v>
      </c>
      <c r="E59" s="3128"/>
      <c r="F59" s="3128"/>
      <c r="G59" s="3128"/>
      <c r="H59" s="3128"/>
      <c r="I59" s="3128"/>
      <c r="J59" s="1661"/>
      <c r="K59" s="1685"/>
      <c r="L59" s="2082"/>
      <c r="M59" s="572"/>
      <c r="N59" s="572"/>
      <c r="O59" s="2634" t="s">
        <v>2647</v>
      </c>
      <c r="P59" s="3121">
        <f>IF(O56="",0,VLOOKUP(N56,LEDlookup,33,FALSE))</f>
        <v>0</v>
      </c>
      <c r="Q59" s="3121"/>
      <c r="R59" s="3121"/>
      <c r="S59" s="3121"/>
      <c r="T59" s="3121"/>
      <c r="U59" s="3121"/>
      <c r="V59" s="671"/>
      <c r="W59" s="1"/>
      <c r="X59" s="1"/>
      <c r="Y59" s="1"/>
      <c r="Z59" s="572"/>
      <c r="AA59" s="572"/>
      <c r="AB59" s="572"/>
      <c r="AC59" s="572"/>
      <c r="AD59" s="572"/>
      <c r="AE59" s="572"/>
      <c r="AF59" s="572"/>
    </row>
    <row r="60" spans="1:32" ht="14.25" customHeight="1">
      <c r="A60" s="1662"/>
      <c r="B60" s="1735" t="s">
        <v>3845</v>
      </c>
      <c r="C60" s="3126" t="str">
        <f>O60</f>
        <v/>
      </c>
      <c r="D60" s="3126"/>
      <c r="E60" s="3126"/>
      <c r="F60" s="3126"/>
      <c r="G60" s="3126"/>
      <c r="H60" s="3126"/>
      <c r="I60" s="3126"/>
      <c r="J60" s="2840"/>
      <c r="K60" s="1685"/>
      <c r="L60" s="2082"/>
      <c r="M60" s="572"/>
      <c r="N60" s="572">
        <v>13</v>
      </c>
      <c r="O60" s="3124" t="str">
        <f>IF(ISERROR(VLOOKUP(N60,LEDlookup,6,FALSE)),"",VLOOKUP(N60,LEDlookup,6,FALSE))</f>
        <v/>
      </c>
      <c r="P60" s="3125"/>
      <c r="Q60" s="2356">
        <f>IF(O60="",0,VLOOKUP(N60,LEDlookup,8,FALSE))</f>
        <v>0</v>
      </c>
      <c r="R60" s="2631">
        <f>IF(O60="",0,VLOOKUP(N60,LEDlookup,14,FALSE))</f>
        <v>0</v>
      </c>
      <c r="S60" s="2631">
        <f>IF(O60="",0,VLOOKUP(N60,LEDlookup,15,FALSE))</f>
        <v>0</v>
      </c>
      <c r="T60" s="2313">
        <f>IF(O60="",0,VLOOKUP(N60,LEDlookup,17,FALSE))</f>
        <v>0</v>
      </c>
      <c r="U60" s="2313">
        <f>IF(O60="",0,VLOOKUP(N60,LEDlookup,19,FALSE))</f>
        <v>0</v>
      </c>
      <c r="V60" s="2632">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4"/>
      <c r="M61" s="572"/>
      <c r="N61" s="572"/>
      <c r="O61" s="2633" t="s">
        <v>2649</v>
      </c>
      <c r="P61" s="3116">
        <f>IF(O60="",0,VLOOKUP(N60,LEDlookup,34,FALSE))</f>
        <v>0</v>
      </c>
      <c r="Q61" s="3116"/>
      <c r="R61" s="3116"/>
      <c r="S61" s="3116"/>
      <c r="T61" s="3116"/>
      <c r="U61" s="3116"/>
      <c r="V61" s="670"/>
      <c r="W61" s="1"/>
      <c r="X61" s="1"/>
      <c r="Y61" s="1"/>
      <c r="Z61" s="572"/>
      <c r="AA61" s="572"/>
      <c r="AB61" s="572"/>
      <c r="AC61" s="572"/>
      <c r="AD61" s="572"/>
      <c r="AE61" s="572"/>
      <c r="AF61" s="572"/>
    </row>
    <row r="62" spans="1:32" ht="14.25" customHeight="1">
      <c r="A62" s="1662"/>
      <c r="B62" s="3117" t="s">
        <v>479</v>
      </c>
      <c r="C62" s="3117"/>
      <c r="D62" s="3118">
        <f>P62</f>
        <v>0</v>
      </c>
      <c r="E62" s="3118"/>
      <c r="F62" s="3118"/>
      <c r="G62" s="3118"/>
      <c r="H62" s="3118"/>
      <c r="I62" s="3118"/>
      <c r="J62" s="1662"/>
      <c r="K62" s="1685"/>
      <c r="L62" s="2082"/>
      <c r="M62" s="572"/>
      <c r="N62" s="572"/>
      <c r="O62" s="2633" t="s">
        <v>2646</v>
      </c>
      <c r="P62" s="3116">
        <f>IF(O60="",0,VLOOKUP(N60,LEDlookup,32,FALSE))</f>
        <v>0</v>
      </c>
      <c r="Q62" s="3116"/>
      <c r="R62" s="3116"/>
      <c r="S62" s="3116"/>
      <c r="T62" s="3116"/>
      <c r="U62" s="3116"/>
      <c r="V62" s="670"/>
      <c r="W62" s="1"/>
      <c r="X62" s="1"/>
      <c r="Y62" s="1"/>
      <c r="Z62" s="572"/>
      <c r="AA62" s="572"/>
      <c r="AB62" s="572"/>
      <c r="AC62" s="572"/>
      <c r="AD62" s="572"/>
      <c r="AE62" s="572"/>
      <c r="AF62" s="572"/>
    </row>
    <row r="63" spans="1:32" ht="14.25" customHeight="1">
      <c r="A63" s="1662"/>
      <c r="B63" s="3127" t="s">
        <v>214</v>
      </c>
      <c r="C63" s="3127"/>
      <c r="D63" s="3128">
        <f>P63</f>
        <v>0</v>
      </c>
      <c r="E63" s="3128"/>
      <c r="F63" s="3128"/>
      <c r="G63" s="3128"/>
      <c r="H63" s="3128"/>
      <c r="I63" s="3128"/>
      <c r="J63" s="1661"/>
      <c r="K63" s="1685"/>
      <c r="L63" s="2082"/>
      <c r="M63" s="572"/>
      <c r="N63" s="572"/>
      <c r="O63" s="2634" t="s">
        <v>2647</v>
      </c>
      <c r="P63" s="3121">
        <f>IF(O60="",0,VLOOKUP(N60,LEDlookup,33,FALSE))</f>
        <v>0</v>
      </c>
      <c r="Q63" s="3121"/>
      <c r="R63" s="3121"/>
      <c r="S63" s="3121"/>
      <c r="T63" s="3121"/>
      <c r="U63" s="3121"/>
      <c r="V63" s="671"/>
      <c r="W63" s="1"/>
      <c r="X63" s="1"/>
      <c r="Y63" s="1"/>
      <c r="Z63" s="572"/>
      <c r="AA63" s="572"/>
      <c r="AB63" s="572"/>
      <c r="AC63" s="572"/>
      <c r="AD63" s="572"/>
      <c r="AE63" s="572"/>
      <c r="AF63" s="572"/>
    </row>
    <row r="64" spans="1:32" ht="14.25" customHeight="1">
      <c r="A64" s="1662"/>
      <c r="B64" s="1735" t="s">
        <v>3846</v>
      </c>
      <c r="C64" s="3126" t="str">
        <f>O64</f>
        <v/>
      </c>
      <c r="D64" s="3126"/>
      <c r="E64" s="3126"/>
      <c r="F64" s="3126"/>
      <c r="G64" s="3126"/>
      <c r="H64" s="3126"/>
      <c r="I64" s="3126"/>
      <c r="J64" s="2840"/>
      <c r="K64" s="1685"/>
      <c r="L64" s="2082"/>
      <c r="M64" s="572"/>
      <c r="N64" s="572">
        <v>14</v>
      </c>
      <c r="O64" s="3124" t="str">
        <f>IF(ISERROR(VLOOKUP(N64,LEDlookup,6,FALSE)),"",VLOOKUP(N64,LEDlookup,6,FALSE))</f>
        <v/>
      </c>
      <c r="P64" s="3125"/>
      <c r="Q64" s="2356">
        <f>IF(O64="",0,VLOOKUP(N64,LEDlookup,8,FALSE))</f>
        <v>0</v>
      </c>
      <c r="R64" s="2631">
        <f>IF(O64="",0,VLOOKUP(N64,LEDlookup,14,FALSE))</f>
        <v>0</v>
      </c>
      <c r="S64" s="2631">
        <f>IF(O64="",0,VLOOKUP(N64,LEDlookup,15,FALSE))</f>
        <v>0</v>
      </c>
      <c r="T64" s="2313">
        <f>IF(O64="",0,VLOOKUP(N64,LEDlookup,17,FALSE))</f>
        <v>0</v>
      </c>
      <c r="U64" s="2313">
        <f>IF(O64="",0,VLOOKUP(N64,LEDlookup,19,FALSE))</f>
        <v>0</v>
      </c>
      <c r="V64" s="2632">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4"/>
      <c r="M65" s="572"/>
      <c r="N65" s="572"/>
      <c r="O65" s="2633" t="s">
        <v>2649</v>
      </c>
      <c r="P65" s="3116">
        <f>IF(O64="",0,VLOOKUP(N64,LEDlookup,34,FALSE))</f>
        <v>0</v>
      </c>
      <c r="Q65" s="3116"/>
      <c r="R65" s="3116"/>
      <c r="S65" s="3116"/>
      <c r="T65" s="3116"/>
      <c r="U65" s="3116"/>
      <c r="V65" s="670"/>
      <c r="W65" s="1"/>
      <c r="X65" s="1"/>
      <c r="Y65" s="1"/>
      <c r="Z65" s="572"/>
      <c r="AA65" s="572"/>
      <c r="AB65" s="572"/>
      <c r="AC65" s="572"/>
      <c r="AD65" s="572"/>
      <c r="AE65" s="572"/>
      <c r="AF65" s="572"/>
    </row>
    <row r="66" spans="1:32" ht="14.25" customHeight="1">
      <c r="A66" s="1662"/>
      <c r="B66" s="3117" t="s">
        <v>479</v>
      </c>
      <c r="C66" s="3117"/>
      <c r="D66" s="3118">
        <f>P66</f>
        <v>0</v>
      </c>
      <c r="E66" s="3118"/>
      <c r="F66" s="3118"/>
      <c r="G66" s="3118"/>
      <c r="H66" s="3118"/>
      <c r="I66" s="3118"/>
      <c r="J66" s="1662"/>
      <c r="K66" s="1685"/>
      <c r="L66" s="2082"/>
      <c r="M66" s="572"/>
      <c r="N66" s="572"/>
      <c r="O66" s="2633" t="s">
        <v>2646</v>
      </c>
      <c r="P66" s="3116">
        <f>IF(O64="",0,VLOOKUP(N64,LEDlookup,32,FALSE))</f>
        <v>0</v>
      </c>
      <c r="Q66" s="3116"/>
      <c r="R66" s="3116"/>
      <c r="S66" s="3116"/>
      <c r="T66" s="3116"/>
      <c r="U66" s="3116"/>
      <c r="V66" s="670"/>
      <c r="W66" s="1"/>
      <c r="X66" s="1"/>
      <c r="Y66" s="1"/>
      <c r="Z66" s="572"/>
      <c r="AA66" s="572"/>
      <c r="AB66" s="572"/>
      <c r="AC66" s="572"/>
      <c r="AD66" s="572"/>
      <c r="AE66" s="572"/>
      <c r="AF66" s="572"/>
    </row>
    <row r="67" spans="1:32" ht="14.25" customHeight="1">
      <c r="A67" s="1662"/>
      <c r="B67" s="3117" t="s">
        <v>214</v>
      </c>
      <c r="C67" s="3117"/>
      <c r="D67" s="3122">
        <f>P67</f>
        <v>0</v>
      </c>
      <c r="E67" s="3122"/>
      <c r="F67" s="3122"/>
      <c r="G67" s="3122"/>
      <c r="H67" s="3122"/>
      <c r="I67" s="3122"/>
      <c r="J67" s="1662"/>
      <c r="K67" s="1685"/>
      <c r="L67" s="2082"/>
      <c r="M67" s="572"/>
      <c r="N67" s="572"/>
      <c r="O67" s="2634" t="s">
        <v>2647</v>
      </c>
      <c r="P67" s="3121">
        <f>IF(O64="",0,VLOOKUP(N64,LEDlookup,33,FALSE))</f>
        <v>0</v>
      </c>
      <c r="Q67" s="3121"/>
      <c r="R67" s="3121"/>
      <c r="S67" s="3121"/>
      <c r="T67" s="3121"/>
      <c r="U67" s="3121"/>
      <c r="V67" s="671"/>
      <c r="W67" s="1"/>
      <c r="X67" s="1"/>
      <c r="Y67" s="1"/>
      <c r="Z67" s="572"/>
      <c r="AA67" s="572"/>
      <c r="AB67" s="572"/>
      <c r="AC67" s="572"/>
      <c r="AD67" s="572"/>
      <c r="AE67" s="572"/>
      <c r="AF67" s="572"/>
    </row>
    <row r="68" spans="1:32" ht="14.25" customHeight="1">
      <c r="A68" s="1662"/>
      <c r="B68" s="2868" t="s">
        <v>3847</v>
      </c>
      <c r="C68" s="3123" t="str">
        <f>O68</f>
        <v/>
      </c>
      <c r="D68" s="3123"/>
      <c r="E68" s="3123"/>
      <c r="F68" s="3123"/>
      <c r="G68" s="3123"/>
      <c r="H68" s="3123"/>
      <c r="I68" s="3123"/>
      <c r="J68" s="2839"/>
      <c r="K68" s="1685"/>
      <c r="L68" s="2082"/>
      <c r="M68" s="572"/>
      <c r="N68" s="572">
        <v>15</v>
      </c>
      <c r="O68" s="3124" t="str">
        <f>IF(ISERROR(VLOOKUP(N68,LEDlookup,6,FALSE)),"",VLOOKUP(N68,LEDlookup,6,FALSE))</f>
        <v/>
      </c>
      <c r="P68" s="3125"/>
      <c r="Q68" s="2356">
        <f>IF(O68="",0,VLOOKUP(N68,LEDlookup,8,FALSE))</f>
        <v>0</v>
      </c>
      <c r="R68" s="2631">
        <f>IF(O68="",0,VLOOKUP(N68,LEDlookup,14,FALSE))</f>
        <v>0</v>
      </c>
      <c r="S68" s="2631">
        <f>IF(O68="",0,VLOOKUP(N68,LEDlookup,15,FALSE))</f>
        <v>0</v>
      </c>
      <c r="T68" s="2313">
        <f>IF(O68="",0,VLOOKUP(N68,LEDlookup,17,FALSE))</f>
        <v>0</v>
      </c>
      <c r="U68" s="2313">
        <f>IF(O68="",0,VLOOKUP(N68,LEDlookup,19,FALSE))</f>
        <v>0</v>
      </c>
      <c r="V68" s="2632">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4"/>
      <c r="M69" s="572"/>
      <c r="N69" s="572"/>
      <c r="O69" s="2633" t="s">
        <v>2649</v>
      </c>
      <c r="P69" s="3116">
        <f>IF(O68="",0,VLOOKUP(N68,LEDlookup,34,FALSE))</f>
        <v>0</v>
      </c>
      <c r="Q69" s="3116"/>
      <c r="R69" s="3116"/>
      <c r="S69" s="3116"/>
      <c r="T69" s="3116"/>
      <c r="U69" s="3116"/>
      <c r="V69" s="670"/>
      <c r="W69" s="1"/>
      <c r="X69" s="1"/>
      <c r="Y69" s="1"/>
      <c r="Z69" s="572"/>
      <c r="AA69" s="572"/>
      <c r="AB69" s="572"/>
      <c r="AC69" s="572"/>
      <c r="AD69" s="572"/>
      <c r="AE69" s="572"/>
      <c r="AF69" s="572"/>
    </row>
    <row r="70" spans="1:32" ht="14.25" customHeight="1">
      <c r="A70" s="1662"/>
      <c r="B70" s="3117" t="s">
        <v>479</v>
      </c>
      <c r="C70" s="3117"/>
      <c r="D70" s="3118">
        <f>P70</f>
        <v>0</v>
      </c>
      <c r="E70" s="3118"/>
      <c r="F70" s="3118"/>
      <c r="G70" s="3118"/>
      <c r="H70" s="3118"/>
      <c r="I70" s="3118"/>
      <c r="J70" s="1662"/>
      <c r="K70" s="1685"/>
      <c r="L70" s="2082"/>
      <c r="M70" s="572"/>
      <c r="N70" s="572"/>
      <c r="O70" s="2633" t="s">
        <v>2646</v>
      </c>
      <c r="P70" s="3116">
        <f>IF(O68="",0,VLOOKUP(N68,LEDlookup,32,FALSE))</f>
        <v>0</v>
      </c>
      <c r="Q70" s="3116"/>
      <c r="R70" s="3116"/>
      <c r="S70" s="3116"/>
      <c r="T70" s="3116"/>
      <c r="U70" s="3116"/>
      <c r="V70" s="670"/>
      <c r="W70" s="1"/>
      <c r="X70" s="1"/>
      <c r="Y70" s="1"/>
      <c r="Z70" s="572"/>
      <c r="AA70" s="572"/>
      <c r="AB70" s="572"/>
      <c r="AC70" s="572"/>
      <c r="AD70" s="572"/>
      <c r="AE70" s="572"/>
      <c r="AF70" s="572"/>
    </row>
    <row r="71" spans="1:32" ht="14.25" customHeight="1">
      <c r="A71" s="1662"/>
      <c r="B71" s="3117" t="s">
        <v>214</v>
      </c>
      <c r="C71" s="3117"/>
      <c r="D71" s="3122">
        <f>P71</f>
        <v>0</v>
      </c>
      <c r="E71" s="3122"/>
      <c r="F71" s="3122"/>
      <c r="G71" s="3122"/>
      <c r="H71" s="3122"/>
      <c r="I71" s="3122"/>
      <c r="J71" s="1662"/>
      <c r="K71" s="1685"/>
      <c r="L71" s="2082"/>
      <c r="M71" s="572"/>
      <c r="N71" s="572"/>
      <c r="O71" s="2634" t="s">
        <v>2647</v>
      </c>
      <c r="P71" s="3121">
        <f>IF(O68="",0,VLOOKUP(N68,LEDlookup,33,FALSE))</f>
        <v>0</v>
      </c>
      <c r="Q71" s="3121"/>
      <c r="R71" s="3121"/>
      <c r="S71" s="3121"/>
      <c r="T71" s="3121"/>
      <c r="U71" s="3121"/>
      <c r="V71" s="671"/>
      <c r="W71" s="1"/>
      <c r="X71" s="1"/>
      <c r="Y71" s="1"/>
      <c r="Z71" s="572"/>
      <c r="AA71" s="572"/>
      <c r="AB71" s="572"/>
      <c r="AC71" s="572"/>
      <c r="AD71" s="572"/>
      <c r="AE71" s="572"/>
      <c r="AF71" s="572"/>
    </row>
    <row r="72" spans="1:32" ht="14.25" customHeight="1">
      <c r="A72" s="1662"/>
      <c r="B72" s="2868" t="s">
        <v>3848</v>
      </c>
      <c r="C72" s="3123" t="str">
        <f>O72</f>
        <v/>
      </c>
      <c r="D72" s="3123"/>
      <c r="E72" s="3123"/>
      <c r="F72" s="3123"/>
      <c r="G72" s="3123"/>
      <c r="H72" s="3123"/>
      <c r="I72" s="3123"/>
      <c r="J72" s="2839"/>
      <c r="K72" s="1685"/>
      <c r="L72" s="2082"/>
      <c r="M72" s="572"/>
      <c r="N72" s="572">
        <v>16</v>
      </c>
      <c r="O72" s="3124" t="str">
        <f>IF(ISERROR(VLOOKUP(N72,LEDlookup,6,FALSE)),"",VLOOKUP(N72,LEDlookup,6,FALSE))</f>
        <v/>
      </c>
      <c r="P72" s="3125"/>
      <c r="Q72" s="2356">
        <f>IF(O72="",0,VLOOKUP(N72,LEDlookup,8,FALSE))</f>
        <v>0</v>
      </c>
      <c r="R72" s="2631">
        <f>IF(O72="",0,VLOOKUP(N72,LEDlookup,14,FALSE))</f>
        <v>0</v>
      </c>
      <c r="S72" s="2631">
        <f>IF(O72="",0,VLOOKUP(N72,LEDlookup,15,FALSE))</f>
        <v>0</v>
      </c>
      <c r="T72" s="2313">
        <f>IF(O72="",0,VLOOKUP(N72,LEDlookup,17,FALSE))</f>
        <v>0</v>
      </c>
      <c r="U72" s="2313">
        <f>IF(O72="",0,VLOOKUP(N72,LEDlookup,19,FALSE))</f>
        <v>0</v>
      </c>
      <c r="V72" s="2632">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4"/>
      <c r="M73" s="572"/>
      <c r="N73" s="572"/>
      <c r="O73" s="2633" t="s">
        <v>2649</v>
      </c>
      <c r="P73" s="3116">
        <f>IF(O72="",0,VLOOKUP(N72,LEDlookup,34,FALSE))</f>
        <v>0</v>
      </c>
      <c r="Q73" s="3116"/>
      <c r="R73" s="3116"/>
      <c r="S73" s="3116"/>
      <c r="T73" s="3116"/>
      <c r="U73" s="3116"/>
      <c r="V73" s="670"/>
      <c r="W73" s="1"/>
      <c r="X73" s="1"/>
      <c r="Y73" s="1"/>
      <c r="Z73" s="572"/>
      <c r="AA73" s="572"/>
      <c r="AB73" s="572"/>
      <c r="AC73" s="572"/>
      <c r="AD73" s="572"/>
      <c r="AE73" s="572"/>
      <c r="AF73" s="572"/>
    </row>
    <row r="74" spans="1:32" ht="14.25" customHeight="1">
      <c r="A74" s="1662"/>
      <c r="B74" s="3117" t="s">
        <v>479</v>
      </c>
      <c r="C74" s="3117"/>
      <c r="D74" s="3118">
        <f>P74</f>
        <v>0</v>
      </c>
      <c r="E74" s="3118"/>
      <c r="F74" s="3118"/>
      <c r="G74" s="3118"/>
      <c r="H74" s="3118"/>
      <c r="I74" s="3118"/>
      <c r="J74" s="1662"/>
      <c r="K74" s="1685"/>
      <c r="L74" s="2082"/>
      <c r="M74" s="572"/>
      <c r="N74" s="572"/>
      <c r="O74" s="2633" t="s">
        <v>2646</v>
      </c>
      <c r="P74" s="3116">
        <f>IF(O72="",0,VLOOKUP(N72,LEDlookup,32,FALSE))</f>
        <v>0</v>
      </c>
      <c r="Q74" s="3116"/>
      <c r="R74" s="3116"/>
      <c r="S74" s="3116"/>
      <c r="T74" s="3116"/>
      <c r="U74" s="3116"/>
      <c r="V74" s="670"/>
      <c r="W74" s="1"/>
      <c r="X74" s="1"/>
      <c r="Y74" s="1"/>
      <c r="Z74" s="572"/>
      <c r="AA74" s="572"/>
      <c r="AB74" s="572"/>
      <c r="AC74" s="572"/>
      <c r="AD74" s="572"/>
      <c r="AE74" s="572"/>
      <c r="AF74" s="572"/>
    </row>
    <row r="75" spans="1:32" ht="14.25" customHeight="1">
      <c r="A75" s="1662"/>
      <c r="B75" s="3117" t="s">
        <v>214</v>
      </c>
      <c r="C75" s="3117"/>
      <c r="D75" s="3122">
        <f>P75</f>
        <v>0</v>
      </c>
      <c r="E75" s="3122"/>
      <c r="F75" s="3122"/>
      <c r="G75" s="3122"/>
      <c r="H75" s="3122"/>
      <c r="I75" s="3122"/>
      <c r="J75" s="1662"/>
      <c r="K75" s="1685"/>
      <c r="L75" s="2082"/>
      <c r="M75" s="572"/>
      <c r="N75" s="572"/>
      <c r="O75" s="2634" t="s">
        <v>2647</v>
      </c>
      <c r="P75" s="3121">
        <f>IF(O72="",0,VLOOKUP(N72,LEDlookup,33,FALSE))</f>
        <v>0</v>
      </c>
      <c r="Q75" s="3121"/>
      <c r="R75" s="3121"/>
      <c r="S75" s="3121"/>
      <c r="T75" s="3121"/>
      <c r="U75" s="3121"/>
      <c r="V75" s="671"/>
      <c r="W75" s="1"/>
      <c r="X75" s="1"/>
      <c r="Y75" s="1"/>
      <c r="Z75" s="572"/>
      <c r="AA75" s="572"/>
      <c r="AB75" s="572"/>
      <c r="AC75" s="572"/>
      <c r="AD75" s="572"/>
      <c r="AE75" s="572"/>
      <c r="AF75" s="572"/>
    </row>
    <row r="76" spans="1:32" ht="14.25" customHeight="1">
      <c r="A76" s="1662"/>
      <c r="B76" s="2868" t="s">
        <v>3849</v>
      </c>
      <c r="C76" s="3123" t="str">
        <f>O76</f>
        <v/>
      </c>
      <c r="D76" s="3123"/>
      <c r="E76" s="3123"/>
      <c r="F76" s="3123"/>
      <c r="G76" s="3123"/>
      <c r="H76" s="3123"/>
      <c r="I76" s="3123"/>
      <c r="J76" s="2839"/>
      <c r="K76" s="1685"/>
      <c r="L76" s="2082"/>
      <c r="M76" s="572"/>
      <c r="N76" s="572">
        <v>17</v>
      </c>
      <c r="O76" s="3124" t="str">
        <f>IF(ISERROR(VLOOKUP(N76,LEDlookup,6,FALSE)),"",VLOOKUP(N76,LEDlookup,6,FALSE))</f>
        <v/>
      </c>
      <c r="P76" s="3125"/>
      <c r="Q76" s="2356">
        <f>IF(O76="",0,VLOOKUP(N76,LEDlookup,8,FALSE))</f>
        <v>0</v>
      </c>
      <c r="R76" s="2631">
        <f>IF(O76="",0,VLOOKUP(N76,LEDlookup,14,FALSE))</f>
        <v>0</v>
      </c>
      <c r="S76" s="2631">
        <f>IF(O76="",0,VLOOKUP(N76,LEDlookup,15,FALSE))</f>
        <v>0</v>
      </c>
      <c r="T76" s="2313">
        <f>IF(O76="",0,VLOOKUP(N76,LEDlookup,17,FALSE))</f>
        <v>0</v>
      </c>
      <c r="U76" s="2313">
        <f>IF(O76="",0,VLOOKUP(N76,LEDlookup,19,FALSE))</f>
        <v>0</v>
      </c>
      <c r="V76" s="2632">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4"/>
      <c r="M77" s="572"/>
      <c r="N77" s="572"/>
      <c r="O77" s="2633" t="s">
        <v>2649</v>
      </c>
      <c r="P77" s="3116">
        <f>IF(O76="",0,VLOOKUP(N76,LEDlookup,34,FALSE))</f>
        <v>0</v>
      </c>
      <c r="Q77" s="3116"/>
      <c r="R77" s="3116"/>
      <c r="S77" s="3116"/>
      <c r="T77" s="3116"/>
      <c r="U77" s="3116"/>
      <c r="V77" s="670"/>
      <c r="W77" s="1"/>
      <c r="X77" s="1"/>
      <c r="Y77" s="1"/>
      <c r="Z77" s="572"/>
      <c r="AA77" s="572"/>
      <c r="AB77" s="572"/>
      <c r="AC77" s="572"/>
      <c r="AD77" s="572"/>
      <c r="AE77" s="572"/>
      <c r="AF77" s="572"/>
    </row>
    <row r="78" spans="1:32" ht="14.25" customHeight="1">
      <c r="A78" s="1662"/>
      <c r="B78" s="3117" t="s">
        <v>479</v>
      </c>
      <c r="C78" s="3117"/>
      <c r="D78" s="3118">
        <f>P78</f>
        <v>0</v>
      </c>
      <c r="E78" s="3118"/>
      <c r="F78" s="3118"/>
      <c r="G78" s="3118"/>
      <c r="H78" s="3118"/>
      <c r="I78" s="3118"/>
      <c r="J78" s="1662"/>
      <c r="K78" s="1685"/>
      <c r="L78" s="2082"/>
      <c r="M78" s="572"/>
      <c r="N78" s="572"/>
      <c r="O78" s="2633" t="s">
        <v>2646</v>
      </c>
      <c r="P78" s="3116">
        <f>IF(O76="",0,VLOOKUP(N76,LEDlookup,32,FALSE))</f>
        <v>0</v>
      </c>
      <c r="Q78" s="3116"/>
      <c r="R78" s="3116"/>
      <c r="S78" s="3116"/>
      <c r="T78" s="3116"/>
      <c r="U78" s="3116"/>
      <c r="V78" s="670"/>
      <c r="W78" s="1"/>
      <c r="X78" s="1"/>
      <c r="Y78" s="1"/>
      <c r="Z78" s="572"/>
      <c r="AA78" s="572"/>
      <c r="AB78" s="572"/>
      <c r="AC78" s="572"/>
      <c r="AD78" s="572"/>
      <c r="AE78" s="572"/>
      <c r="AF78" s="572"/>
    </row>
    <row r="79" spans="1:32" ht="14.25" customHeight="1" thickBot="1">
      <c r="A79" s="1662"/>
      <c r="B79" s="3119" t="s">
        <v>214</v>
      </c>
      <c r="C79" s="3119"/>
      <c r="D79" s="3120">
        <f>P79</f>
        <v>0</v>
      </c>
      <c r="E79" s="3120"/>
      <c r="F79" s="3120"/>
      <c r="G79" s="3120"/>
      <c r="H79" s="3120"/>
      <c r="I79" s="3120"/>
      <c r="J79" s="1673"/>
      <c r="K79" s="1685"/>
      <c r="L79" s="2082"/>
      <c r="M79" s="572"/>
      <c r="N79" s="572"/>
      <c r="O79" s="2634" t="s">
        <v>2647</v>
      </c>
      <c r="P79" s="3121">
        <f>IF(O76="",0,VLOOKUP(N76,LEDlookup,33,FALSE))</f>
        <v>0</v>
      </c>
      <c r="Q79" s="3121"/>
      <c r="R79" s="3121"/>
      <c r="S79" s="3121"/>
      <c r="T79" s="3121"/>
      <c r="U79" s="3121"/>
      <c r="V79" s="671"/>
      <c r="W79" s="1"/>
      <c r="X79" s="1"/>
      <c r="Y79" s="1"/>
      <c r="Z79" s="572"/>
      <c r="AA79" s="572"/>
      <c r="AB79" s="572"/>
      <c r="AC79" s="572"/>
      <c r="AD79" s="572"/>
      <c r="AE79" s="572"/>
      <c r="AF79" s="572"/>
    </row>
    <row r="80" spans="1:32" ht="21.75" customHeight="1" thickBot="1">
      <c r="A80" s="1702"/>
      <c r="B80" s="2875"/>
      <c r="C80" s="2874" t="s">
        <v>3415</v>
      </c>
      <c r="D80" s="2873"/>
      <c r="E80" s="2872">
        <f t="shared" ref="E80:G80" si="57">SUM(E13:E39)</f>
        <v>0</v>
      </c>
      <c r="F80" s="2871">
        <f t="shared" si="57"/>
        <v>0</v>
      </c>
      <c r="G80" s="2869">
        <f t="shared" si="57"/>
        <v>0</v>
      </c>
      <c r="H80" s="2870">
        <f>SUM(H13:H79)</f>
        <v>0</v>
      </c>
      <c r="I80" s="2870">
        <f>SUM(I13:I79)</f>
        <v>0</v>
      </c>
      <c r="J80" s="2870">
        <f>SUM(J13:J79)</f>
        <v>0</v>
      </c>
      <c r="K80" s="1702"/>
      <c r="L80" s="572"/>
      <c r="M80" s="572"/>
      <c r="N80" s="572"/>
      <c r="O80" s="1"/>
      <c r="P80" s="1"/>
      <c r="Q80" s="2412">
        <f t="shared" ref="Q80:V80" si="58">SUM(Q12:Q28)</f>
        <v>0</v>
      </c>
      <c r="R80" s="2642">
        <f t="shared" si="58"/>
        <v>0</v>
      </c>
      <c r="S80" s="2642">
        <f t="shared" si="58"/>
        <v>0</v>
      </c>
      <c r="T80" s="2643">
        <f t="shared" si="58"/>
        <v>0</v>
      </c>
      <c r="U80" s="2643">
        <f t="shared" si="58"/>
        <v>0</v>
      </c>
      <c r="V80" s="2643">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4"/>
      <c r="C82" s="2644"/>
      <c r="D82" s="2645"/>
      <c r="E82" s="2645"/>
      <c r="F82" s="2645"/>
      <c r="G82" s="2645"/>
      <c r="H82" s="2645"/>
      <c r="I82" s="2645"/>
      <c r="J82" s="2645"/>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6"/>
      <c r="C83" s="2647"/>
      <c r="D83" s="2647"/>
      <c r="E83" s="2647"/>
      <c r="F83" s="2647"/>
      <c r="G83" s="2647"/>
      <c r="H83" s="2647"/>
      <c r="I83" s="2647"/>
      <c r="J83" s="2647"/>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6"/>
      <c r="B84" s="2648"/>
      <c r="C84" s="2648"/>
      <c r="D84" s="2649"/>
      <c r="E84" s="2649"/>
      <c r="F84" s="2650"/>
      <c r="G84" s="2651"/>
      <c r="H84" s="2652"/>
      <c r="I84" s="2652"/>
      <c r="J84" s="2652"/>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4"/>
      <c r="C85" s="2644"/>
      <c r="D85" s="2645"/>
      <c r="E85" s="2645"/>
      <c r="F85" s="2645"/>
      <c r="G85" s="2645"/>
      <c r="H85" s="2645"/>
      <c r="I85" s="2645"/>
      <c r="J85" s="2645"/>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4"/>
      <c r="C86" s="2644"/>
      <c r="D86" s="2645"/>
      <c r="E86" s="2645"/>
      <c r="F86" s="2645"/>
      <c r="G86" s="2645"/>
      <c r="H86" s="2645"/>
      <c r="I86" s="2645"/>
      <c r="J86" s="2645"/>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29"/>
      <c r="T124" s="3129"/>
      <c r="U124" s="3129"/>
      <c r="V124" s="3129"/>
      <c r="W124" s="3129"/>
      <c r="X124" s="3129"/>
      <c r="Y124" s="3129"/>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29"/>
      <c r="T126" s="3129"/>
      <c r="U126" s="3129"/>
      <c r="V126" s="3129"/>
      <c r="W126" s="3129"/>
      <c r="X126" s="3129"/>
      <c r="Y126" s="3129"/>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B6" sqref="B6:J6"/>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08" t="s">
        <v>596</v>
      </c>
      <c r="D1" s="3108"/>
      <c r="E1" s="3108"/>
      <c r="F1" s="3108"/>
      <c r="G1" s="3108"/>
      <c r="H1" s="3108"/>
      <c r="I1" s="3108"/>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3" t="str">
        <f>Utility_Copyrite</f>
        <v>Copyright © 2012 Potomac Electric Power Company</v>
      </c>
      <c r="K2" s="1685"/>
      <c r="L2" s="1685"/>
      <c r="M2" s="572"/>
      <c r="N2" s="572"/>
      <c r="O2" s="572"/>
      <c r="P2" s="572"/>
      <c r="Q2" s="572"/>
      <c r="R2" s="572"/>
      <c r="S2" s="572"/>
      <c r="T2" s="572"/>
      <c r="U2" s="572"/>
      <c r="V2" s="572"/>
      <c r="W2" s="2803" t="s">
        <v>3824</v>
      </c>
      <c r="X2" s="572"/>
      <c r="Y2" s="572"/>
      <c r="Z2" s="572"/>
      <c r="AA2" s="572"/>
      <c r="AB2" s="572"/>
    </row>
    <row r="3" spans="1:30" ht="12.9" customHeight="1">
      <c r="A3" s="1685"/>
      <c r="B3" s="1685"/>
      <c r="C3" s="1706"/>
      <c r="D3" s="1707"/>
      <c r="E3" s="1707"/>
      <c r="F3" s="1707"/>
      <c r="G3" s="1707"/>
      <c r="H3" s="1685"/>
      <c r="I3" s="1685"/>
      <c r="J3" s="2893" t="str">
        <f>Utility_Rights</f>
        <v>All Rights Reserved</v>
      </c>
      <c r="K3" s="1685"/>
      <c r="L3" s="1685"/>
      <c r="M3" s="572"/>
      <c r="N3" s="572"/>
      <c r="O3" s="572"/>
      <c r="P3" s="571"/>
      <c r="Q3" s="572"/>
      <c r="R3" s="572"/>
      <c r="S3" s="572"/>
      <c r="T3" s="572"/>
      <c r="U3" s="572"/>
      <c r="V3" s="572"/>
      <c r="W3" s="3097" t="s">
        <v>3831</v>
      </c>
      <c r="X3" s="3097"/>
      <c r="Y3" s="3097"/>
      <c r="Z3" s="3097"/>
      <c r="AA3" s="3097"/>
      <c r="AB3" s="3097"/>
      <c r="AC3" s="3097"/>
      <c r="AD3" s="3097"/>
    </row>
    <row r="4" spans="1:30" ht="55.5" customHeight="1">
      <c r="A4" s="1685"/>
      <c r="B4" s="1685"/>
      <c r="C4" s="1706"/>
      <c r="D4" s="1707"/>
      <c r="E4" s="1707"/>
      <c r="F4" s="1707"/>
      <c r="G4" s="1707"/>
      <c r="H4" s="1685"/>
      <c r="I4" s="1685"/>
      <c r="J4" s="2893"/>
      <c r="K4" s="1685"/>
      <c r="L4" s="1685"/>
      <c r="M4" s="572"/>
      <c r="N4" s="572"/>
      <c r="O4" s="572"/>
      <c r="P4" s="571"/>
      <c r="Q4" s="572"/>
      <c r="R4" s="572"/>
      <c r="S4" s="572"/>
      <c r="T4" s="572"/>
      <c r="U4" s="572"/>
      <c r="V4" s="572"/>
      <c r="W4" s="3097"/>
      <c r="X4" s="3097"/>
      <c r="Y4" s="3097"/>
      <c r="Z4" s="3097"/>
      <c r="AA4" s="3097"/>
      <c r="AB4" s="3097"/>
      <c r="AC4" s="3097"/>
      <c r="AD4" s="3097"/>
    </row>
    <row r="5" spans="1:30" ht="15.75" customHeight="1">
      <c r="A5" s="1685"/>
      <c r="B5" s="3073" t="s">
        <v>246</v>
      </c>
      <c r="C5" s="3073"/>
      <c r="D5" s="3073"/>
      <c r="E5" s="3073"/>
      <c r="F5" s="3073"/>
      <c r="G5" s="3073"/>
      <c r="H5" s="3073"/>
      <c r="I5" s="3073"/>
      <c r="J5" s="2016"/>
      <c r="K5" s="1685"/>
      <c r="L5" s="1685"/>
      <c r="M5" s="572"/>
      <c r="N5" s="572"/>
      <c r="O5" s="572"/>
      <c r="P5" s="572"/>
      <c r="Q5" s="572"/>
      <c r="R5" s="572"/>
      <c r="S5" s="572"/>
      <c r="T5" s="572"/>
      <c r="U5" s="572"/>
      <c r="V5" s="572"/>
      <c r="W5" s="3097"/>
      <c r="X5" s="3097"/>
      <c r="Y5" s="3097"/>
      <c r="Z5" s="3097"/>
      <c r="AA5" s="3097"/>
      <c r="AB5" s="3097"/>
      <c r="AC5" s="3097"/>
      <c r="AD5" s="3097"/>
    </row>
    <row r="6" spans="1:30" ht="71.25" customHeight="1">
      <c r="A6" s="1685"/>
      <c r="B6" s="3111" t="s">
        <v>3301</v>
      </c>
      <c r="C6" s="3111"/>
      <c r="D6" s="3111"/>
      <c r="E6" s="3111"/>
      <c r="F6" s="3111"/>
      <c r="G6" s="3111"/>
      <c r="H6" s="3111"/>
      <c r="I6" s="3111"/>
      <c r="J6" s="3111"/>
      <c r="K6" s="1694"/>
      <c r="L6" s="1694"/>
      <c r="M6" s="572"/>
      <c r="N6" s="572"/>
      <c r="O6" s="572"/>
      <c r="P6" s="572"/>
      <c r="Q6" s="571"/>
      <c r="R6" s="571"/>
      <c r="S6" s="571"/>
      <c r="T6" s="571"/>
      <c r="U6" s="571"/>
      <c r="V6" s="572"/>
      <c r="W6" s="3097"/>
      <c r="X6" s="3097"/>
      <c r="Y6" s="3097"/>
      <c r="Z6" s="3097"/>
      <c r="AA6" s="3097"/>
      <c r="AB6" s="3097"/>
      <c r="AC6" s="3097"/>
      <c r="AD6" s="3097"/>
    </row>
    <row r="7" spans="1:30" ht="54.75" customHeight="1">
      <c r="A7" s="1685"/>
      <c r="B7" s="3134" t="s">
        <v>3695</v>
      </c>
      <c r="C7" s="3134"/>
      <c r="D7" s="3134"/>
      <c r="E7" s="3134"/>
      <c r="F7" s="3134"/>
      <c r="G7" s="3134"/>
      <c r="H7" s="3134"/>
      <c r="I7" s="3134"/>
      <c r="J7" s="3134"/>
      <c r="K7" s="1694"/>
      <c r="L7" s="1694"/>
      <c r="M7" s="572"/>
      <c r="N7" s="572"/>
      <c r="O7" s="2082" t="b">
        <v>0</v>
      </c>
      <c r="P7" s="572"/>
      <c r="Q7" s="572"/>
      <c r="R7" s="572"/>
      <c r="S7" s="572"/>
      <c r="T7" s="572"/>
      <c r="U7" s="572"/>
      <c r="V7" s="572"/>
      <c r="W7" s="572"/>
      <c r="X7" s="572"/>
      <c r="Y7" s="572"/>
      <c r="Z7" s="572"/>
      <c r="AA7" s="572"/>
      <c r="AB7" s="572"/>
    </row>
    <row r="8" spans="1:30" ht="15.75" customHeight="1">
      <c r="A8" s="1685"/>
      <c r="B8" s="3073" t="s">
        <v>599</v>
      </c>
      <c r="C8" s="3073"/>
      <c r="D8" s="3073"/>
      <c r="E8" s="3073"/>
      <c r="F8" s="3073"/>
      <c r="G8" s="3073"/>
      <c r="H8" s="3073"/>
      <c r="I8" s="3073"/>
      <c r="J8" s="2016"/>
      <c r="K8" s="1685"/>
      <c r="L8" s="1685"/>
      <c r="M8" s="1467"/>
      <c r="N8" s="572"/>
      <c r="O8" s="572"/>
      <c r="P8" s="1"/>
      <c r="Q8" s="1"/>
      <c r="R8" s="1"/>
      <c r="S8" s="1"/>
      <c r="T8" s="1"/>
      <c r="U8" s="1"/>
      <c r="V8" s="572"/>
      <c r="W8" s="572"/>
      <c r="X8" s="572"/>
      <c r="Y8" s="572"/>
      <c r="Z8" s="572"/>
      <c r="AA8" s="572"/>
      <c r="AB8" s="572"/>
    </row>
    <row r="9" spans="1:30" ht="54.75" customHeight="1" thickBot="1">
      <c r="A9" s="1702"/>
      <c r="B9" s="3109" t="s">
        <v>219</v>
      </c>
      <c r="C9" s="3109"/>
      <c r="D9" s="2020" t="s">
        <v>2166</v>
      </c>
      <c r="E9" s="2020" t="s">
        <v>332</v>
      </c>
      <c r="F9" s="2020" t="s">
        <v>211</v>
      </c>
      <c r="G9" s="2020" t="s">
        <v>212</v>
      </c>
      <c r="H9" s="2020" t="s">
        <v>213</v>
      </c>
      <c r="I9" s="2799" t="str">
        <f>IF($O$7=TRUE,"Trade Ally Proposed Cost", "Utility Estimated Cost")</f>
        <v>Utility Estimated Cost</v>
      </c>
      <c r="J9" s="2751" t="str">
        <f>Utility_Name_Cap&amp;" Incentive"</f>
        <v>PEPCO Incentive</v>
      </c>
      <c r="K9" s="1685"/>
      <c r="L9" s="2805" t="str">
        <f>IF($O$7=TRUE,"Trade Ally Costs","")</f>
        <v/>
      </c>
      <c r="M9" s="572"/>
      <c r="N9" s="572"/>
      <c r="O9" s="3132" t="s">
        <v>2650</v>
      </c>
      <c r="P9" s="3133"/>
      <c r="Q9" s="2310" t="s">
        <v>332</v>
      </c>
      <c r="R9" s="2310" t="s">
        <v>2298</v>
      </c>
      <c r="S9" s="2310" t="s">
        <v>2299</v>
      </c>
      <c r="T9" s="2310" t="s">
        <v>2300</v>
      </c>
      <c r="U9" s="2310" t="s">
        <v>2301</v>
      </c>
      <c r="V9" s="2311" t="s">
        <v>2040</v>
      </c>
      <c r="W9" s="572"/>
      <c r="X9" s="572"/>
      <c r="Y9" s="572"/>
      <c r="Z9" s="572"/>
      <c r="AA9" s="572"/>
      <c r="AB9" s="572"/>
    </row>
    <row r="10" spans="1:30" ht="14.25" customHeight="1">
      <c r="A10" s="1702"/>
      <c r="B10" s="1710" t="s">
        <v>333</v>
      </c>
      <c r="C10" s="3135" t="str">
        <f>O10</f>
        <v/>
      </c>
      <c r="D10" s="3135"/>
      <c r="E10" s="3135"/>
      <c r="F10" s="3135"/>
      <c r="G10" s="3135"/>
      <c r="H10" s="3135"/>
      <c r="I10" s="3135"/>
      <c r="J10" s="2022"/>
      <c r="K10" s="1685"/>
      <c r="L10" s="2082"/>
      <c r="M10" s="572"/>
      <c r="N10" s="572">
        <v>1</v>
      </c>
      <c r="O10" s="3124" t="str">
        <f>IF(ISERROR(VLOOKUP(N10,CFLlookup,8,FALSE)),"",VLOOKUP(N10,CFLlookup,8,FALSE))</f>
        <v/>
      </c>
      <c r="P10" s="3125"/>
      <c r="Q10" s="2356">
        <f>IF(O10="",0,VLOOKUP(N10,CFLlookup,10,FALSE))</f>
        <v>0</v>
      </c>
      <c r="R10" s="2631">
        <f>IF(O10="",0,VLOOKUP(N10,CFLlookup,16,FALSE))</f>
        <v>0</v>
      </c>
      <c r="S10" s="2631">
        <f>IF(O10="",0,VLOOKUP(N10,CFLlookup,17,FALSE))</f>
        <v>0</v>
      </c>
      <c r="T10" s="2313">
        <f>IF(O10="",0,VLOOKUP(N10,CFLlookup,19,FALSE))</f>
        <v>0</v>
      </c>
      <c r="U10" s="2313">
        <f>IF(O10="",0,VLOOKUP(N10,CFLlookup,21,FALSE))</f>
        <v>0</v>
      </c>
      <c r="V10" s="2632">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4"/>
      <c r="M11" s="572"/>
      <c r="N11" s="572"/>
      <c r="O11" s="2633" t="s">
        <v>2649</v>
      </c>
      <c r="P11" s="3116">
        <f>IF(O10="",0,VLOOKUP(N10,CFLlookup,36,FALSE))</f>
        <v>0</v>
      </c>
      <c r="Q11" s="3116"/>
      <c r="R11" s="3116"/>
      <c r="S11" s="3116"/>
      <c r="T11" s="3116"/>
      <c r="U11" s="3116"/>
      <c r="V11" s="670"/>
      <c r="W11" s="2806"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3" t="s">
        <v>2646</v>
      </c>
      <c r="P12" s="3116">
        <f>IF(O10="",0,VLOOKUP(N10,CFLlookup,34,FALSE))</f>
        <v>0</v>
      </c>
      <c r="Q12" s="3116"/>
      <c r="R12" s="3116"/>
      <c r="S12" s="3116"/>
      <c r="T12" s="3116"/>
      <c r="U12" s="3116"/>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4" t="s">
        <v>2647</v>
      </c>
      <c r="P13" s="3121">
        <f>IF(O10="",0,VLOOKUP(N10,CFLlookup,35,FALSE))</f>
        <v>0</v>
      </c>
      <c r="Q13" s="3121"/>
      <c r="R13" s="3121"/>
      <c r="S13" s="3121"/>
      <c r="T13" s="3121"/>
      <c r="U13" s="3121"/>
      <c r="V13" s="671"/>
      <c r="W13" s="572"/>
      <c r="X13" s="572"/>
      <c r="Y13" s="572"/>
      <c r="Z13" s="572"/>
      <c r="AA13" s="572"/>
      <c r="AB13" s="572"/>
    </row>
    <row r="14" spans="1:30" ht="14.25" customHeight="1">
      <c r="A14" s="1702"/>
      <c r="B14" s="1710" t="s">
        <v>334</v>
      </c>
      <c r="C14" s="3131" t="str">
        <f>O14</f>
        <v/>
      </c>
      <c r="D14" s="3131"/>
      <c r="E14" s="3131"/>
      <c r="F14" s="3131"/>
      <c r="G14" s="3131"/>
      <c r="H14" s="3131"/>
      <c r="I14" s="3131"/>
      <c r="J14" s="2022"/>
      <c r="K14" s="1685"/>
      <c r="L14" s="2082"/>
      <c r="M14" s="572"/>
      <c r="N14" s="572">
        <v>2</v>
      </c>
      <c r="O14" s="3124" t="str">
        <f>IF(ISERROR(VLOOKUP(N14,CFLlookup,8,FALSE)),"",VLOOKUP(N14,CFLlookup,8,FALSE))</f>
        <v/>
      </c>
      <c r="P14" s="3125"/>
      <c r="Q14" s="2356">
        <f>IF(O14="",0,VLOOKUP(N14,CFLlookup,10,FALSE))</f>
        <v>0</v>
      </c>
      <c r="R14" s="2631">
        <f>IF(O14="",0,VLOOKUP(N14,CFLlookup,16,FALSE))</f>
        <v>0</v>
      </c>
      <c r="S14" s="2631">
        <f>IF(O14="",0,VLOOKUP(N14,CFLlookup,17,FALSE))</f>
        <v>0</v>
      </c>
      <c r="T14" s="2313">
        <f>IF(O14="",0,VLOOKUP(N14,CFLlookup,19,FALSE))</f>
        <v>0</v>
      </c>
      <c r="U14" s="2313">
        <f>IF(O14="",0,VLOOKUP(N14,CFLlookup,21,FALSE))</f>
        <v>0</v>
      </c>
      <c r="V14" s="2632">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4"/>
      <c r="M15" s="572"/>
      <c r="N15" s="572"/>
      <c r="O15" s="2633" t="s">
        <v>2649</v>
      </c>
      <c r="P15" s="3116">
        <f>IF(O14="",0,VLOOKUP(N14,CFLlookup,36,FALSE))</f>
        <v>0</v>
      </c>
      <c r="Q15" s="3116"/>
      <c r="R15" s="3116"/>
      <c r="S15" s="3116"/>
      <c r="T15" s="3116"/>
      <c r="U15" s="3116"/>
      <c r="V15" s="670"/>
      <c r="W15" s="2806"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3" t="s">
        <v>2646</v>
      </c>
      <c r="P16" s="3116">
        <f>IF(O14="",0,VLOOKUP(N14,CFLlookup,34,FALSE))</f>
        <v>0</v>
      </c>
      <c r="Q16" s="3116"/>
      <c r="R16" s="3116"/>
      <c r="S16" s="3116"/>
      <c r="T16" s="3116"/>
      <c r="U16" s="3116"/>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4" t="s">
        <v>2647</v>
      </c>
      <c r="P17" s="3121">
        <f>IF(O14="",0,VLOOKUP(N14,CFLlookup,35,FALSE))</f>
        <v>0</v>
      </c>
      <c r="Q17" s="3121"/>
      <c r="R17" s="3121"/>
      <c r="S17" s="3121"/>
      <c r="T17" s="3121"/>
      <c r="U17" s="3121"/>
      <c r="V17" s="671"/>
      <c r="W17" s="572"/>
      <c r="X17" s="572"/>
      <c r="Y17" s="572"/>
      <c r="Z17" s="572"/>
      <c r="AA17" s="572"/>
      <c r="AB17" s="572"/>
    </row>
    <row r="18" spans="1:28" ht="14.25" customHeight="1">
      <c r="A18" s="1702"/>
      <c r="B18" s="1710" t="s">
        <v>335</v>
      </c>
      <c r="C18" s="3131" t="str">
        <f>O18</f>
        <v/>
      </c>
      <c r="D18" s="3131"/>
      <c r="E18" s="3131"/>
      <c r="F18" s="3131"/>
      <c r="G18" s="3131"/>
      <c r="H18" s="3131"/>
      <c r="I18" s="3131"/>
      <c r="J18" s="2022"/>
      <c r="K18" s="1685"/>
      <c r="L18" s="2082"/>
      <c r="M18" s="572"/>
      <c r="N18" s="572">
        <v>3</v>
      </c>
      <c r="O18" s="3124" t="str">
        <f>IF(ISERROR(VLOOKUP(N18,CFLlookup,8,FALSE)),"",VLOOKUP(N18,CFLlookup,8,FALSE))</f>
        <v/>
      </c>
      <c r="P18" s="3125"/>
      <c r="Q18" s="2356">
        <f>IF(O18="",0,VLOOKUP(N18,CFLlookup,10,FALSE))</f>
        <v>0</v>
      </c>
      <c r="R18" s="2631">
        <f>IF(O18="",0,VLOOKUP(N18,CFLlookup,16,FALSE))</f>
        <v>0</v>
      </c>
      <c r="S18" s="2631">
        <f>IF(O18="",0,VLOOKUP(N18,CFLlookup,17,FALSE))</f>
        <v>0</v>
      </c>
      <c r="T18" s="2313">
        <f>IF(O18="",0,VLOOKUP(N18,CFLlookup,19,FALSE))</f>
        <v>0</v>
      </c>
      <c r="U18" s="2313">
        <f>IF(O18="",0,VLOOKUP(N18,CFLlookup,21,FALSE))</f>
        <v>0</v>
      </c>
      <c r="V18" s="2632">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4"/>
      <c r="M19" s="572"/>
      <c r="N19" s="572"/>
      <c r="O19" s="2633" t="s">
        <v>2649</v>
      </c>
      <c r="P19" s="3116">
        <f>IF(O18="",0,VLOOKUP(N18,CFLlookup,36,FALSE))</f>
        <v>0</v>
      </c>
      <c r="Q19" s="3116"/>
      <c r="R19" s="3116"/>
      <c r="S19" s="3116"/>
      <c r="T19" s="3116"/>
      <c r="U19" s="3116"/>
      <c r="V19" s="670"/>
      <c r="W19" s="2806"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3" t="s">
        <v>2646</v>
      </c>
      <c r="P20" s="3116">
        <f>IF(O18="",0,VLOOKUP(N18,CFLlookup,34,FALSE))</f>
        <v>0</v>
      </c>
      <c r="Q20" s="3116"/>
      <c r="R20" s="3116"/>
      <c r="S20" s="3116"/>
      <c r="T20" s="3116"/>
      <c r="U20" s="3116"/>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4" t="s">
        <v>2647</v>
      </c>
      <c r="P21" s="3121">
        <f>IF(O18="",0,VLOOKUP(N18,CFLlookup,35,FALSE))</f>
        <v>0</v>
      </c>
      <c r="Q21" s="3121"/>
      <c r="R21" s="3121"/>
      <c r="S21" s="3121"/>
      <c r="T21" s="3121"/>
      <c r="U21" s="3121"/>
      <c r="V21" s="671"/>
      <c r="W21" s="572"/>
      <c r="X21" s="572"/>
      <c r="Y21" s="572"/>
      <c r="Z21" s="572"/>
      <c r="AA21" s="572"/>
      <c r="AB21" s="572"/>
    </row>
    <row r="22" spans="1:28" ht="14.25" customHeight="1">
      <c r="A22" s="1702"/>
      <c r="B22" s="1710" t="s">
        <v>582</v>
      </c>
      <c r="C22" s="3131" t="str">
        <f>O22</f>
        <v/>
      </c>
      <c r="D22" s="3131"/>
      <c r="E22" s="3131"/>
      <c r="F22" s="3131"/>
      <c r="G22" s="3131"/>
      <c r="H22" s="3131"/>
      <c r="I22" s="3131"/>
      <c r="J22" s="2022"/>
      <c r="K22" s="1685"/>
      <c r="L22" s="2082"/>
      <c r="M22" s="572"/>
      <c r="N22" s="572">
        <v>4</v>
      </c>
      <c r="O22" s="3124" t="str">
        <f>IF(ISERROR(VLOOKUP(N22,CFLlookup,8,FALSE)),"",VLOOKUP(N22,CFLlookup,8,FALSE))</f>
        <v/>
      </c>
      <c r="P22" s="3125"/>
      <c r="Q22" s="2356">
        <f>IF(O22="",0,VLOOKUP(N22,CFLlookup,10,FALSE))</f>
        <v>0</v>
      </c>
      <c r="R22" s="2631">
        <f>IF(O22="",0,VLOOKUP(N22,CFLlookup,16,FALSE))</f>
        <v>0</v>
      </c>
      <c r="S22" s="2631">
        <f>IF(O22="",0,VLOOKUP(N22,CFLlookup,17,FALSE))</f>
        <v>0</v>
      </c>
      <c r="T22" s="2313">
        <f>IF(O22="",0,VLOOKUP(N22,CFLlookup,19,FALSE))</f>
        <v>0</v>
      </c>
      <c r="U22" s="2313">
        <f>IF(O22="",0,VLOOKUP(N22,CFLlookup,21,FALSE))</f>
        <v>0</v>
      </c>
      <c r="V22" s="2632">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4"/>
      <c r="M23" s="572"/>
      <c r="N23" s="572"/>
      <c r="O23" s="2633" t="s">
        <v>2649</v>
      </c>
      <c r="P23" s="3116">
        <f>IF(O22="",0,VLOOKUP(N22,CFLlookup,36,FALSE))</f>
        <v>0</v>
      </c>
      <c r="Q23" s="3116"/>
      <c r="R23" s="3116"/>
      <c r="S23" s="3116"/>
      <c r="T23" s="3116"/>
      <c r="U23" s="3116"/>
      <c r="V23" s="670"/>
      <c r="W23" s="2806"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3" t="s">
        <v>2646</v>
      </c>
      <c r="P24" s="3116">
        <f>IF(O22="",0,VLOOKUP(N22,CFLlookup,34,FALSE))</f>
        <v>0</v>
      </c>
      <c r="Q24" s="3116"/>
      <c r="R24" s="3116"/>
      <c r="S24" s="3116"/>
      <c r="T24" s="3116"/>
      <c r="U24" s="3116"/>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4" t="s">
        <v>2647</v>
      </c>
      <c r="P25" s="3121">
        <f>IF(O22="",0,VLOOKUP(N22,CFLlookup,35,FALSE))</f>
        <v>0</v>
      </c>
      <c r="Q25" s="3121"/>
      <c r="R25" s="3121"/>
      <c r="S25" s="3121"/>
      <c r="T25" s="3121"/>
      <c r="U25" s="3121"/>
      <c r="V25" s="671"/>
      <c r="W25" s="572"/>
      <c r="X25" s="572"/>
      <c r="Y25" s="572"/>
      <c r="Z25" s="572"/>
      <c r="AA25" s="572"/>
      <c r="AB25" s="572"/>
    </row>
    <row r="26" spans="1:28" ht="14.25" customHeight="1">
      <c r="A26" s="1702"/>
      <c r="B26" s="1710" t="s">
        <v>336</v>
      </c>
      <c r="C26" s="3131" t="str">
        <f>O26</f>
        <v/>
      </c>
      <c r="D26" s="3131"/>
      <c r="E26" s="3131"/>
      <c r="F26" s="3131"/>
      <c r="G26" s="3131"/>
      <c r="H26" s="3131"/>
      <c r="I26" s="3131"/>
      <c r="J26" s="2022"/>
      <c r="K26" s="1685"/>
      <c r="L26" s="2082"/>
      <c r="M26" s="572"/>
      <c r="N26" s="572">
        <v>5</v>
      </c>
      <c r="O26" s="3124" t="str">
        <f>IF(ISERROR(VLOOKUP(N26,CFLlookup,8,FALSE)),"",VLOOKUP(N26,CFLlookup,8,FALSE))</f>
        <v/>
      </c>
      <c r="P26" s="3125"/>
      <c r="Q26" s="2356">
        <f>IF(O26="",0,VLOOKUP(N26,CFLlookup,10,FALSE))</f>
        <v>0</v>
      </c>
      <c r="R26" s="2631">
        <f>IF(O26="",0,VLOOKUP(N26,CFLlookup,16,FALSE))</f>
        <v>0</v>
      </c>
      <c r="S26" s="2631">
        <f>IF(O26="",0,VLOOKUP(N26,CFLlookup,17,FALSE))</f>
        <v>0</v>
      </c>
      <c r="T26" s="2313">
        <f>IF(O26="",0,VLOOKUP(N26,CFLlookup,19,FALSE))</f>
        <v>0</v>
      </c>
      <c r="U26" s="2313">
        <f>IF(O26="",0,VLOOKUP(N26,CFLlookup,21,FALSE))</f>
        <v>0</v>
      </c>
      <c r="V26" s="2632">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4"/>
      <c r="M27" s="572"/>
      <c r="N27" s="572"/>
      <c r="O27" s="2633" t="s">
        <v>2649</v>
      </c>
      <c r="P27" s="3116">
        <f>IF(O26="",0,VLOOKUP(N26,CFLlookup,36,FALSE))</f>
        <v>0</v>
      </c>
      <c r="Q27" s="3116"/>
      <c r="R27" s="3116"/>
      <c r="S27" s="3116"/>
      <c r="T27" s="3116"/>
      <c r="U27" s="3116"/>
      <c r="V27" s="670"/>
      <c r="W27" s="2806"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3" t="s">
        <v>2646</v>
      </c>
      <c r="P28" s="3116">
        <f>IF(O26="",0,VLOOKUP(N26,CFLlookup,34,FALSE))</f>
        <v>0</v>
      </c>
      <c r="Q28" s="3116"/>
      <c r="R28" s="3116"/>
      <c r="S28" s="3116"/>
      <c r="T28" s="3116"/>
      <c r="U28" s="3116"/>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4" t="s">
        <v>2647</v>
      </c>
      <c r="P29" s="3121">
        <f>IF(O26="",0,VLOOKUP(N26,CFLlookup,35,FALSE))</f>
        <v>0</v>
      </c>
      <c r="Q29" s="3121"/>
      <c r="R29" s="3121"/>
      <c r="S29" s="3121"/>
      <c r="T29" s="3121"/>
      <c r="U29" s="3121"/>
      <c r="V29" s="671"/>
      <c r="W29" s="572"/>
      <c r="X29" s="572"/>
      <c r="Y29" s="572"/>
      <c r="Z29" s="572"/>
      <c r="AA29" s="572"/>
      <c r="AB29" s="572"/>
    </row>
    <row r="30" spans="1:28" ht="14.25" customHeight="1">
      <c r="A30" s="1702"/>
      <c r="B30" s="1710" t="s">
        <v>583</v>
      </c>
      <c r="C30" s="3131" t="str">
        <f>O30</f>
        <v/>
      </c>
      <c r="D30" s="3131"/>
      <c r="E30" s="3131"/>
      <c r="F30" s="3131"/>
      <c r="G30" s="3131"/>
      <c r="H30" s="3131"/>
      <c r="I30" s="3131"/>
      <c r="J30" s="2022"/>
      <c r="K30" s="1685"/>
      <c r="L30" s="2082"/>
      <c r="M30" s="572"/>
      <c r="N30" s="572">
        <v>6</v>
      </c>
      <c r="O30" s="3124" t="str">
        <f>IF(ISERROR(VLOOKUP(N30,CFLlookup,8,FALSE)),"",VLOOKUP(N30,CFLlookup,8,FALSE))</f>
        <v/>
      </c>
      <c r="P30" s="3125"/>
      <c r="Q30" s="2356">
        <f>IF(O30="",0,VLOOKUP(N30,CFLlookup,10,FALSE))</f>
        <v>0</v>
      </c>
      <c r="R30" s="2631">
        <f>IF(O30="",0,VLOOKUP(N30,CFLlookup,16,FALSE))</f>
        <v>0</v>
      </c>
      <c r="S30" s="2631">
        <f>IF(O30="",0,VLOOKUP(N30,CFLlookup,17,FALSE))</f>
        <v>0</v>
      </c>
      <c r="T30" s="2313">
        <f>IF(O30="",0,VLOOKUP(N30,CFLlookup,19,FALSE))</f>
        <v>0</v>
      </c>
      <c r="U30" s="2313">
        <f>IF(O30="",0,VLOOKUP(N30,CFLlookup,21,FALSE))</f>
        <v>0</v>
      </c>
      <c r="V30" s="2632">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4"/>
      <c r="M31" s="572"/>
      <c r="N31" s="572"/>
      <c r="O31" s="2633" t="s">
        <v>2649</v>
      </c>
      <c r="P31" s="3116">
        <f>IF(O30="",0,VLOOKUP(N30,CFLlookup,36,FALSE))</f>
        <v>0</v>
      </c>
      <c r="Q31" s="3116"/>
      <c r="R31" s="3116"/>
      <c r="S31" s="3116"/>
      <c r="T31" s="3116"/>
      <c r="U31" s="3116"/>
      <c r="V31" s="670"/>
      <c r="W31" s="2806"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3" t="s">
        <v>2646</v>
      </c>
      <c r="P32" s="3116">
        <f>IF(O30="",0,VLOOKUP(N30,CFLlookup,34,FALSE))</f>
        <v>0</v>
      </c>
      <c r="Q32" s="3116"/>
      <c r="R32" s="3116"/>
      <c r="S32" s="3116"/>
      <c r="T32" s="3116"/>
      <c r="U32" s="3116"/>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4" t="s">
        <v>2647</v>
      </c>
      <c r="P33" s="3121">
        <f>IF(O30="",0,VLOOKUP(N30,CFLlookup,35,FALSE))</f>
        <v>0</v>
      </c>
      <c r="Q33" s="3121"/>
      <c r="R33" s="3121"/>
      <c r="S33" s="3121"/>
      <c r="T33" s="3121"/>
      <c r="U33" s="3121"/>
      <c r="V33" s="671"/>
      <c r="W33" s="572"/>
      <c r="X33" s="572"/>
      <c r="Y33" s="572"/>
      <c r="Z33" s="572"/>
      <c r="AA33" s="572"/>
      <c r="AB33" s="572"/>
    </row>
    <row r="34" spans="1:28" ht="14.25" customHeight="1">
      <c r="A34" s="1702"/>
      <c r="B34" s="1710" t="s">
        <v>584</v>
      </c>
      <c r="C34" s="3131" t="str">
        <f>O34</f>
        <v/>
      </c>
      <c r="D34" s="3131"/>
      <c r="E34" s="3131"/>
      <c r="F34" s="3131"/>
      <c r="G34" s="3131"/>
      <c r="H34" s="3131"/>
      <c r="I34" s="3131"/>
      <c r="J34" s="2022"/>
      <c r="K34" s="1685"/>
      <c r="L34" s="2082"/>
      <c r="M34" s="572"/>
      <c r="N34" s="572">
        <v>7</v>
      </c>
      <c r="O34" s="3124" t="str">
        <f>IF(ISERROR(VLOOKUP(N34,CFLlookup,8,FALSE)),"",VLOOKUP(N34,CFLlookup,8,FALSE))</f>
        <v/>
      </c>
      <c r="P34" s="3125"/>
      <c r="Q34" s="2356">
        <f>IF(O34="",0,VLOOKUP(N34,CFLlookup,10,FALSE))</f>
        <v>0</v>
      </c>
      <c r="R34" s="2631">
        <f>IF(O34="",0,VLOOKUP(N34,CFLlookup,16,FALSE))</f>
        <v>0</v>
      </c>
      <c r="S34" s="2631">
        <f>IF(O34="",0,VLOOKUP(N34,CFLlookup,17,FALSE))</f>
        <v>0</v>
      </c>
      <c r="T34" s="2313">
        <f>IF(O34="",0,VLOOKUP(N34,CFLlookup,19,FALSE))</f>
        <v>0</v>
      </c>
      <c r="U34" s="2313">
        <f>IF(O34="",0,VLOOKUP(N34,CFLlookup,21,FALSE))</f>
        <v>0</v>
      </c>
      <c r="V34" s="2632">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4"/>
      <c r="M35" s="572"/>
      <c r="N35" s="572"/>
      <c r="O35" s="2633" t="s">
        <v>2649</v>
      </c>
      <c r="P35" s="3116">
        <f>IF(O34="",0,VLOOKUP(N34,CFLlookup,36,FALSE))</f>
        <v>0</v>
      </c>
      <c r="Q35" s="3116"/>
      <c r="R35" s="3116"/>
      <c r="S35" s="3116"/>
      <c r="T35" s="3116"/>
      <c r="U35" s="3116"/>
      <c r="V35" s="670"/>
      <c r="W35" s="2806"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3" t="s">
        <v>2646</v>
      </c>
      <c r="P36" s="3116">
        <f>IF(O34="",0,VLOOKUP(N34,CFLlookup,34,FALSE))</f>
        <v>0</v>
      </c>
      <c r="Q36" s="3116"/>
      <c r="R36" s="3116"/>
      <c r="S36" s="3116"/>
      <c r="T36" s="3116"/>
      <c r="U36" s="3116"/>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1"/>
      <c r="M37" s="572"/>
      <c r="N37" s="572"/>
      <c r="O37" s="2634" t="s">
        <v>2647</v>
      </c>
      <c r="P37" s="3121">
        <f>IF(O34="",0,VLOOKUP(N34,CFLlookup,35,FALSE))</f>
        <v>0</v>
      </c>
      <c r="Q37" s="3121"/>
      <c r="R37" s="3121"/>
      <c r="S37" s="3121"/>
      <c r="T37" s="3121"/>
      <c r="U37" s="3121"/>
      <c r="V37" s="671"/>
      <c r="W37" s="572"/>
      <c r="X37" s="572"/>
      <c r="Y37" s="572"/>
      <c r="Z37" s="572"/>
      <c r="AA37" s="572"/>
      <c r="AB37" s="572"/>
    </row>
    <row r="38" spans="1:28" ht="26.25" customHeight="1">
      <c r="A38" s="1685"/>
      <c r="B38" s="1685"/>
      <c r="C38" s="1721" t="s">
        <v>3415</v>
      </c>
      <c r="D38" s="1720"/>
      <c r="E38" s="2639">
        <f>SUM(E11,E15,E19,E23,E27,E31,E35)</f>
        <v>0</v>
      </c>
      <c r="F38" s="2639">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5">
        <f t="shared" ref="Q38:V38" si="8">SUM(Q10:Q34)</f>
        <v>0</v>
      </c>
      <c r="R38" s="2636">
        <f t="shared" si="8"/>
        <v>0</v>
      </c>
      <c r="S38" s="2636">
        <f t="shared" si="8"/>
        <v>0</v>
      </c>
      <c r="T38" s="2637">
        <f t="shared" si="8"/>
        <v>0</v>
      </c>
      <c r="U38" s="2637">
        <f t="shared" si="8"/>
        <v>0</v>
      </c>
      <c r="V38" s="2637">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38"/>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38"/>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6"/>
      <c r="T88" s="3069"/>
      <c r="U88" s="3069"/>
      <c r="V88" s="3069"/>
      <c r="W88" s="3069"/>
      <c r="X88" s="3069"/>
      <c r="Y88" s="3069"/>
      <c r="Z88" s="534"/>
      <c r="AA88" s="534"/>
    </row>
    <row r="89" spans="19:27">
      <c r="S89" s="536"/>
      <c r="T89" s="536"/>
      <c r="U89" s="536"/>
      <c r="V89" s="536"/>
      <c r="W89" s="534"/>
      <c r="X89" s="534"/>
      <c r="Y89" s="534"/>
      <c r="Z89" s="534"/>
      <c r="AA89" s="534"/>
    </row>
    <row r="90" spans="19:27" ht="42.75" customHeight="1">
      <c r="S90" s="3136"/>
      <c r="T90" s="3069"/>
      <c r="U90" s="3069"/>
      <c r="V90" s="3069"/>
      <c r="W90" s="3069"/>
      <c r="X90" s="3069"/>
      <c r="Y90" s="3069"/>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3" zoomScale="90" zoomScaleSheetLayoutView="90" workbookViewId="0">
      <selection activeCell="U12" sqref="U12"/>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08" t="s">
        <v>596</v>
      </c>
      <c r="D1" s="3108"/>
      <c r="E1" s="3108"/>
      <c r="F1" s="3108"/>
      <c r="G1" s="3108"/>
      <c r="H1" s="3108"/>
      <c r="I1" s="3108"/>
      <c r="J1" s="3068" t="s">
        <v>3448</v>
      </c>
      <c r="K1" s="3068"/>
      <c r="L1" s="1725"/>
      <c r="M1" s="1725"/>
      <c r="N1" s="214"/>
      <c r="O1" s="214"/>
      <c r="P1" s="214"/>
      <c r="Q1" s="214"/>
      <c r="R1" s="214"/>
    </row>
    <row r="2" spans="1:47" ht="12.9" customHeight="1">
      <c r="A2" s="1685"/>
      <c r="B2" s="1705" t="str">
        <f>company</f>
        <v/>
      </c>
      <c r="C2" s="1685"/>
      <c r="D2" s="1706"/>
      <c r="E2" s="1707"/>
      <c r="F2" s="1707"/>
      <c r="G2" s="1707"/>
      <c r="H2" s="1708"/>
      <c r="I2" s="1707"/>
      <c r="J2" s="1685"/>
      <c r="K2" s="2893" t="str">
        <f>Utility_Copyrite</f>
        <v>Copyright © 2012 Potomac Electric Power Company</v>
      </c>
      <c r="L2" s="1685"/>
      <c r="M2" s="1685"/>
      <c r="R2" s="288"/>
      <c r="S2" s="288"/>
      <c r="T2" s="288"/>
      <c r="U2" s="3142" t="s">
        <v>3830</v>
      </c>
      <c r="V2" s="3142"/>
      <c r="W2" s="3142"/>
      <c r="X2" s="3142"/>
      <c r="Y2" s="3142"/>
      <c r="Z2" s="3142"/>
      <c r="AA2" s="3142"/>
      <c r="AB2" s="3142"/>
      <c r="AC2" s="3142"/>
      <c r="AE2" s="286"/>
      <c r="AF2" s="287"/>
      <c r="AG2" s="286"/>
    </row>
    <row r="3" spans="1:47" ht="12.9" customHeight="1">
      <c r="A3" s="1685"/>
      <c r="B3" s="1726"/>
      <c r="C3" s="1685"/>
      <c r="D3" s="1706"/>
      <c r="E3" s="1707"/>
      <c r="F3" s="1707"/>
      <c r="G3" s="1707"/>
      <c r="H3" s="2888"/>
      <c r="I3" s="1707"/>
      <c r="J3" s="1685"/>
      <c r="K3" s="2893" t="str">
        <f>Utility_Rights</f>
        <v>All Rights Reserved</v>
      </c>
      <c r="L3" s="1685"/>
      <c r="M3" s="1685"/>
      <c r="R3" s="288"/>
      <c r="S3" s="288"/>
      <c r="T3" s="288"/>
      <c r="U3" s="3142"/>
      <c r="V3" s="3142"/>
      <c r="W3" s="3142"/>
      <c r="X3" s="3142"/>
      <c r="Y3" s="3142"/>
      <c r="Z3" s="3142"/>
      <c r="AA3" s="3142"/>
      <c r="AB3" s="3142"/>
      <c r="AC3" s="3142"/>
      <c r="AD3" s="3138" t="s">
        <v>3872</v>
      </c>
      <c r="AE3" s="286"/>
      <c r="AF3" s="287"/>
      <c r="AG3" s="286"/>
    </row>
    <row r="4" spans="1:47" ht="48.75" customHeight="1">
      <c r="A4" s="1685"/>
      <c r="B4" s="1726"/>
      <c r="C4" s="1685"/>
      <c r="D4" s="1706"/>
      <c r="E4" s="1707"/>
      <c r="F4" s="1707"/>
      <c r="G4" s="1707"/>
      <c r="H4" s="2888"/>
      <c r="I4" s="1707"/>
      <c r="J4" s="1685"/>
      <c r="K4" s="2798"/>
      <c r="L4" s="1685"/>
      <c r="M4" s="1685"/>
      <c r="R4" s="288"/>
      <c r="S4" s="288"/>
      <c r="T4" s="288"/>
      <c r="U4" s="3142"/>
      <c r="V4" s="3142"/>
      <c r="W4" s="3142"/>
      <c r="X4" s="3142"/>
      <c r="Y4" s="3142"/>
      <c r="Z4" s="3142"/>
      <c r="AA4" s="3142"/>
      <c r="AB4" s="3142"/>
      <c r="AC4" s="3142"/>
      <c r="AD4" s="3138"/>
      <c r="AE4" s="286"/>
      <c r="AF4" s="287"/>
      <c r="AG4" s="286"/>
    </row>
    <row r="5" spans="1:47" ht="8.25" customHeight="1">
      <c r="A5" s="1685"/>
      <c r="B5" s="1685"/>
      <c r="C5" s="1685"/>
      <c r="D5" s="1685"/>
      <c r="E5" s="1685"/>
      <c r="F5" s="1685"/>
      <c r="G5" s="1685"/>
      <c r="H5" s="1685"/>
      <c r="I5" s="1685"/>
      <c r="J5" s="1685"/>
      <c r="K5" s="1685"/>
      <c r="L5" s="1685"/>
      <c r="M5" s="1685"/>
      <c r="R5" s="280"/>
      <c r="S5" s="280"/>
      <c r="T5" s="280"/>
      <c r="U5" s="3142"/>
      <c r="V5" s="3142"/>
      <c r="W5" s="3142"/>
      <c r="X5" s="3142"/>
      <c r="Y5" s="3142"/>
      <c r="Z5" s="3142"/>
      <c r="AA5" s="3142"/>
      <c r="AB5" s="3142"/>
      <c r="AC5" s="3142"/>
      <c r="AD5" s="3138"/>
      <c r="AE5" s="286"/>
      <c r="AF5" s="287"/>
      <c r="AG5" s="286"/>
    </row>
    <row r="6" spans="1:47" ht="15.75" customHeight="1">
      <c r="A6" s="1685"/>
      <c r="B6" s="3073" t="s">
        <v>3747</v>
      </c>
      <c r="C6" s="3145"/>
      <c r="D6" s="3145"/>
      <c r="E6" s="3145"/>
      <c r="F6" s="3145"/>
      <c r="G6" s="3145"/>
      <c r="H6" s="3145"/>
      <c r="I6" s="3145"/>
      <c r="J6" s="3145"/>
      <c r="K6" s="3145"/>
      <c r="L6" s="1685"/>
      <c r="M6" s="1685"/>
      <c r="R6" s="280"/>
      <c r="S6" s="280"/>
      <c r="T6" s="280"/>
      <c r="U6" s="3142"/>
      <c r="V6" s="3142"/>
      <c r="W6" s="3142"/>
      <c r="X6" s="3142"/>
      <c r="Y6" s="3142"/>
      <c r="Z6" s="3142"/>
      <c r="AA6" s="3142"/>
      <c r="AB6" s="3142"/>
      <c r="AC6" s="3142"/>
      <c r="AD6" s="3138"/>
      <c r="AE6" s="286"/>
      <c r="AF6" s="287"/>
      <c r="AG6" s="286"/>
    </row>
    <row r="7" spans="1:47" ht="153.75" customHeight="1">
      <c r="A7" s="1685"/>
      <c r="B7" s="3111" t="s">
        <v>3748</v>
      </c>
      <c r="C7" s="3111"/>
      <c r="D7" s="3111"/>
      <c r="E7" s="3111"/>
      <c r="F7" s="3111"/>
      <c r="G7" s="3111"/>
      <c r="H7" s="3111"/>
      <c r="I7" s="3111"/>
      <c r="J7" s="3111"/>
      <c r="K7" s="3111"/>
      <c r="L7" s="1694"/>
      <c r="M7" s="1694"/>
      <c r="N7" s="2140"/>
      <c r="O7" s="2140"/>
      <c r="P7" s="2140"/>
      <c r="Q7" s="2140"/>
      <c r="R7" s="572"/>
      <c r="S7" s="1466"/>
      <c r="T7" s="1466"/>
      <c r="U7" s="3151" t="s">
        <v>3857</v>
      </c>
      <c r="V7" s="3151"/>
      <c r="W7" s="3151"/>
      <c r="X7" s="3151"/>
      <c r="Y7" s="3151"/>
      <c r="Z7" s="3151"/>
      <c r="AA7" s="3151"/>
      <c r="AB7" s="572"/>
      <c r="AC7" s="2813" t="s">
        <v>3525</v>
      </c>
      <c r="AD7" s="2814" t="s">
        <v>3524</v>
      </c>
      <c r="AE7" s="3147" t="s">
        <v>3526</v>
      </c>
      <c r="AF7" s="3147"/>
      <c r="AG7" s="3147"/>
      <c r="AH7" s="3147"/>
      <c r="AI7" s="572"/>
      <c r="AJ7" s="572"/>
      <c r="AK7" s="572"/>
      <c r="AL7" s="572"/>
      <c r="AM7" s="572"/>
      <c r="AN7" s="572"/>
      <c r="AO7" s="572"/>
      <c r="AP7" s="572"/>
      <c r="AQ7" s="572"/>
      <c r="AR7" s="572"/>
      <c r="AS7" s="572"/>
      <c r="AT7" s="572"/>
      <c r="AU7" s="572"/>
    </row>
    <row r="8" spans="1:47" ht="18" customHeight="1">
      <c r="A8" s="1685"/>
      <c r="B8" s="1741" t="s">
        <v>2296</v>
      </c>
      <c r="C8" s="3146" t="s">
        <v>3522</v>
      </c>
      <c r="D8" s="3146"/>
      <c r="E8" s="3146"/>
      <c r="F8" s="3146"/>
      <c r="G8" s="3146"/>
      <c r="H8" s="3146"/>
      <c r="I8" s="3146"/>
      <c r="J8" s="3146"/>
      <c r="K8" s="3146"/>
      <c r="L8" s="1694"/>
      <c r="M8" s="1694"/>
      <c r="N8" s="2140"/>
      <c r="O8" s="2830"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69" t="s">
        <v>215</v>
      </c>
      <c r="C9" s="3152" t="s">
        <v>216</v>
      </c>
      <c r="D9" s="3152"/>
      <c r="E9" s="3152"/>
      <c r="F9" s="1613" t="s">
        <v>3532</v>
      </c>
      <c r="G9" s="1613" t="s">
        <v>2176</v>
      </c>
      <c r="H9" s="1613" t="s">
        <v>211</v>
      </c>
      <c r="I9" s="1613" t="s">
        <v>2177</v>
      </c>
      <c r="J9" s="2809" t="str">
        <f>IF($O$8=TRUE,"Trade Ally Proposed Cost", "Utility Estimated Cost")</f>
        <v>Utility Estimated Cost</v>
      </c>
      <c r="K9" s="2751" t="str">
        <f>Utility_Name_Cap&amp;" Incentive"</f>
        <v>PEPCO Incentive</v>
      </c>
      <c r="L9" s="1685"/>
      <c r="M9" s="2805" t="str">
        <f>IF($O$8=TRUE,"Trade Ally Costs","")</f>
        <v/>
      </c>
      <c r="N9" s="572"/>
      <c r="O9" s="572"/>
      <c r="P9" s="572" t="s">
        <v>3534</v>
      </c>
      <c r="Q9" s="23" t="s">
        <v>3533</v>
      </c>
      <c r="R9" s="23" t="s">
        <v>269</v>
      </c>
      <c r="S9" s="1578" t="s">
        <v>372</v>
      </c>
      <c r="T9" s="1578" t="s">
        <v>373</v>
      </c>
      <c r="U9" s="2283" t="s">
        <v>375</v>
      </c>
      <c r="V9" s="2964" t="s">
        <v>374</v>
      </c>
      <c r="W9" s="2964" t="s">
        <v>383</v>
      </c>
      <c r="X9" s="2964" t="s">
        <v>203</v>
      </c>
      <c r="Y9" s="2964" t="s">
        <v>243</v>
      </c>
      <c r="Z9" s="2283" t="s">
        <v>3517</v>
      </c>
      <c r="AA9" s="2283" t="s">
        <v>597</v>
      </c>
      <c r="AB9" s="572"/>
      <c r="AC9" s="1435" t="s">
        <v>2287</v>
      </c>
      <c r="AD9" s="1436" t="s">
        <v>3420</v>
      </c>
      <c r="AE9" s="3148" t="s">
        <v>3527</v>
      </c>
      <c r="AF9" s="3149"/>
      <c r="AG9" s="3149"/>
      <c r="AH9" s="3150"/>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3" t="str">
        <f t="shared" ref="C10:C24" si="0">IF(ISERROR(VLOOKUP($O10,Senslookup,2,FALSE)),"",(IF(VLOOKUP($O10,Senslookup,13,FALSE)="",VLOOKUP($O10,Senslookup,2,FALSE),VLOOKUP($O10,Senslookup,13,FALSE))))</f>
        <v/>
      </c>
      <c r="D10" s="3143"/>
      <c r="E10" s="3143"/>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4"/>
      <c r="N10" s="2806"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5" t="str">
        <f t="shared" ref="U10:U24" si="9">IF(C10="", "", IF(ISERROR(VLOOKUP($O10,Senslookup,40,FALSE)),"",VLOOKUP($O10,Senslookup,41,FALSE)))</f>
        <v/>
      </c>
      <c r="V10" s="2966">
        <f t="shared" ref="V10:V24" si="10">IF(U10="",0,VLOOKUP(U10,roomtypetable,2,FALSE))</f>
        <v>0</v>
      </c>
      <c r="W10" s="2965">
        <f t="shared" ref="W10:W24" si="11">IF(C10="",0,G10*VLOOKUP(C10,lighting,7,FALSE)/1000)</f>
        <v>0</v>
      </c>
      <c r="X10" s="2967">
        <f t="shared" ref="X10:X24" si="12">W10*T10*V10</f>
        <v>0</v>
      </c>
      <c r="Y10" s="2968">
        <f t="shared" ref="Y10:Y24" si="13">IF(U10="",0,VLOOKUP(U10,roomtypetable,3,FALSE))</f>
        <v>0</v>
      </c>
      <c r="Z10" s="2292" t="str">
        <f>IF(W10=0, "", "LTC1")</f>
        <v/>
      </c>
      <c r="AA10" s="2292">
        <f>IF(C10="", 0, 1)</f>
        <v>0</v>
      </c>
      <c r="AB10" s="572"/>
      <c r="AC10" s="1435" t="s">
        <v>2288</v>
      </c>
      <c r="AD10" s="1437" t="s">
        <v>3421</v>
      </c>
      <c r="AE10" s="3148" t="s">
        <v>3531</v>
      </c>
      <c r="AF10" s="3149"/>
      <c r="AG10" s="3149"/>
      <c r="AH10" s="3150"/>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37" t="str">
        <f t="shared" si="0"/>
        <v/>
      </c>
      <c r="D11" s="3137"/>
      <c r="E11" s="3137"/>
      <c r="F11" s="1786" t="str">
        <f>IF(C11="","",AA11)</f>
        <v/>
      </c>
      <c r="G11" s="1749" t="str">
        <f t="shared" si="1"/>
        <v/>
      </c>
      <c r="H11" s="1750">
        <f t="shared" si="2"/>
        <v>0</v>
      </c>
      <c r="I11" s="1751">
        <f>H11*'R3 Hist'!$R$27</f>
        <v>0</v>
      </c>
      <c r="J11" s="1751">
        <f t="shared" si="3"/>
        <v>0</v>
      </c>
      <c r="K11" s="1751">
        <f t="shared" si="4"/>
        <v>0</v>
      </c>
      <c r="L11" s="1685"/>
      <c r="M11" s="2414"/>
      <c r="N11" s="2806" t="str">
        <f t="shared" si="5"/>
        <v/>
      </c>
      <c r="O11" s="572">
        <v>2</v>
      </c>
      <c r="P11" s="2284">
        <f t="shared" si="6"/>
        <v>0</v>
      </c>
      <c r="Q11" s="41">
        <f>IF(Z11="",0,IF(Z11="LTC1",$AE$32,IF(Z11="LTC2",$AE$33,IF(Z11="LTC3",$AE$34,IF(Z11="LTC4",$AE$35,IF(Z11="LTC5",$AE$36,IF(Z11="LTC6",$AE$37,IF(Z11="LTC7",$AE$39))))))))</f>
        <v>0</v>
      </c>
      <c r="R11" s="2285" t="e">
        <f t="shared" si="7"/>
        <v>#DIV/0!</v>
      </c>
      <c r="S11" s="2286" t="str">
        <f t="shared" ref="S11:S24" si="14">IF(Z11="", "", "A")</f>
        <v/>
      </c>
      <c r="T11" s="2287">
        <f t="shared" si="8"/>
        <v>0</v>
      </c>
      <c r="U11" s="2965" t="str">
        <f t="shared" si="9"/>
        <v/>
      </c>
      <c r="V11" s="2966">
        <f t="shared" si="10"/>
        <v>0</v>
      </c>
      <c r="W11" s="2965">
        <f t="shared" si="11"/>
        <v>0</v>
      </c>
      <c r="X11" s="2967">
        <f t="shared" si="12"/>
        <v>0</v>
      </c>
      <c r="Y11" s="2968">
        <f t="shared" si="13"/>
        <v>0</v>
      </c>
      <c r="Z11" s="2292" t="str">
        <f t="shared" ref="Z11:Z24" si="15">IF(W11=0, "", "LTC1")</f>
        <v/>
      </c>
      <c r="AA11" s="2292">
        <f t="shared" ref="AA11:AA24" si="16">IF(C11="", 0, 1)</f>
        <v>0</v>
      </c>
      <c r="AB11" s="572"/>
      <c r="AC11" s="1435" t="s">
        <v>2289</v>
      </c>
      <c r="AD11" s="1437" t="s">
        <v>3422</v>
      </c>
      <c r="AE11" s="3148" t="s">
        <v>3528</v>
      </c>
      <c r="AF11" s="3149"/>
      <c r="AG11" s="3149"/>
      <c r="AH11" s="3150"/>
      <c r="AI11" s="572"/>
      <c r="AJ11" s="572"/>
      <c r="AK11" s="572"/>
      <c r="AL11" s="572"/>
      <c r="AM11" s="572"/>
      <c r="AN11" s="572"/>
      <c r="AO11" s="572"/>
      <c r="AP11" s="572"/>
      <c r="AQ11" s="572"/>
      <c r="AR11" s="572"/>
      <c r="AS11" s="572"/>
      <c r="AT11" s="572"/>
      <c r="AU11" s="572"/>
    </row>
    <row r="12" spans="1:47" ht="24.9" customHeight="1">
      <c r="A12" s="1685"/>
      <c r="B12" s="1752" t="str">
        <f t="shared" ref="B12:B24" si="17">IF(ISERROR(VLOOKUP(O12,Senslookup,40,FALSE)),"",VLOOKUP(O12,Senslookup,40,FALSE))</f>
        <v/>
      </c>
      <c r="C12" s="3141" t="str">
        <f t="shared" si="0"/>
        <v/>
      </c>
      <c r="D12" s="3141"/>
      <c r="E12" s="3141"/>
      <c r="F12" s="1786" t="str">
        <f>IF(C12="","",AA12)</f>
        <v/>
      </c>
      <c r="G12" s="1754" t="str">
        <f t="shared" si="1"/>
        <v/>
      </c>
      <c r="H12" s="1755">
        <f t="shared" si="2"/>
        <v>0</v>
      </c>
      <c r="I12" s="1756">
        <f>H12*'R3 Hist'!$R$27</f>
        <v>0</v>
      </c>
      <c r="J12" s="1751">
        <f t="shared" si="3"/>
        <v>0</v>
      </c>
      <c r="K12" s="1757">
        <f t="shared" si="4"/>
        <v>0</v>
      </c>
      <c r="L12" s="1685"/>
      <c r="M12" s="2414"/>
      <c r="N12" s="2806" t="str">
        <f t="shared" si="5"/>
        <v/>
      </c>
      <c r="O12" s="572">
        <v>3</v>
      </c>
      <c r="P12" s="2284">
        <f t="shared" si="6"/>
        <v>0</v>
      </c>
      <c r="Q12" s="41">
        <f>IF(Z12="",0,IF(Z12="LTC1",$AE$32,IF(Z12="LTC2",$AE$33,IF(Z12="LTC3",$AE$34,IF(Z12="LTC4",$AE$35,IF(Z12="LTC5",$AE$36,IF(Z12="LTC6",$AE$37,IF(Z12="LTC7",$AE$39))))))))</f>
        <v>0</v>
      </c>
      <c r="R12" s="2285" t="e">
        <f t="shared" si="7"/>
        <v>#DIV/0!</v>
      </c>
      <c r="S12" s="2286" t="str">
        <f t="shared" si="14"/>
        <v/>
      </c>
      <c r="T12" s="2287">
        <f t="shared" si="8"/>
        <v>0</v>
      </c>
      <c r="U12" s="2965" t="str">
        <f t="shared" si="9"/>
        <v/>
      </c>
      <c r="V12" s="2966">
        <f t="shared" si="10"/>
        <v>0</v>
      </c>
      <c r="W12" s="2965">
        <f t="shared" si="11"/>
        <v>0</v>
      </c>
      <c r="X12" s="2967">
        <f t="shared" si="12"/>
        <v>0</v>
      </c>
      <c r="Y12" s="2968">
        <f t="shared" si="13"/>
        <v>0</v>
      </c>
      <c r="Z12" s="2292" t="str">
        <f t="shared" si="15"/>
        <v/>
      </c>
      <c r="AA12" s="2292">
        <f t="shared" si="16"/>
        <v>0</v>
      </c>
      <c r="AB12" s="572"/>
      <c r="AC12" s="1435" t="s">
        <v>2290</v>
      </c>
      <c r="AD12" s="1437" t="s">
        <v>3423</v>
      </c>
      <c r="AE12" s="3148" t="s">
        <v>3529</v>
      </c>
      <c r="AF12" s="3149"/>
      <c r="AG12" s="3149"/>
      <c r="AH12" s="3150"/>
      <c r="AI12" s="572"/>
      <c r="AJ12" s="572"/>
      <c r="AK12" s="572"/>
      <c r="AL12" s="572"/>
      <c r="AM12" s="572"/>
      <c r="AN12" s="572"/>
      <c r="AO12" s="572"/>
      <c r="AP12" s="572"/>
      <c r="AQ12" s="572"/>
      <c r="AR12" s="572"/>
      <c r="AS12" s="572"/>
      <c r="AT12" s="572"/>
      <c r="AU12" s="572"/>
    </row>
    <row r="13" spans="1:47" ht="24.9" customHeight="1">
      <c r="A13" s="1685"/>
      <c r="B13" s="1752" t="str">
        <f t="shared" si="17"/>
        <v/>
      </c>
      <c r="C13" s="3137" t="str">
        <f t="shared" si="0"/>
        <v/>
      </c>
      <c r="D13" s="3137"/>
      <c r="E13" s="3137"/>
      <c r="F13" s="1787" t="str">
        <f>IF(C13="","",AA13)</f>
        <v/>
      </c>
      <c r="G13" s="1749" t="str">
        <f t="shared" si="1"/>
        <v/>
      </c>
      <c r="H13" s="1750">
        <f t="shared" si="2"/>
        <v>0</v>
      </c>
      <c r="I13" s="1751">
        <f>H13*'R3 Hist'!$R$27</f>
        <v>0</v>
      </c>
      <c r="J13" s="1757">
        <f t="shared" si="3"/>
        <v>0</v>
      </c>
      <c r="K13" s="1751">
        <f t="shared" si="4"/>
        <v>0</v>
      </c>
      <c r="L13" s="1685"/>
      <c r="M13" s="2414"/>
      <c r="N13" s="2806" t="str">
        <f t="shared" si="5"/>
        <v/>
      </c>
      <c r="O13" s="572">
        <v>4</v>
      </c>
      <c r="P13" s="2284">
        <f t="shared" si="6"/>
        <v>0</v>
      </c>
      <c r="Q13" s="41">
        <f>IF(Z13="",0,IF(Z13="LTC1",$AE$32,IF(Z13="LTC2",$AE$33,IF(Z13="LTC3",$AE$34,IF(Z13="LTC4",$AE$35,IF(Z13="LTC5",$AE$36,IF(Z13="LTC6",$AE$37,IF(Z13="LTC7",$AE$39))))))))</f>
        <v>0</v>
      </c>
      <c r="R13" s="2285" t="e">
        <f t="shared" si="7"/>
        <v>#DIV/0!</v>
      </c>
      <c r="S13" s="2286" t="str">
        <f t="shared" si="14"/>
        <v/>
      </c>
      <c r="T13" s="2287">
        <f t="shared" si="8"/>
        <v>0</v>
      </c>
      <c r="U13" s="2965" t="str">
        <f t="shared" si="9"/>
        <v/>
      </c>
      <c r="V13" s="2966">
        <f t="shared" si="10"/>
        <v>0</v>
      </c>
      <c r="W13" s="2965">
        <f t="shared" si="11"/>
        <v>0</v>
      </c>
      <c r="X13" s="2967">
        <f t="shared" si="12"/>
        <v>0</v>
      </c>
      <c r="Y13" s="2968">
        <f t="shared" si="13"/>
        <v>0</v>
      </c>
      <c r="Z13" s="2292" t="str">
        <f t="shared" si="15"/>
        <v/>
      </c>
      <c r="AA13" s="2292">
        <f t="shared" si="16"/>
        <v>0</v>
      </c>
      <c r="AB13" s="572"/>
      <c r="AC13" s="1435" t="s">
        <v>2291</v>
      </c>
      <c r="AD13" s="1437" t="s">
        <v>3424</v>
      </c>
      <c r="AE13" s="3153" t="s">
        <v>3530</v>
      </c>
      <c r="AF13" s="3154"/>
      <c r="AG13" s="3154"/>
      <c r="AH13" s="3155"/>
      <c r="AI13" s="572"/>
      <c r="AJ13" s="572"/>
      <c r="AK13" s="572"/>
      <c r="AL13" s="572"/>
      <c r="AM13" s="572"/>
      <c r="AN13" s="572"/>
      <c r="AO13" s="572"/>
      <c r="AP13" s="572"/>
      <c r="AQ13" s="572"/>
      <c r="AR13" s="572"/>
      <c r="AS13" s="572"/>
      <c r="AT13" s="572"/>
      <c r="AU13" s="572"/>
    </row>
    <row r="14" spans="1:47" ht="24.9" customHeight="1">
      <c r="A14" s="1685"/>
      <c r="B14" s="1752" t="str">
        <f t="shared" si="17"/>
        <v/>
      </c>
      <c r="C14" s="3141" t="str">
        <f t="shared" si="0"/>
        <v/>
      </c>
      <c r="D14" s="3141"/>
      <c r="E14" s="3141"/>
      <c r="F14" s="1748">
        <f t="shared" ref="F14:F24" si="18">AA14</f>
        <v>0</v>
      </c>
      <c r="G14" s="1749" t="str">
        <f t="shared" si="1"/>
        <v/>
      </c>
      <c r="H14" s="1750">
        <f t="shared" si="2"/>
        <v>0</v>
      </c>
      <c r="I14" s="1751">
        <f>H14*'R3 Hist'!$R$27</f>
        <v>0</v>
      </c>
      <c r="J14" s="1751">
        <f t="shared" si="3"/>
        <v>0</v>
      </c>
      <c r="K14" s="1751">
        <f t="shared" si="4"/>
        <v>0</v>
      </c>
      <c r="L14" s="1685"/>
      <c r="M14" s="2414"/>
      <c r="N14" s="2806" t="str">
        <f t="shared" si="5"/>
        <v/>
      </c>
      <c r="O14" s="572">
        <v>5</v>
      </c>
      <c r="P14" s="2284">
        <f t="shared" si="6"/>
        <v>0</v>
      </c>
      <c r="Q14" s="41">
        <f>IF(Z14="",0,IF(Z14="LTC1",$AE$32,IF(Z14="LTC2",$AE$33,IF(Z14="LTC3",$AE$34,IF(Z14="LTC4",$AE$35,IF(Z14="LTC5",$AE$36,IF(Z14="LTC6",$AE$37,IF(Z14="LTC7",$AE$39))))))))</f>
        <v>0</v>
      </c>
      <c r="R14" s="2285" t="e">
        <f t="shared" si="7"/>
        <v>#DIV/0!</v>
      </c>
      <c r="S14" s="2286" t="str">
        <f t="shared" si="14"/>
        <v/>
      </c>
      <c r="T14" s="2287">
        <f t="shared" si="8"/>
        <v>0</v>
      </c>
      <c r="U14" s="2965" t="str">
        <f t="shared" si="9"/>
        <v/>
      </c>
      <c r="V14" s="2288">
        <f t="shared" si="10"/>
        <v>0</v>
      </c>
      <c r="W14" s="2289">
        <f t="shared" si="11"/>
        <v>0</v>
      </c>
      <c r="X14" s="2290">
        <f t="shared" si="12"/>
        <v>0</v>
      </c>
      <c r="Y14" s="2291">
        <f t="shared" si="13"/>
        <v>0</v>
      </c>
      <c r="Z14" s="2292" t="str">
        <f t="shared" si="15"/>
        <v/>
      </c>
      <c r="AA14" s="2292">
        <f t="shared" si="16"/>
        <v>0</v>
      </c>
      <c r="AB14" s="572"/>
      <c r="AC14" s="1435"/>
      <c r="AD14" s="1437"/>
      <c r="AE14" s="3148"/>
      <c r="AF14" s="3149"/>
      <c r="AG14" s="3149"/>
      <c r="AH14" s="3150"/>
      <c r="AI14" s="572"/>
      <c r="AJ14" s="572"/>
      <c r="AK14" s="572"/>
      <c r="AL14" s="572"/>
      <c r="AM14" s="572"/>
      <c r="AN14" s="572"/>
      <c r="AO14" s="572"/>
      <c r="AP14" s="572"/>
      <c r="AQ14" s="572"/>
      <c r="AR14" s="572"/>
      <c r="AS14" s="572"/>
      <c r="AT14" s="572"/>
      <c r="AU14" s="572"/>
    </row>
    <row r="15" spans="1:47" ht="24.9" customHeight="1">
      <c r="A15" s="1685"/>
      <c r="B15" s="1752" t="str">
        <f t="shared" si="17"/>
        <v/>
      </c>
      <c r="C15" s="3137" t="str">
        <f t="shared" si="0"/>
        <v/>
      </c>
      <c r="D15" s="3137"/>
      <c r="E15" s="3137"/>
      <c r="F15" s="2841">
        <f t="shared" ref="F15:F18" si="19">AA15</f>
        <v>0</v>
      </c>
      <c r="G15" s="1758" t="str">
        <f t="shared" si="1"/>
        <v/>
      </c>
      <c r="H15" s="1759">
        <f t="shared" ref="H15:H18" si="20">X15</f>
        <v>0</v>
      </c>
      <c r="I15" s="1757">
        <f>H15*'R3 Hist'!$R$27</f>
        <v>0</v>
      </c>
      <c r="J15" s="1757">
        <f t="shared" ref="J15:J18" si="21">IF($O$8=TRUE,M15,K15/0.8)</f>
        <v>0</v>
      </c>
      <c r="K15" s="1757">
        <f t="shared" ref="K15:K18" si="22">P15</f>
        <v>0</v>
      </c>
      <c r="L15" s="1685"/>
      <c r="M15" s="2414"/>
      <c r="N15" s="2806" t="str">
        <f t="shared" ref="N15:N18" si="23">IF(C15="","",IF($O$8=TRUE,"*",""))</f>
        <v/>
      </c>
      <c r="O15" s="572">
        <v>6</v>
      </c>
      <c r="P15" s="2284">
        <f t="shared" ref="P15:P18" si="24">Q15*AA15</f>
        <v>0</v>
      </c>
      <c r="Q15" s="41">
        <f t="shared" ref="Q15:Q18" si="25">IF(Z15="",0,IF(Z15="LTC1",$AE$32,IF(Z15="LTC2",$AE$33,IF(Z15="LTC3",$AE$34,IF(Z15="LTC4",$AE$35,IF(Z15="LTC5",$AE$36,IF(Z15="LTC6",$AE$37,IF(Z15="LTC7",$AE$39))))))))</f>
        <v>0</v>
      </c>
      <c r="R15" s="2285" t="e">
        <f t="shared" ref="R15:R18" si="26">(J15-Q15)/I15</f>
        <v>#DIV/0!</v>
      </c>
      <c r="S15" s="2286" t="str">
        <f t="shared" si="14"/>
        <v/>
      </c>
      <c r="T15" s="2287">
        <f t="shared" ref="T15:T18" si="27">IF(S15="",0,VLOOKUP(S15,sched1,3,FALSE))</f>
        <v>0</v>
      </c>
      <c r="U15" s="2965" t="str">
        <f t="shared" si="9"/>
        <v/>
      </c>
      <c r="V15" s="42">
        <f t="shared" ref="V15:V18" si="28">IF(U15="",0,VLOOKUP(U15,roomtypetable,2,FALSE))</f>
        <v>0</v>
      </c>
      <c r="W15" s="2289">
        <f t="shared" ref="W15:W18" si="29">IF(C15="",0,G15*VLOOKUP(C15,lighting,7,FALSE)/1000)</f>
        <v>0</v>
      </c>
      <c r="X15" s="2293">
        <f t="shared" ref="X15:X18" si="30">W15*T15*V15</f>
        <v>0</v>
      </c>
      <c r="Y15" s="43">
        <f t="shared" ref="Y15:Y18" si="31">IF(U15="",0,VLOOKUP(U15,roomtypetable,3,FALSE))</f>
        <v>0</v>
      </c>
      <c r="Z15" s="2292" t="str">
        <f t="shared" si="15"/>
        <v/>
      </c>
      <c r="AA15" s="2292">
        <f t="shared" si="16"/>
        <v>0</v>
      </c>
      <c r="AB15" s="572"/>
      <c r="AC15" s="1435"/>
      <c r="AD15" s="1437"/>
      <c r="AE15" s="3148"/>
      <c r="AF15" s="3149"/>
      <c r="AG15" s="3149"/>
      <c r="AH15" s="3150"/>
      <c r="AI15" s="572"/>
      <c r="AJ15" s="572"/>
      <c r="AK15" s="572"/>
      <c r="AL15" s="572"/>
      <c r="AM15" s="572"/>
      <c r="AN15" s="572"/>
      <c r="AO15" s="572"/>
      <c r="AP15" s="572"/>
      <c r="AQ15" s="572"/>
      <c r="AR15" s="572"/>
      <c r="AS15" s="572"/>
      <c r="AT15" s="572"/>
      <c r="AU15" s="572"/>
    </row>
    <row r="16" spans="1:47" ht="24.9" customHeight="1">
      <c r="A16" s="1685"/>
      <c r="B16" s="1752" t="str">
        <f t="shared" si="17"/>
        <v/>
      </c>
      <c r="C16" s="3137" t="str">
        <f t="shared" si="0"/>
        <v/>
      </c>
      <c r="D16" s="3137"/>
      <c r="E16" s="3137"/>
      <c r="F16" s="2842">
        <f t="shared" si="19"/>
        <v>0</v>
      </c>
      <c r="G16" s="1749" t="str">
        <f t="shared" si="1"/>
        <v/>
      </c>
      <c r="H16" s="1750">
        <f t="shared" si="20"/>
        <v>0</v>
      </c>
      <c r="I16" s="1751">
        <f>H16*'R3 Hist'!$R$27</f>
        <v>0</v>
      </c>
      <c r="J16" s="1751">
        <f t="shared" si="21"/>
        <v>0</v>
      </c>
      <c r="K16" s="1751">
        <f t="shared" si="22"/>
        <v>0</v>
      </c>
      <c r="L16" s="1685"/>
      <c r="M16" s="2414"/>
      <c r="N16" s="2806" t="str">
        <f t="shared" si="23"/>
        <v/>
      </c>
      <c r="O16" s="572">
        <v>7</v>
      </c>
      <c r="P16" s="2284">
        <f t="shared" si="24"/>
        <v>0</v>
      </c>
      <c r="Q16" s="41">
        <f t="shared" si="25"/>
        <v>0</v>
      </c>
      <c r="R16" s="2285" t="e">
        <f t="shared" si="26"/>
        <v>#DIV/0!</v>
      </c>
      <c r="S16" s="2286" t="str">
        <f t="shared" si="14"/>
        <v/>
      </c>
      <c r="T16" s="2287">
        <f t="shared" si="27"/>
        <v>0</v>
      </c>
      <c r="U16" s="2965" t="str">
        <f t="shared" si="9"/>
        <v/>
      </c>
      <c r="V16" s="2288">
        <f t="shared" si="28"/>
        <v>0</v>
      </c>
      <c r="W16" s="2289">
        <f t="shared" si="29"/>
        <v>0</v>
      </c>
      <c r="X16" s="2290">
        <f t="shared" si="30"/>
        <v>0</v>
      </c>
      <c r="Y16" s="2291">
        <f t="shared" si="31"/>
        <v>0</v>
      </c>
      <c r="Z16" s="2292" t="str">
        <f t="shared" si="15"/>
        <v/>
      </c>
      <c r="AA16" s="2292">
        <f t="shared" si="16"/>
        <v>0</v>
      </c>
      <c r="AB16" s="572"/>
      <c r="AC16" s="1435"/>
      <c r="AD16" s="1437"/>
      <c r="AE16" s="3148"/>
      <c r="AF16" s="3149"/>
      <c r="AG16" s="3149"/>
      <c r="AH16" s="3150"/>
      <c r="AI16" s="572"/>
      <c r="AJ16" s="572"/>
      <c r="AK16" s="572"/>
      <c r="AL16" s="572"/>
      <c r="AM16" s="572"/>
      <c r="AN16" s="572"/>
      <c r="AO16" s="572"/>
      <c r="AP16" s="572"/>
      <c r="AQ16" s="572"/>
      <c r="AR16" s="572"/>
      <c r="AS16" s="572"/>
      <c r="AT16" s="572"/>
      <c r="AU16" s="572"/>
    </row>
    <row r="17" spans="1:47" ht="24.9" customHeight="1">
      <c r="A17" s="1685"/>
      <c r="B17" s="1752" t="str">
        <f t="shared" si="17"/>
        <v/>
      </c>
      <c r="C17" s="3141" t="str">
        <f t="shared" si="0"/>
        <v/>
      </c>
      <c r="D17" s="3141"/>
      <c r="E17" s="3141"/>
      <c r="F17" s="2841">
        <f t="shared" si="19"/>
        <v>0</v>
      </c>
      <c r="G17" s="1758" t="str">
        <f t="shared" si="1"/>
        <v/>
      </c>
      <c r="H17" s="1759">
        <f t="shared" si="20"/>
        <v>0</v>
      </c>
      <c r="I17" s="1757">
        <f>H17*'R3 Hist'!$R$27</f>
        <v>0</v>
      </c>
      <c r="J17" s="1757">
        <f t="shared" si="21"/>
        <v>0</v>
      </c>
      <c r="K17" s="1757">
        <f t="shared" si="22"/>
        <v>0</v>
      </c>
      <c r="L17" s="1685"/>
      <c r="M17" s="2414"/>
      <c r="N17" s="2806" t="str">
        <f t="shared" si="23"/>
        <v/>
      </c>
      <c r="O17" s="572">
        <v>8</v>
      </c>
      <c r="P17" s="2284">
        <f t="shared" si="24"/>
        <v>0</v>
      </c>
      <c r="Q17" s="41">
        <f t="shared" si="25"/>
        <v>0</v>
      </c>
      <c r="R17" s="2285" t="e">
        <f t="shared" si="26"/>
        <v>#DIV/0!</v>
      </c>
      <c r="S17" s="2286" t="str">
        <f t="shared" si="14"/>
        <v/>
      </c>
      <c r="T17" s="2287">
        <f t="shared" si="27"/>
        <v>0</v>
      </c>
      <c r="U17" s="2965" t="str">
        <f t="shared" si="9"/>
        <v/>
      </c>
      <c r="V17" s="42">
        <f t="shared" si="28"/>
        <v>0</v>
      </c>
      <c r="W17" s="2289">
        <f t="shared" si="29"/>
        <v>0</v>
      </c>
      <c r="X17" s="2293">
        <f t="shared" si="30"/>
        <v>0</v>
      </c>
      <c r="Y17" s="43">
        <f t="shared" si="31"/>
        <v>0</v>
      </c>
      <c r="Z17" s="2292" t="str">
        <f t="shared" si="15"/>
        <v/>
      </c>
      <c r="AA17" s="2292">
        <f t="shared" si="16"/>
        <v>0</v>
      </c>
      <c r="AB17" s="572"/>
      <c r="AC17" s="1435"/>
      <c r="AD17" s="1437"/>
      <c r="AE17" s="3148"/>
      <c r="AF17" s="3149"/>
      <c r="AG17" s="3149"/>
      <c r="AH17" s="3150"/>
      <c r="AI17" s="572"/>
      <c r="AJ17" s="572"/>
      <c r="AK17" s="572"/>
      <c r="AL17" s="572"/>
      <c r="AM17" s="572"/>
      <c r="AN17" s="572"/>
      <c r="AO17" s="572"/>
      <c r="AP17" s="572"/>
      <c r="AQ17" s="572"/>
      <c r="AR17" s="572"/>
      <c r="AS17" s="572"/>
      <c r="AT17" s="572"/>
      <c r="AU17" s="572"/>
    </row>
    <row r="18" spans="1:47" ht="24.9" customHeight="1">
      <c r="A18" s="1685"/>
      <c r="B18" s="1752" t="str">
        <f t="shared" si="17"/>
        <v/>
      </c>
      <c r="C18" s="3137" t="str">
        <f t="shared" si="0"/>
        <v/>
      </c>
      <c r="D18" s="3137"/>
      <c r="E18" s="3137"/>
      <c r="F18" s="2842">
        <f t="shared" si="19"/>
        <v>0</v>
      </c>
      <c r="G18" s="1749" t="str">
        <f t="shared" si="1"/>
        <v/>
      </c>
      <c r="H18" s="1750">
        <f t="shared" si="20"/>
        <v>0</v>
      </c>
      <c r="I18" s="1751">
        <f>H18*'R3 Hist'!$R$27</f>
        <v>0</v>
      </c>
      <c r="J18" s="1751">
        <f t="shared" si="21"/>
        <v>0</v>
      </c>
      <c r="K18" s="1751">
        <f t="shared" si="22"/>
        <v>0</v>
      </c>
      <c r="L18" s="1685"/>
      <c r="M18" s="2414"/>
      <c r="N18" s="2806" t="str">
        <f t="shared" si="23"/>
        <v/>
      </c>
      <c r="O18" s="572">
        <v>9</v>
      </c>
      <c r="P18" s="2284">
        <f t="shared" si="24"/>
        <v>0</v>
      </c>
      <c r="Q18" s="41">
        <f t="shared" si="25"/>
        <v>0</v>
      </c>
      <c r="R18" s="2285" t="e">
        <f t="shared" si="26"/>
        <v>#DIV/0!</v>
      </c>
      <c r="S18" s="2286" t="str">
        <f t="shared" si="14"/>
        <v/>
      </c>
      <c r="T18" s="2287">
        <f t="shared" si="27"/>
        <v>0</v>
      </c>
      <c r="U18" s="2965" t="str">
        <f t="shared" si="9"/>
        <v/>
      </c>
      <c r="V18" s="2288">
        <f t="shared" si="28"/>
        <v>0</v>
      </c>
      <c r="W18" s="2289">
        <f t="shared" si="29"/>
        <v>0</v>
      </c>
      <c r="X18" s="2290">
        <f t="shared" si="30"/>
        <v>0</v>
      </c>
      <c r="Y18" s="2291">
        <f t="shared" si="31"/>
        <v>0</v>
      </c>
      <c r="Z18" s="2292" t="str">
        <f t="shared" si="15"/>
        <v/>
      </c>
      <c r="AA18" s="2292">
        <f t="shared" si="16"/>
        <v>0</v>
      </c>
      <c r="AB18" s="572"/>
      <c r="AC18" s="1435"/>
      <c r="AD18" s="1437"/>
      <c r="AE18" s="3148"/>
      <c r="AF18" s="3149"/>
      <c r="AG18" s="3149"/>
      <c r="AH18" s="3150"/>
      <c r="AI18" s="572"/>
      <c r="AJ18" s="572"/>
      <c r="AK18" s="572"/>
      <c r="AL18" s="572"/>
      <c r="AM18" s="572"/>
      <c r="AN18" s="572"/>
      <c r="AO18" s="572"/>
      <c r="AP18" s="572"/>
      <c r="AQ18" s="572"/>
      <c r="AR18" s="572"/>
      <c r="AS18" s="572"/>
      <c r="AT18" s="572"/>
      <c r="AU18" s="572"/>
    </row>
    <row r="19" spans="1:47" ht="24.9" customHeight="1">
      <c r="A19" s="1685"/>
      <c r="B19" s="1752" t="str">
        <f t="shared" si="17"/>
        <v/>
      </c>
      <c r="C19" s="3137" t="str">
        <f t="shared" si="0"/>
        <v/>
      </c>
      <c r="D19" s="3137"/>
      <c r="E19" s="3137"/>
      <c r="F19" s="1753">
        <f t="shared" si="18"/>
        <v>0</v>
      </c>
      <c r="G19" s="1758" t="str">
        <f t="shared" si="1"/>
        <v/>
      </c>
      <c r="H19" s="1759">
        <f t="shared" si="2"/>
        <v>0</v>
      </c>
      <c r="I19" s="1757">
        <f>H19*'R3 Hist'!$R$27</f>
        <v>0</v>
      </c>
      <c r="J19" s="1757">
        <f t="shared" si="3"/>
        <v>0</v>
      </c>
      <c r="K19" s="1757">
        <f t="shared" si="4"/>
        <v>0</v>
      </c>
      <c r="L19" s="1685"/>
      <c r="M19" s="2414"/>
      <c r="N19" s="2806" t="str">
        <f t="shared" si="5"/>
        <v/>
      </c>
      <c r="O19" s="572">
        <v>10</v>
      </c>
      <c r="P19" s="2284">
        <f t="shared" si="6"/>
        <v>0</v>
      </c>
      <c r="Q19" s="41">
        <f t="shared" ref="Q19:Q24" si="32">IF(Z19="",0,IF(Z19="LTC1",$AE$32,IF(Z19="LTC2",$AE$33,IF(Z19="LTC3",$AE$34,IF(Z19="LTC4",$AE$35,IF(Z19="LTC5",$AE$36,IF(Z19="LTC6",$AE$37,IF(Z19="LTC7",$AE$39))))))))</f>
        <v>0</v>
      </c>
      <c r="R19" s="2285" t="e">
        <f t="shared" si="7"/>
        <v>#DIV/0!</v>
      </c>
      <c r="S19" s="2286" t="str">
        <f t="shared" si="14"/>
        <v/>
      </c>
      <c r="T19" s="2287">
        <f t="shared" si="8"/>
        <v>0</v>
      </c>
      <c r="U19" s="2965" t="str">
        <f t="shared" si="9"/>
        <v/>
      </c>
      <c r="V19" s="42">
        <f t="shared" si="10"/>
        <v>0</v>
      </c>
      <c r="W19" s="2289">
        <f t="shared" si="11"/>
        <v>0</v>
      </c>
      <c r="X19" s="2293">
        <f t="shared" si="12"/>
        <v>0</v>
      </c>
      <c r="Y19" s="43">
        <f t="shared" si="13"/>
        <v>0</v>
      </c>
      <c r="Z19" s="2292" t="str">
        <f t="shared" si="15"/>
        <v/>
      </c>
      <c r="AA19" s="2292">
        <f t="shared" si="16"/>
        <v>0</v>
      </c>
      <c r="AB19" s="572"/>
      <c r="AC19" s="1435"/>
      <c r="AD19" s="1437"/>
      <c r="AE19" s="3148"/>
      <c r="AF19" s="3149"/>
      <c r="AG19" s="3149"/>
      <c r="AH19" s="3150"/>
      <c r="AI19" s="572"/>
      <c r="AJ19" s="572"/>
      <c r="AK19" s="572"/>
      <c r="AL19" s="572"/>
      <c r="AM19" s="572"/>
      <c r="AN19" s="572"/>
      <c r="AO19" s="572"/>
      <c r="AP19" s="572"/>
      <c r="AQ19" s="572"/>
      <c r="AR19" s="572"/>
      <c r="AS19" s="572"/>
      <c r="AT19" s="572"/>
      <c r="AU19" s="572"/>
    </row>
    <row r="20" spans="1:47" ht="24.9" customHeight="1">
      <c r="A20" s="1685"/>
      <c r="B20" s="1752" t="str">
        <f t="shared" si="17"/>
        <v/>
      </c>
      <c r="C20" s="3137" t="str">
        <f t="shared" si="0"/>
        <v/>
      </c>
      <c r="D20" s="3137"/>
      <c r="E20" s="3137"/>
      <c r="F20" s="1748">
        <f t="shared" si="18"/>
        <v>0</v>
      </c>
      <c r="G20" s="1749" t="str">
        <f t="shared" si="1"/>
        <v/>
      </c>
      <c r="H20" s="1750">
        <f t="shared" si="2"/>
        <v>0</v>
      </c>
      <c r="I20" s="1751">
        <f>H20*'R3 Hist'!$R$27</f>
        <v>0</v>
      </c>
      <c r="J20" s="1751">
        <f t="shared" si="3"/>
        <v>0</v>
      </c>
      <c r="K20" s="1751">
        <f t="shared" si="4"/>
        <v>0</v>
      </c>
      <c r="L20" s="1685"/>
      <c r="M20" s="2414"/>
      <c r="N20" s="2806" t="str">
        <f t="shared" si="5"/>
        <v/>
      </c>
      <c r="O20" s="572">
        <v>11</v>
      </c>
      <c r="P20" s="2284">
        <f t="shared" si="6"/>
        <v>0</v>
      </c>
      <c r="Q20" s="41">
        <f t="shared" si="32"/>
        <v>0</v>
      </c>
      <c r="R20" s="2285" t="e">
        <f t="shared" si="7"/>
        <v>#DIV/0!</v>
      </c>
      <c r="S20" s="2286" t="str">
        <f t="shared" si="14"/>
        <v/>
      </c>
      <c r="T20" s="2287">
        <f t="shared" si="8"/>
        <v>0</v>
      </c>
      <c r="U20" s="2965" t="str">
        <f t="shared" si="9"/>
        <v/>
      </c>
      <c r="V20" s="2288">
        <f t="shared" si="10"/>
        <v>0</v>
      </c>
      <c r="W20" s="2289">
        <f t="shared" si="11"/>
        <v>0</v>
      </c>
      <c r="X20" s="2290">
        <f t="shared" si="12"/>
        <v>0</v>
      </c>
      <c r="Y20" s="2291">
        <f t="shared" si="13"/>
        <v>0</v>
      </c>
      <c r="Z20" s="2292" t="str">
        <f t="shared" si="15"/>
        <v/>
      </c>
      <c r="AA20" s="2292">
        <f t="shared" si="16"/>
        <v>0</v>
      </c>
      <c r="AB20" s="572"/>
      <c r="AC20" s="1435"/>
      <c r="AD20" s="1437"/>
      <c r="AE20" s="3148"/>
      <c r="AF20" s="3149"/>
      <c r="AG20" s="3149"/>
      <c r="AH20" s="3150"/>
      <c r="AI20" s="572"/>
      <c r="AJ20" s="572"/>
      <c r="AK20" s="572"/>
      <c r="AL20" s="572"/>
      <c r="AM20" s="572"/>
      <c r="AN20" s="572"/>
      <c r="AO20" s="572"/>
      <c r="AP20" s="572"/>
      <c r="AQ20" s="572"/>
      <c r="AR20" s="572"/>
      <c r="AS20" s="572"/>
      <c r="AT20" s="572"/>
      <c r="AU20" s="572"/>
    </row>
    <row r="21" spans="1:47" ht="24.9" customHeight="1">
      <c r="A21" s="1685"/>
      <c r="B21" s="1752" t="str">
        <f t="shared" si="17"/>
        <v/>
      </c>
      <c r="C21" s="3141" t="str">
        <f t="shared" si="0"/>
        <v/>
      </c>
      <c r="D21" s="3141"/>
      <c r="E21" s="3141"/>
      <c r="F21" s="1753">
        <f t="shared" si="18"/>
        <v>0</v>
      </c>
      <c r="G21" s="1758" t="str">
        <f t="shared" si="1"/>
        <v/>
      </c>
      <c r="H21" s="1759">
        <f t="shared" si="2"/>
        <v>0</v>
      </c>
      <c r="I21" s="1757">
        <f>H21*'R3 Hist'!$R$27</f>
        <v>0</v>
      </c>
      <c r="J21" s="1757">
        <f t="shared" si="3"/>
        <v>0</v>
      </c>
      <c r="K21" s="1757">
        <f t="shared" si="4"/>
        <v>0</v>
      </c>
      <c r="L21" s="1685"/>
      <c r="M21" s="2414"/>
      <c r="N21" s="2806" t="str">
        <f t="shared" si="5"/>
        <v/>
      </c>
      <c r="O21" s="572">
        <v>12</v>
      </c>
      <c r="P21" s="2284">
        <f t="shared" si="6"/>
        <v>0</v>
      </c>
      <c r="Q21" s="41">
        <f t="shared" si="32"/>
        <v>0</v>
      </c>
      <c r="R21" s="2285" t="e">
        <f t="shared" si="7"/>
        <v>#DIV/0!</v>
      </c>
      <c r="S21" s="2286" t="str">
        <f t="shared" si="14"/>
        <v/>
      </c>
      <c r="T21" s="2287">
        <f t="shared" si="8"/>
        <v>0</v>
      </c>
      <c r="U21" s="2965" t="str">
        <f t="shared" si="9"/>
        <v/>
      </c>
      <c r="V21" s="42">
        <f t="shared" si="10"/>
        <v>0</v>
      </c>
      <c r="W21" s="2289">
        <f t="shared" si="11"/>
        <v>0</v>
      </c>
      <c r="X21" s="2293">
        <f t="shared" si="12"/>
        <v>0</v>
      </c>
      <c r="Y21" s="43">
        <f t="shared" si="13"/>
        <v>0</v>
      </c>
      <c r="Z21" s="2292" t="str">
        <f t="shared" si="15"/>
        <v/>
      </c>
      <c r="AA21" s="2292">
        <f t="shared" si="16"/>
        <v>0</v>
      </c>
      <c r="AB21" s="572"/>
      <c r="AC21" s="1435"/>
      <c r="AD21" s="1437"/>
      <c r="AE21" s="3148"/>
      <c r="AF21" s="3149"/>
      <c r="AG21" s="3149"/>
      <c r="AH21" s="3150"/>
      <c r="AI21" s="572"/>
      <c r="AJ21" s="572"/>
      <c r="AK21" s="572"/>
      <c r="AL21" s="572"/>
      <c r="AM21" s="572"/>
      <c r="AN21" s="572"/>
      <c r="AO21" s="572"/>
      <c r="AP21" s="572"/>
      <c r="AQ21" s="572"/>
      <c r="AR21" s="572"/>
      <c r="AS21" s="572"/>
      <c r="AT21" s="572"/>
      <c r="AU21" s="572"/>
    </row>
    <row r="22" spans="1:47" ht="24.9" customHeight="1">
      <c r="A22" s="1685"/>
      <c r="B22" s="1752" t="str">
        <f t="shared" si="17"/>
        <v/>
      </c>
      <c r="C22" s="3137" t="str">
        <f t="shared" si="0"/>
        <v/>
      </c>
      <c r="D22" s="3137"/>
      <c r="E22" s="3137"/>
      <c r="F22" s="2842">
        <f t="shared" ref="F22" si="33">AA22</f>
        <v>0</v>
      </c>
      <c r="G22" s="1749" t="str">
        <f t="shared" si="1"/>
        <v/>
      </c>
      <c r="H22" s="1750">
        <f t="shared" ref="H22" si="34">X22</f>
        <v>0</v>
      </c>
      <c r="I22" s="1751">
        <f>H22*'R3 Hist'!$R$27</f>
        <v>0</v>
      </c>
      <c r="J22" s="1751">
        <f t="shared" ref="J22" si="35">IF($O$8=TRUE,M22,K22/0.8)</f>
        <v>0</v>
      </c>
      <c r="K22" s="1751">
        <f t="shared" ref="K22" si="36">P22</f>
        <v>0</v>
      </c>
      <c r="L22" s="1685"/>
      <c r="M22" s="2414"/>
      <c r="N22" s="2806" t="str">
        <f t="shared" ref="N22" si="37">IF(C22="","",IF($O$8=TRUE,"*",""))</f>
        <v/>
      </c>
      <c r="O22" s="572">
        <v>13</v>
      </c>
      <c r="P22" s="2284">
        <f t="shared" ref="P22" si="38">Q22*AA22</f>
        <v>0</v>
      </c>
      <c r="Q22" s="41">
        <f t="shared" si="32"/>
        <v>0</v>
      </c>
      <c r="R22" s="2285" t="e">
        <f t="shared" ref="R22" si="39">(J22-Q22)/I22</f>
        <v>#DIV/0!</v>
      </c>
      <c r="S22" s="2286" t="str">
        <f t="shared" si="14"/>
        <v/>
      </c>
      <c r="T22" s="2287">
        <f t="shared" ref="T22" si="40">IF(S22="",0,VLOOKUP(S22,sched1,3,FALSE))</f>
        <v>0</v>
      </c>
      <c r="U22" s="2965" t="str">
        <f t="shared" si="9"/>
        <v/>
      </c>
      <c r="V22" s="2288">
        <f t="shared" ref="V22" si="41">IF(U22="",0,VLOOKUP(U22,roomtypetable,2,FALSE))</f>
        <v>0</v>
      </c>
      <c r="W22" s="2289">
        <f t="shared" ref="W22" si="42">IF(C22="",0,G22*VLOOKUP(C22,lighting,7,FALSE)/1000)</f>
        <v>0</v>
      </c>
      <c r="X22" s="2290">
        <f t="shared" ref="X22" si="43">W22*T22*V22</f>
        <v>0</v>
      </c>
      <c r="Y22" s="2291">
        <f t="shared" ref="Y22" si="44">IF(U22="",0,VLOOKUP(U22,roomtypetable,3,FALSE))</f>
        <v>0</v>
      </c>
      <c r="Z22" s="2292" t="str">
        <f t="shared" si="15"/>
        <v/>
      </c>
      <c r="AA22" s="2292">
        <f t="shared" si="16"/>
        <v>0</v>
      </c>
      <c r="AB22" s="572"/>
      <c r="AC22" s="1435"/>
      <c r="AD22" s="1437"/>
      <c r="AE22" s="3148"/>
      <c r="AF22" s="3149"/>
      <c r="AG22" s="3149"/>
      <c r="AH22" s="3150"/>
      <c r="AI22" s="572"/>
      <c r="AJ22" s="572"/>
      <c r="AK22" s="572"/>
      <c r="AL22" s="572"/>
      <c r="AM22" s="572"/>
      <c r="AN22" s="572"/>
      <c r="AO22" s="572"/>
      <c r="AP22" s="572"/>
      <c r="AQ22" s="572"/>
      <c r="AR22" s="572"/>
      <c r="AS22" s="572"/>
      <c r="AT22" s="572"/>
      <c r="AU22" s="572"/>
    </row>
    <row r="23" spans="1:47" ht="24.9" customHeight="1">
      <c r="A23" s="1685"/>
      <c r="B23" s="1752" t="str">
        <f t="shared" si="17"/>
        <v/>
      </c>
      <c r="C23" s="3137" t="str">
        <f t="shared" si="0"/>
        <v/>
      </c>
      <c r="D23" s="3137"/>
      <c r="E23" s="3137"/>
      <c r="F23" s="1748">
        <f t="shared" si="18"/>
        <v>0</v>
      </c>
      <c r="G23" s="1749" t="str">
        <f t="shared" si="1"/>
        <v/>
      </c>
      <c r="H23" s="1750">
        <f t="shared" si="2"/>
        <v>0</v>
      </c>
      <c r="I23" s="1751">
        <f>H23*'R3 Hist'!$R$27</f>
        <v>0</v>
      </c>
      <c r="J23" s="1751">
        <f t="shared" si="3"/>
        <v>0</v>
      </c>
      <c r="K23" s="1751">
        <f t="shared" si="4"/>
        <v>0</v>
      </c>
      <c r="L23" s="1685"/>
      <c r="M23" s="2414"/>
      <c r="N23" s="2806" t="str">
        <f t="shared" si="5"/>
        <v/>
      </c>
      <c r="O23" s="572">
        <v>14</v>
      </c>
      <c r="P23" s="2284">
        <f t="shared" si="6"/>
        <v>0</v>
      </c>
      <c r="Q23" s="41">
        <f t="shared" si="32"/>
        <v>0</v>
      </c>
      <c r="R23" s="2285" t="e">
        <f t="shared" si="7"/>
        <v>#DIV/0!</v>
      </c>
      <c r="S23" s="2286" t="str">
        <f t="shared" si="14"/>
        <v/>
      </c>
      <c r="T23" s="2287">
        <f t="shared" si="8"/>
        <v>0</v>
      </c>
      <c r="U23" s="2965" t="str">
        <f t="shared" si="9"/>
        <v/>
      </c>
      <c r="V23" s="2288">
        <f t="shared" si="10"/>
        <v>0</v>
      </c>
      <c r="W23" s="2289">
        <f t="shared" si="11"/>
        <v>0</v>
      </c>
      <c r="X23" s="2290">
        <f t="shared" si="12"/>
        <v>0</v>
      </c>
      <c r="Y23" s="2291">
        <f t="shared" si="13"/>
        <v>0</v>
      </c>
      <c r="Z23" s="2292" t="str">
        <f t="shared" si="15"/>
        <v/>
      </c>
      <c r="AA23" s="2292">
        <f t="shared" si="16"/>
        <v>0</v>
      </c>
      <c r="AB23" s="572"/>
      <c r="AC23" s="1435"/>
      <c r="AD23" s="1437"/>
      <c r="AE23" s="3148"/>
      <c r="AF23" s="3149"/>
      <c r="AG23" s="3149"/>
      <c r="AH23" s="3150"/>
      <c r="AI23" s="572"/>
      <c r="AJ23" s="572"/>
      <c r="AK23" s="572"/>
      <c r="AL23" s="572"/>
      <c r="AM23" s="572"/>
      <c r="AN23" s="572"/>
      <c r="AO23" s="572"/>
      <c r="AP23" s="572"/>
      <c r="AQ23" s="572"/>
      <c r="AR23" s="572"/>
      <c r="AS23" s="572"/>
      <c r="AT23" s="572"/>
      <c r="AU23" s="572"/>
    </row>
    <row r="24" spans="1:47" ht="24.9" customHeight="1" thickBot="1">
      <c r="A24" s="1685"/>
      <c r="B24" s="1752" t="str">
        <f t="shared" si="17"/>
        <v/>
      </c>
      <c r="C24" s="3141" t="str">
        <f t="shared" si="0"/>
        <v/>
      </c>
      <c r="D24" s="3141"/>
      <c r="E24" s="3141"/>
      <c r="F24" s="1760">
        <f t="shared" si="18"/>
        <v>0</v>
      </c>
      <c r="G24" s="1761" t="str">
        <f t="shared" si="1"/>
        <v/>
      </c>
      <c r="H24" s="1762">
        <f t="shared" si="2"/>
        <v>0</v>
      </c>
      <c r="I24" s="1763">
        <f>H24*'R3 Hist'!$R$27</f>
        <v>0</v>
      </c>
      <c r="J24" s="1757">
        <f t="shared" si="3"/>
        <v>0</v>
      </c>
      <c r="K24" s="1763">
        <f t="shared" si="4"/>
        <v>0</v>
      </c>
      <c r="L24" s="1685"/>
      <c r="M24" s="2414"/>
      <c r="N24" s="2806" t="str">
        <f t="shared" si="5"/>
        <v/>
      </c>
      <c r="O24" s="572">
        <v>15</v>
      </c>
      <c r="P24" s="2284">
        <f t="shared" si="6"/>
        <v>0</v>
      </c>
      <c r="Q24" s="41">
        <f t="shared" si="32"/>
        <v>0</v>
      </c>
      <c r="R24" s="2285" t="e">
        <f t="shared" si="7"/>
        <v>#DIV/0!</v>
      </c>
      <c r="S24" s="2286" t="str">
        <f t="shared" si="14"/>
        <v/>
      </c>
      <c r="T24" s="2287">
        <f t="shared" si="8"/>
        <v>0</v>
      </c>
      <c r="U24" s="2965" t="str">
        <f t="shared" si="9"/>
        <v/>
      </c>
      <c r="V24" s="44">
        <f t="shared" si="10"/>
        <v>0</v>
      </c>
      <c r="W24" s="2289">
        <f t="shared" si="11"/>
        <v>0</v>
      </c>
      <c r="X24" s="2294">
        <f t="shared" si="12"/>
        <v>0</v>
      </c>
      <c r="Y24" s="45">
        <f t="shared" si="13"/>
        <v>0</v>
      </c>
      <c r="Z24" s="2292" t="str">
        <f t="shared" si="15"/>
        <v/>
      </c>
      <c r="AA24" s="2292">
        <f t="shared" si="16"/>
        <v>0</v>
      </c>
      <c r="AB24" s="572"/>
      <c r="AC24" s="1435"/>
      <c r="AD24" s="1437"/>
      <c r="AE24" s="3148"/>
      <c r="AF24" s="3149"/>
      <c r="AG24" s="3149"/>
      <c r="AH24" s="3150"/>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5">
        <f>SUM(P10:P24)</f>
        <v>0</v>
      </c>
      <c r="Q25" s="2295">
        <f>SUM(Q10:Q24)</f>
        <v>0</v>
      </c>
      <c r="R25" s="2296"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4" t="s">
        <v>2069</v>
      </c>
      <c r="AD30" s="3164" t="s">
        <v>2116</v>
      </c>
      <c r="AE30" s="3164" t="s">
        <v>2040</v>
      </c>
      <c r="AF30" s="3164"/>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297" t="s">
        <v>376</v>
      </c>
      <c r="V31" s="2298" t="s">
        <v>384</v>
      </c>
      <c r="W31" s="2298" t="s">
        <v>387</v>
      </c>
      <c r="X31" s="2298" t="s">
        <v>385</v>
      </c>
      <c r="Y31" s="2298" t="s">
        <v>386</v>
      </c>
      <c r="Z31" s="572"/>
      <c r="AA31" s="572"/>
      <c r="AB31" s="572"/>
      <c r="AC31" s="3165"/>
      <c r="AD31" s="3165"/>
      <c r="AE31" s="3165"/>
      <c r="AF31" s="3165"/>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299" t="s">
        <v>377</v>
      </c>
      <c r="V32" s="2300">
        <v>0.4</v>
      </c>
      <c r="W32" s="2301">
        <f>SUM(X32:Y32)</f>
        <v>125</v>
      </c>
      <c r="X32" s="2301">
        <v>65</v>
      </c>
      <c r="Y32" s="2301">
        <v>60</v>
      </c>
      <c r="Z32" s="572"/>
      <c r="AA32" s="572"/>
      <c r="AB32" s="572"/>
      <c r="AC32" s="2302" t="s">
        <v>2287</v>
      </c>
      <c r="AD32" s="2303" t="s">
        <v>2110</v>
      </c>
      <c r="AE32" s="2304">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299" t="s">
        <v>371</v>
      </c>
      <c r="V33" s="2300">
        <v>0.55000000000000004</v>
      </c>
      <c r="W33" s="2301">
        <f t="shared" ref="W33:W39" si="45">SUM(X33:Y33)</f>
        <v>240</v>
      </c>
      <c r="X33" s="2301">
        <v>120</v>
      </c>
      <c r="Y33" s="2301">
        <v>120</v>
      </c>
      <c r="Z33" s="572"/>
      <c r="AA33" s="572"/>
      <c r="AB33" s="572"/>
      <c r="AC33" s="2302" t="s">
        <v>2288</v>
      </c>
      <c r="AD33" s="2303" t="s">
        <v>2111</v>
      </c>
      <c r="AE33" s="2304">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299" t="s">
        <v>378</v>
      </c>
      <c r="V34" s="2300">
        <v>0.6</v>
      </c>
      <c r="W34" s="2301">
        <f t="shared" si="45"/>
        <v>125</v>
      </c>
      <c r="X34" s="2301">
        <v>65</v>
      </c>
      <c r="Y34" s="2301">
        <v>60</v>
      </c>
      <c r="Z34" s="572"/>
      <c r="AA34" s="572"/>
      <c r="AB34" s="572"/>
      <c r="AC34" s="2302" t="s">
        <v>2289</v>
      </c>
      <c r="AD34" s="2303" t="s">
        <v>2112</v>
      </c>
      <c r="AE34" s="2304">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299" t="s">
        <v>379</v>
      </c>
      <c r="V35" s="2300">
        <v>0.25</v>
      </c>
      <c r="W35" s="2301">
        <f t="shared" si="45"/>
        <v>105</v>
      </c>
      <c r="X35" s="2301">
        <v>45</v>
      </c>
      <c r="Y35" s="2301">
        <v>60</v>
      </c>
      <c r="Z35" s="572"/>
      <c r="AA35" s="572"/>
      <c r="AB35" s="572"/>
      <c r="AC35" s="2302" t="s">
        <v>2290</v>
      </c>
      <c r="AD35" s="2303" t="s">
        <v>2113</v>
      </c>
      <c r="AE35" s="2304">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299" t="s">
        <v>380</v>
      </c>
      <c r="V36" s="2300">
        <v>0.45</v>
      </c>
      <c r="W36" s="2301">
        <f t="shared" si="45"/>
        <v>105</v>
      </c>
      <c r="X36" s="2301">
        <v>45</v>
      </c>
      <c r="Y36" s="2301">
        <v>60</v>
      </c>
      <c r="Z36" s="572"/>
      <c r="AA36" s="572"/>
      <c r="AB36" s="572"/>
      <c r="AC36" s="2302" t="s">
        <v>2291</v>
      </c>
      <c r="AD36" s="2303" t="s">
        <v>2114</v>
      </c>
      <c r="AE36" s="2304">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299" t="s">
        <v>381</v>
      </c>
      <c r="V37" s="2300">
        <v>0.25</v>
      </c>
      <c r="W37" s="2301">
        <f t="shared" si="45"/>
        <v>180</v>
      </c>
      <c r="X37" s="2301">
        <v>90</v>
      </c>
      <c r="Y37" s="2301">
        <v>90</v>
      </c>
      <c r="Z37" s="572"/>
      <c r="AA37" s="572"/>
      <c r="AB37" s="572"/>
      <c r="AC37" s="2302" t="s">
        <v>2292</v>
      </c>
      <c r="AD37" s="2303" t="s">
        <v>2115</v>
      </c>
      <c r="AE37" s="2304">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299" t="s">
        <v>3523</v>
      </c>
      <c r="V38" s="2300">
        <v>0.5</v>
      </c>
      <c r="W38" s="2301"/>
      <c r="X38" s="2301"/>
      <c r="Y38" s="2301"/>
      <c r="Z38" s="572"/>
      <c r="AA38" s="572"/>
      <c r="AB38" s="572"/>
      <c r="AC38" s="2302"/>
      <c r="AD38" s="2303"/>
      <c r="AE38" s="2304"/>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299" t="s">
        <v>382</v>
      </c>
      <c r="V39" s="2300">
        <v>0.05</v>
      </c>
      <c r="W39" s="2301">
        <f t="shared" si="45"/>
        <v>105</v>
      </c>
      <c r="X39" s="2301">
        <v>45</v>
      </c>
      <c r="Y39" s="2301">
        <v>60</v>
      </c>
      <c r="Z39" s="572"/>
      <c r="AA39" s="572"/>
      <c r="AB39" s="572"/>
      <c r="AC39" s="1884" t="s">
        <v>2293</v>
      </c>
      <c r="AD39" s="1685" t="s">
        <v>2110</v>
      </c>
      <c r="AE39" s="2305">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6"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08"/>
      <c r="C42" s="3108"/>
      <c r="D42" s="3108"/>
      <c r="E42" s="3108"/>
      <c r="F42" s="3108"/>
      <c r="G42" s="3108"/>
      <c r="H42" s="3108"/>
      <c r="I42" s="3108"/>
      <c r="J42" s="3108"/>
      <c r="K42" s="1774"/>
      <c r="L42" s="1725"/>
      <c r="M42" s="1725"/>
      <c r="N42" s="2307"/>
      <c r="O42" s="2307"/>
      <c r="P42" s="2307"/>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3" t="s">
        <v>3228</v>
      </c>
      <c r="C45" s="3145"/>
      <c r="D45" s="3145"/>
      <c r="E45" s="3145"/>
      <c r="F45" s="3145"/>
      <c r="G45" s="3145"/>
      <c r="H45" s="3145"/>
      <c r="I45" s="3145"/>
      <c r="J45" s="3145"/>
      <c r="K45" s="3145"/>
      <c r="L45" s="1685"/>
      <c r="M45" s="1685"/>
      <c r="N45" s="572"/>
      <c r="O45" s="572"/>
      <c r="P45" s="572"/>
      <c r="Q45" s="572"/>
      <c r="R45" s="572"/>
      <c r="S45" s="2308" t="s">
        <v>3544</v>
      </c>
      <c r="T45" s="572"/>
      <c r="U45" s="572"/>
      <c r="V45" s="572"/>
      <c r="W45" s="572"/>
      <c r="X45" s="572"/>
      <c r="Y45" s="572"/>
      <c r="Z45" s="572"/>
      <c r="AA45" s="572"/>
      <c r="AB45" s="572"/>
      <c r="AC45" s="3162" t="s">
        <v>2293</v>
      </c>
      <c r="AD45" s="3156" t="s">
        <v>3426</v>
      </c>
      <c r="AE45" s="3157"/>
      <c r="AF45" s="3157"/>
      <c r="AG45" s="3157"/>
      <c r="AH45" s="3158"/>
      <c r="AI45" s="572"/>
      <c r="AJ45" s="572"/>
      <c r="AK45" s="572"/>
      <c r="AL45" s="572"/>
      <c r="AM45" s="572"/>
      <c r="AN45" s="572"/>
      <c r="AO45" s="572"/>
      <c r="AP45" s="572"/>
      <c r="AQ45" s="572"/>
      <c r="AR45" s="572"/>
      <c r="AS45" s="572"/>
      <c r="AT45" s="572"/>
      <c r="AU45" s="572"/>
    </row>
    <row r="46" spans="1:47" ht="60" customHeight="1" thickBot="1">
      <c r="A46" s="1685"/>
      <c r="B46" s="3176" t="s">
        <v>3730</v>
      </c>
      <c r="C46" s="3176"/>
      <c r="D46" s="3176"/>
      <c r="E46" s="3176"/>
      <c r="F46" s="3176"/>
      <c r="G46" s="3176"/>
      <c r="H46" s="3176"/>
      <c r="I46" s="3176"/>
      <c r="J46" s="3176"/>
      <c r="K46" s="3176"/>
      <c r="L46" s="1685"/>
      <c r="M46" s="1685"/>
      <c r="N46" s="572"/>
      <c r="O46" s="572"/>
      <c r="P46" s="572"/>
      <c r="Q46" s="572"/>
      <c r="R46" s="572"/>
      <c r="S46" s="572"/>
      <c r="T46" s="572"/>
      <c r="U46" s="572"/>
      <c r="V46" s="572"/>
      <c r="W46" s="572"/>
      <c r="X46" s="572"/>
      <c r="Y46" s="572"/>
      <c r="Z46" s="572"/>
      <c r="AA46" s="572"/>
      <c r="AB46" s="572"/>
      <c r="AC46" s="3163"/>
      <c r="AD46" s="3159"/>
      <c r="AE46" s="3160"/>
      <c r="AF46" s="3160"/>
      <c r="AG46" s="3160"/>
      <c r="AH46" s="3161"/>
      <c r="AI46" s="572"/>
      <c r="AJ46" s="572"/>
      <c r="AK46" s="572"/>
      <c r="AL46" s="572"/>
      <c r="AM46" s="572"/>
      <c r="AN46" s="572"/>
      <c r="AO46" s="572"/>
      <c r="AP46" s="572"/>
      <c r="AQ46" s="572"/>
      <c r="AR46" s="572"/>
      <c r="AS46" s="572"/>
      <c r="AT46" s="572"/>
      <c r="AU46" s="572"/>
    </row>
    <row r="47" spans="1:47" s="501" customFormat="1" ht="18" customHeight="1">
      <c r="A47" s="1720"/>
      <c r="B47" s="1775" t="s">
        <v>2296</v>
      </c>
      <c r="C47" s="3146" t="s">
        <v>3229</v>
      </c>
      <c r="D47" s="3175"/>
      <c r="E47" s="3175"/>
      <c r="F47" s="3175"/>
      <c r="G47" s="3175"/>
      <c r="H47" s="3175"/>
      <c r="I47" s="3175"/>
      <c r="J47" s="3175"/>
      <c r="K47" s="3175"/>
      <c r="L47" s="1720"/>
      <c r="M47" s="1720"/>
      <c r="N47" s="3139" t="s">
        <v>3873</v>
      </c>
      <c r="O47" s="3139"/>
      <c r="P47" s="3139"/>
      <c r="Q47" s="3139"/>
      <c r="R47" s="3139"/>
      <c r="S47" s="3139"/>
      <c r="T47" s="3139"/>
      <c r="U47" s="3139"/>
      <c r="V47" s="3139"/>
      <c r="W47" s="3139"/>
      <c r="X47" s="3139"/>
      <c r="Y47" s="3139"/>
      <c r="Z47" s="3139"/>
      <c r="AA47" s="3139"/>
      <c r="AB47" s="3139"/>
      <c r="AC47" s="3139"/>
      <c r="AD47" s="2897"/>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09" t="s">
        <v>217</v>
      </c>
      <c r="C48" s="3109"/>
      <c r="D48" s="3109" t="s">
        <v>218</v>
      </c>
      <c r="E48" s="3109"/>
      <c r="F48" s="3109"/>
      <c r="G48" s="1613" t="s">
        <v>332</v>
      </c>
      <c r="H48" s="1613" t="s">
        <v>211</v>
      </c>
      <c r="I48" s="1613" t="s">
        <v>213</v>
      </c>
      <c r="J48" s="2809" t="str">
        <f>IF($O$8=TRUE,"Trade Ally Proposed Cost", "Utility Estimated Cost")</f>
        <v>Utility Estimated Cost</v>
      </c>
      <c r="K48" s="2751" t="str">
        <f>Utility_Name_Cap&amp;" Incentive"</f>
        <v>PEPCO Incentive</v>
      </c>
      <c r="L48" s="1720"/>
      <c r="M48" s="2805" t="str">
        <f>IF($O$8=TRUE,"Trade Ally Costs","")</f>
        <v/>
      </c>
      <c r="N48" s="3139"/>
      <c r="O48" s="3139"/>
      <c r="P48" s="3139"/>
      <c r="Q48" s="3139"/>
      <c r="R48" s="3139"/>
      <c r="S48" s="3139"/>
      <c r="T48" s="3139"/>
      <c r="U48" s="3139"/>
      <c r="V48" s="3139"/>
      <c r="W48" s="3139"/>
      <c r="X48" s="3139"/>
      <c r="Y48" s="3139"/>
      <c r="Z48" s="3139"/>
      <c r="AA48" s="3139"/>
      <c r="AB48" s="3139"/>
      <c r="AC48" s="3139"/>
      <c r="AD48" s="2897"/>
      <c r="AE48" s="1553"/>
      <c r="AF48" s="1553"/>
      <c r="AG48" s="1553"/>
      <c r="AH48" s="1553"/>
      <c r="AI48" s="23"/>
      <c r="AJ48" s="3132" t="s">
        <v>2297</v>
      </c>
      <c r="AK48" s="3133"/>
      <c r="AL48" s="3133"/>
      <c r="AM48" s="3133"/>
      <c r="AN48" s="2309"/>
      <c r="AO48" s="2310" t="s">
        <v>332</v>
      </c>
      <c r="AP48" s="2310" t="s">
        <v>2298</v>
      </c>
      <c r="AQ48" s="2310" t="s">
        <v>2299</v>
      </c>
      <c r="AR48" s="2310" t="s">
        <v>2300</v>
      </c>
      <c r="AS48" s="2310" t="s">
        <v>2301</v>
      </c>
      <c r="AT48" s="2311" t="s">
        <v>2040</v>
      </c>
      <c r="AU48" s="1553"/>
    </row>
    <row r="49" spans="1:47" s="501" customFormat="1" ht="30" customHeight="1">
      <c r="A49" s="1720"/>
      <c r="B49" s="3144">
        <f t="shared" ref="B49:B59" si="46">IF($AJ49="",0,VLOOKUP($AI49,Misclookup,28,FALSE))</f>
        <v>0</v>
      </c>
      <c r="C49" s="3144"/>
      <c r="D49" s="3143" t="str">
        <f t="shared" ref="D49:D59" si="47">IF($AJ49="","",VLOOKUP($AI49,Misclookup,29,FALSE))</f>
        <v/>
      </c>
      <c r="E49" s="3143"/>
      <c r="F49" s="3143"/>
      <c r="G49" s="1776">
        <f>AO49</f>
        <v>0</v>
      </c>
      <c r="H49" s="1777">
        <f t="shared" ref="H49:H60" si="48">AP49</f>
        <v>0</v>
      </c>
      <c r="I49" s="1778">
        <f t="shared" ref="I49:I59" si="49">AR49</f>
        <v>0</v>
      </c>
      <c r="J49" s="1778">
        <f t="shared" ref="J49:J59" si="50">IF($O$8=TRUE,M49,AS49)</f>
        <v>0</v>
      </c>
      <c r="K49" s="1778">
        <f t="shared" ref="K49:K59" si="51">AT49</f>
        <v>0</v>
      </c>
      <c r="L49" s="1720"/>
      <c r="M49" s="2818"/>
      <c r="O49" s="1553"/>
      <c r="P49" s="1553"/>
      <c r="Q49" s="1553"/>
      <c r="R49" s="1553"/>
      <c r="S49" s="1553"/>
      <c r="T49" s="1553"/>
      <c r="U49" s="2806" t="str">
        <f t="shared" ref="U49:U59" si="52">IF(D49="","",IF($O$8=TRUE,"Enter Cost",""))</f>
        <v/>
      </c>
      <c r="V49" s="1553"/>
      <c r="W49" s="3140" t="s">
        <v>3826</v>
      </c>
      <c r="X49" s="3140"/>
      <c r="Y49" s="3140"/>
      <c r="Z49" s="3140"/>
      <c r="AA49" s="3140"/>
      <c r="AB49" s="3140"/>
      <c r="AC49" s="3140"/>
      <c r="AD49" s="2816"/>
      <c r="AE49" s="2816"/>
      <c r="AF49" s="1553"/>
      <c r="AG49" s="1553"/>
      <c r="AH49" s="1553"/>
      <c r="AI49" s="1553">
        <v>1</v>
      </c>
      <c r="AJ49" s="3179" t="str">
        <f>IF(ISERROR(VLOOKUP(AI49,Misclookup,2,FALSE)),"",VLOOKUP(AI49,Misclookup,2,FALSE))</f>
        <v/>
      </c>
      <c r="AK49" s="3178"/>
      <c r="AL49" s="3178"/>
      <c r="AM49" s="3178"/>
      <c r="AN49" s="3178"/>
      <c r="AO49" s="2312">
        <f t="shared" ref="AO49:AO54" si="53">IF($AJ49="",0,VLOOKUP($AI49,Misclookup,4,FALSE))</f>
        <v>0</v>
      </c>
      <c r="AP49" s="2312">
        <f t="shared" ref="AP49:AP54" si="54">IF($AJ49="",0,VLOOKUP($AI49,Misclookup,10,FALSE))</f>
        <v>0</v>
      </c>
      <c r="AQ49" s="2312">
        <f t="shared" ref="AQ49:AQ54" si="55">IF($AJ49="",0,VLOOKUP($AI49,Misclookup,11,FALSE))</f>
        <v>0</v>
      </c>
      <c r="AR49" s="2313">
        <f t="shared" ref="AR49:AR54" si="56">IF($AJ49="",0,VLOOKUP($AI49,Misclookup,13,FALSE))</f>
        <v>0</v>
      </c>
      <c r="AS49" s="2313">
        <f t="shared" ref="AS49:AS54" si="57">IF($AJ49="",0,VLOOKUP($AI49,Misclookup,15,FALSE))</f>
        <v>0</v>
      </c>
      <c r="AT49" s="2314">
        <f t="shared" ref="AT49:AT54" si="58">IF($AJ49="",0,VLOOKUP($AI49,Misclookup,23,FALSE))</f>
        <v>0</v>
      </c>
      <c r="AU49" s="1553"/>
    </row>
    <row r="50" spans="1:47" s="501" customFormat="1" ht="30" customHeight="1">
      <c r="A50" s="1720"/>
      <c r="B50" s="3137">
        <f t="shared" si="46"/>
        <v>0</v>
      </c>
      <c r="C50" s="3137"/>
      <c r="D50" s="3137" t="str">
        <f t="shared" si="47"/>
        <v/>
      </c>
      <c r="E50" s="3137"/>
      <c r="F50" s="3137"/>
      <c r="G50" s="1779">
        <f t="shared" ref="G50:G60" si="59">AO50</f>
        <v>0</v>
      </c>
      <c r="H50" s="1780">
        <f t="shared" si="48"/>
        <v>0</v>
      </c>
      <c r="I50" s="1781">
        <f t="shared" si="49"/>
        <v>0</v>
      </c>
      <c r="J50" s="1781">
        <f t="shared" si="50"/>
        <v>0</v>
      </c>
      <c r="K50" s="1781">
        <f t="shared" si="51"/>
        <v>0</v>
      </c>
      <c r="L50" s="1720"/>
      <c r="M50" s="2818"/>
      <c r="N50" s="2806"/>
      <c r="O50" s="1553"/>
      <c r="P50" s="1553"/>
      <c r="Q50" s="1553"/>
      <c r="R50" s="1553"/>
      <c r="S50" s="1553"/>
      <c r="T50" s="1553"/>
      <c r="U50" s="2806" t="str">
        <f t="shared" si="52"/>
        <v/>
      </c>
      <c r="V50" s="1553"/>
      <c r="W50" s="3140"/>
      <c r="X50" s="3140"/>
      <c r="Y50" s="3140"/>
      <c r="Z50" s="3140"/>
      <c r="AA50" s="3140"/>
      <c r="AB50" s="3140"/>
      <c r="AC50" s="3140"/>
      <c r="AD50" s="2816"/>
      <c r="AE50" s="2816"/>
      <c r="AF50" s="1553"/>
      <c r="AG50" s="1553"/>
      <c r="AH50" s="1553"/>
      <c r="AI50" s="1553">
        <v>2</v>
      </c>
      <c r="AJ50" s="3179" t="str">
        <f t="shared" ref="AJ50:AJ59" si="60">IF(ISERROR(VLOOKUP(AI50,Misclookup,2,FALSE)),"",VLOOKUP(AI50,Misclookup,2,FALSE))</f>
        <v/>
      </c>
      <c r="AK50" s="3178"/>
      <c r="AL50" s="3178"/>
      <c r="AM50" s="3178"/>
      <c r="AN50" s="3178"/>
      <c r="AO50" s="2312">
        <f t="shared" si="53"/>
        <v>0</v>
      </c>
      <c r="AP50" s="2312">
        <f t="shared" si="54"/>
        <v>0</v>
      </c>
      <c r="AQ50" s="2312">
        <f t="shared" si="55"/>
        <v>0</v>
      </c>
      <c r="AR50" s="2313">
        <f t="shared" si="56"/>
        <v>0</v>
      </c>
      <c r="AS50" s="2313">
        <f t="shared" si="57"/>
        <v>0</v>
      </c>
      <c r="AT50" s="2314">
        <f t="shared" si="58"/>
        <v>0</v>
      </c>
      <c r="AU50" s="1553"/>
    </row>
    <row r="51" spans="1:47" s="501" customFormat="1" ht="30" customHeight="1">
      <c r="A51" s="1720"/>
      <c r="B51" s="3137">
        <f t="shared" si="46"/>
        <v>0</v>
      </c>
      <c r="C51" s="3137"/>
      <c r="D51" s="3141" t="str">
        <f t="shared" si="47"/>
        <v/>
      </c>
      <c r="E51" s="3141"/>
      <c r="F51" s="3141"/>
      <c r="G51" s="1776">
        <f t="shared" si="59"/>
        <v>0</v>
      </c>
      <c r="H51" s="1777">
        <f t="shared" si="48"/>
        <v>0</v>
      </c>
      <c r="I51" s="1778">
        <f t="shared" si="49"/>
        <v>0</v>
      </c>
      <c r="J51" s="1778">
        <f t="shared" si="50"/>
        <v>0</v>
      </c>
      <c r="K51" s="1778">
        <f t="shared" si="51"/>
        <v>0</v>
      </c>
      <c r="L51" s="1720"/>
      <c r="M51" s="2818"/>
      <c r="N51" s="2806"/>
      <c r="O51" s="1553"/>
      <c r="P51" s="1553"/>
      <c r="Q51" s="1553"/>
      <c r="R51" s="1553"/>
      <c r="S51" s="1553"/>
      <c r="T51" s="1553"/>
      <c r="U51" s="2806" t="str">
        <f t="shared" si="52"/>
        <v/>
      </c>
      <c r="V51" s="1553"/>
      <c r="W51" s="3140"/>
      <c r="X51" s="3140"/>
      <c r="Y51" s="3140"/>
      <c r="Z51" s="3140"/>
      <c r="AA51" s="3140"/>
      <c r="AB51" s="3140"/>
      <c r="AC51" s="3140"/>
      <c r="AD51" s="1553"/>
      <c r="AE51" s="1553"/>
      <c r="AF51" s="1553"/>
      <c r="AG51" s="1553"/>
      <c r="AH51" s="1553"/>
      <c r="AI51" s="1553">
        <v>3</v>
      </c>
      <c r="AJ51" s="3179" t="str">
        <f t="shared" si="60"/>
        <v/>
      </c>
      <c r="AK51" s="3178"/>
      <c r="AL51" s="3178"/>
      <c r="AM51" s="3178"/>
      <c r="AN51" s="3178"/>
      <c r="AO51" s="2312">
        <f t="shared" si="53"/>
        <v>0</v>
      </c>
      <c r="AP51" s="2312">
        <f t="shared" si="54"/>
        <v>0</v>
      </c>
      <c r="AQ51" s="2312">
        <f t="shared" si="55"/>
        <v>0</v>
      </c>
      <c r="AR51" s="2313">
        <f t="shared" si="56"/>
        <v>0</v>
      </c>
      <c r="AS51" s="2313">
        <f t="shared" si="57"/>
        <v>0</v>
      </c>
      <c r="AT51" s="2314">
        <f t="shared" si="58"/>
        <v>0</v>
      </c>
      <c r="AU51" s="1553"/>
    </row>
    <row r="52" spans="1:47" s="501" customFormat="1" ht="30" customHeight="1">
      <c r="A52" s="1720"/>
      <c r="B52" s="3137">
        <f t="shared" si="46"/>
        <v>0</v>
      </c>
      <c r="C52" s="3137"/>
      <c r="D52" s="3137" t="str">
        <f t="shared" si="47"/>
        <v/>
      </c>
      <c r="E52" s="3137"/>
      <c r="F52" s="3137"/>
      <c r="G52" s="1779">
        <f t="shared" si="59"/>
        <v>0</v>
      </c>
      <c r="H52" s="1780">
        <f t="shared" si="48"/>
        <v>0</v>
      </c>
      <c r="I52" s="1781">
        <f t="shared" si="49"/>
        <v>0</v>
      </c>
      <c r="J52" s="1781">
        <f t="shared" si="50"/>
        <v>0</v>
      </c>
      <c r="K52" s="1781">
        <f t="shared" si="51"/>
        <v>0</v>
      </c>
      <c r="L52" s="1720"/>
      <c r="M52" s="2818"/>
      <c r="N52" s="2806"/>
      <c r="O52" s="1553"/>
      <c r="P52" s="1553"/>
      <c r="Q52" s="1553"/>
      <c r="R52" s="1553"/>
      <c r="S52" s="1553"/>
      <c r="T52" s="1553"/>
      <c r="U52" s="2806" t="str">
        <f t="shared" si="52"/>
        <v/>
      </c>
      <c r="V52" s="1553"/>
      <c r="W52" s="3140"/>
      <c r="X52" s="3140"/>
      <c r="Y52" s="3140"/>
      <c r="Z52" s="3140"/>
      <c r="AA52" s="3140"/>
      <c r="AB52" s="3140"/>
      <c r="AC52" s="3140"/>
      <c r="AD52" s="1553"/>
      <c r="AE52" s="1553"/>
      <c r="AF52" s="1553"/>
      <c r="AG52" s="1553"/>
      <c r="AH52" s="1553"/>
      <c r="AI52" s="1553">
        <v>4</v>
      </c>
      <c r="AJ52" s="3179" t="str">
        <f t="shared" si="60"/>
        <v/>
      </c>
      <c r="AK52" s="3178"/>
      <c r="AL52" s="3178"/>
      <c r="AM52" s="3178"/>
      <c r="AN52" s="3178"/>
      <c r="AO52" s="2312">
        <f t="shared" si="53"/>
        <v>0</v>
      </c>
      <c r="AP52" s="2312">
        <f t="shared" si="54"/>
        <v>0</v>
      </c>
      <c r="AQ52" s="2312">
        <f t="shared" si="55"/>
        <v>0</v>
      </c>
      <c r="AR52" s="2313">
        <f t="shared" si="56"/>
        <v>0</v>
      </c>
      <c r="AS52" s="2313">
        <f t="shared" si="57"/>
        <v>0</v>
      </c>
      <c r="AT52" s="2314">
        <f t="shared" si="58"/>
        <v>0</v>
      </c>
      <c r="AU52" s="1553"/>
    </row>
    <row r="53" spans="1:47" s="501" customFormat="1" ht="30" customHeight="1">
      <c r="A53" s="1720"/>
      <c r="B53" s="3168">
        <f t="shared" si="46"/>
        <v>0</v>
      </c>
      <c r="C53" s="3168"/>
      <c r="D53" s="3141" t="str">
        <f t="shared" si="47"/>
        <v/>
      </c>
      <c r="E53" s="3141"/>
      <c r="F53" s="3141"/>
      <c r="G53" s="1776">
        <f t="shared" si="59"/>
        <v>0</v>
      </c>
      <c r="H53" s="1777">
        <f t="shared" si="48"/>
        <v>0</v>
      </c>
      <c r="I53" s="1778">
        <f t="shared" si="49"/>
        <v>0</v>
      </c>
      <c r="J53" s="1778">
        <f t="shared" si="50"/>
        <v>0</v>
      </c>
      <c r="K53" s="1778">
        <f t="shared" si="51"/>
        <v>0</v>
      </c>
      <c r="L53" s="1720"/>
      <c r="M53" s="2818"/>
      <c r="N53" s="2806"/>
      <c r="U53" s="2806" t="str">
        <f t="shared" si="52"/>
        <v/>
      </c>
      <c r="AI53" s="501">
        <v>5</v>
      </c>
      <c r="AJ53" s="3177" t="str">
        <f t="shared" si="60"/>
        <v/>
      </c>
      <c r="AK53" s="3178"/>
      <c r="AL53" s="3178"/>
      <c r="AM53" s="3178"/>
      <c r="AN53" s="3178"/>
      <c r="AO53" s="521">
        <f t="shared" si="53"/>
        <v>0</v>
      </c>
      <c r="AP53" s="521">
        <f t="shared" si="54"/>
        <v>0</v>
      </c>
      <c r="AQ53" s="521">
        <f t="shared" si="55"/>
        <v>0</v>
      </c>
      <c r="AR53" s="633">
        <f t="shared" si="56"/>
        <v>0</v>
      </c>
      <c r="AS53" s="633">
        <f t="shared" si="57"/>
        <v>0</v>
      </c>
      <c r="AT53" s="1460">
        <f t="shared" si="58"/>
        <v>0</v>
      </c>
    </row>
    <row r="54" spans="1:47" s="501" customFormat="1" ht="30" customHeight="1">
      <c r="A54" s="1720"/>
      <c r="B54" s="3169">
        <f t="shared" si="46"/>
        <v>0</v>
      </c>
      <c r="C54" s="3169"/>
      <c r="D54" s="3137" t="str">
        <f t="shared" si="47"/>
        <v/>
      </c>
      <c r="E54" s="3137"/>
      <c r="F54" s="3137"/>
      <c r="G54" s="1779">
        <f t="shared" si="59"/>
        <v>0</v>
      </c>
      <c r="H54" s="1780">
        <f t="shared" si="48"/>
        <v>0</v>
      </c>
      <c r="I54" s="1781">
        <f t="shared" si="49"/>
        <v>0</v>
      </c>
      <c r="J54" s="1781">
        <f t="shared" si="50"/>
        <v>0</v>
      </c>
      <c r="K54" s="1781">
        <f t="shared" si="51"/>
        <v>0</v>
      </c>
      <c r="L54" s="1720"/>
      <c r="M54" s="2818"/>
      <c r="N54" s="2806"/>
      <c r="U54" s="2806" t="str">
        <f t="shared" si="52"/>
        <v/>
      </c>
      <c r="AI54" s="501">
        <v>6</v>
      </c>
      <c r="AJ54" s="3180" t="str">
        <f t="shared" si="60"/>
        <v/>
      </c>
      <c r="AK54" s="3181"/>
      <c r="AL54" s="3181"/>
      <c r="AM54" s="3181"/>
      <c r="AN54" s="3181"/>
      <c r="AO54" s="1458">
        <f t="shared" si="53"/>
        <v>0</v>
      </c>
      <c r="AP54" s="1458">
        <f t="shared" si="54"/>
        <v>0</v>
      </c>
      <c r="AQ54" s="1458">
        <f t="shared" si="55"/>
        <v>0</v>
      </c>
      <c r="AR54" s="1459">
        <f t="shared" si="56"/>
        <v>0</v>
      </c>
      <c r="AS54" s="1459">
        <f t="shared" si="57"/>
        <v>0</v>
      </c>
      <c r="AT54" s="1461">
        <f t="shared" si="58"/>
        <v>0</v>
      </c>
    </row>
    <row r="55" spans="1:47" s="501" customFormat="1" ht="30" customHeight="1">
      <c r="A55" s="1720"/>
      <c r="B55" s="3170">
        <f t="shared" si="46"/>
        <v>0</v>
      </c>
      <c r="C55" s="3170"/>
      <c r="D55" s="3141" t="str">
        <f t="shared" si="47"/>
        <v/>
      </c>
      <c r="E55" s="3141"/>
      <c r="F55" s="3141"/>
      <c r="G55" s="1776">
        <f t="shared" si="59"/>
        <v>0</v>
      </c>
      <c r="H55" s="1777">
        <f t="shared" si="48"/>
        <v>0</v>
      </c>
      <c r="I55" s="1778">
        <f t="shared" si="49"/>
        <v>0</v>
      </c>
      <c r="J55" s="1778">
        <f t="shared" si="50"/>
        <v>0</v>
      </c>
      <c r="K55" s="1778">
        <f t="shared" si="51"/>
        <v>0</v>
      </c>
      <c r="L55" s="1720"/>
      <c r="M55" s="2818"/>
      <c r="N55" s="2806"/>
      <c r="U55" s="2806" t="str">
        <f t="shared" si="52"/>
        <v/>
      </c>
      <c r="AI55" s="501">
        <v>7</v>
      </c>
      <c r="AJ55" s="3182" t="str">
        <f t="shared" si="60"/>
        <v/>
      </c>
      <c r="AK55" s="3183"/>
      <c r="AL55" s="3183"/>
      <c r="AM55" s="3183"/>
      <c r="AN55" s="3183"/>
      <c r="AO55" s="293">
        <f t="shared" ref="AO55:AO59" si="61">IF(AJ55="",0,VLOOKUP(AJ55,otherlight,3,FALSE))</f>
        <v>0</v>
      </c>
      <c r="AP55" s="631">
        <f t="shared" ref="AP55:AP59" si="62">IF(AJ55="",0,VLOOKUP(AJ55,otherlight,9,FALSE))</f>
        <v>0</v>
      </c>
      <c r="AQ55" s="631">
        <f t="shared" ref="AQ55:AQ59" si="63">IF(AJ55="",0,VLOOKUP(AJ55,otherlight,10,FALSE))</f>
        <v>0</v>
      </c>
      <c r="AR55" s="294">
        <f t="shared" ref="AR55:AR59" si="64">IF(AJ55="",0,VLOOKUP(AJ55,otherlight,12,FALSE))</f>
        <v>0</v>
      </c>
      <c r="AS55" s="294">
        <f t="shared" ref="AS55:AS59" si="65">IF(AJ55="",0,VLOOKUP(AJ55,otherlight,14,FALSE))</f>
        <v>0</v>
      </c>
      <c r="AT55" s="669">
        <f t="shared" ref="AT55:AT59" si="66">IF(AJ55="",0,VLOOKUP(AJ55,otherlight,22,FALSE))</f>
        <v>0</v>
      </c>
    </row>
    <row r="56" spans="1:47" s="501" customFormat="1" ht="30" customHeight="1">
      <c r="A56" s="1720"/>
      <c r="B56" s="3169">
        <f t="shared" si="46"/>
        <v>0</v>
      </c>
      <c r="C56" s="3169"/>
      <c r="D56" s="3137" t="str">
        <f t="shared" si="47"/>
        <v/>
      </c>
      <c r="E56" s="3137"/>
      <c r="F56" s="3137"/>
      <c r="G56" s="1779">
        <f t="shared" si="59"/>
        <v>0</v>
      </c>
      <c r="H56" s="1780">
        <f t="shared" si="48"/>
        <v>0</v>
      </c>
      <c r="I56" s="1781">
        <f t="shared" si="49"/>
        <v>0</v>
      </c>
      <c r="J56" s="1781">
        <f t="shared" si="50"/>
        <v>0</v>
      </c>
      <c r="K56" s="1781">
        <f t="shared" si="51"/>
        <v>0</v>
      </c>
      <c r="L56" s="1720"/>
      <c r="M56" s="2818"/>
      <c r="N56" s="2806"/>
      <c r="U56" s="2806" t="str">
        <f t="shared" si="52"/>
        <v/>
      </c>
      <c r="AI56" s="501">
        <v>8</v>
      </c>
      <c r="AJ56" s="3177" t="str">
        <f t="shared" si="60"/>
        <v/>
      </c>
      <c r="AK56" s="3178"/>
      <c r="AL56" s="3178"/>
      <c r="AM56" s="3178"/>
      <c r="AN56" s="3178"/>
      <c r="AO56" s="293">
        <f t="shared" si="61"/>
        <v>0</v>
      </c>
      <c r="AP56" s="631">
        <f t="shared" si="62"/>
        <v>0</v>
      </c>
      <c r="AQ56" s="631">
        <f t="shared" si="63"/>
        <v>0</v>
      </c>
      <c r="AR56" s="294">
        <f t="shared" si="64"/>
        <v>0</v>
      </c>
      <c r="AS56" s="294">
        <f t="shared" si="65"/>
        <v>0</v>
      </c>
      <c r="AT56" s="669">
        <f t="shared" si="66"/>
        <v>0</v>
      </c>
    </row>
    <row r="57" spans="1:47" s="501" customFormat="1" ht="30" customHeight="1">
      <c r="A57" s="1720"/>
      <c r="B57" s="3170">
        <f t="shared" si="46"/>
        <v>0</v>
      </c>
      <c r="C57" s="3170"/>
      <c r="D57" s="3141" t="str">
        <f t="shared" si="47"/>
        <v/>
      </c>
      <c r="E57" s="3141"/>
      <c r="F57" s="3141"/>
      <c r="G57" s="1776">
        <f t="shared" si="59"/>
        <v>0</v>
      </c>
      <c r="H57" s="1777">
        <f t="shared" si="48"/>
        <v>0</v>
      </c>
      <c r="I57" s="1778">
        <f t="shared" si="49"/>
        <v>0</v>
      </c>
      <c r="J57" s="1778">
        <f t="shared" si="50"/>
        <v>0</v>
      </c>
      <c r="K57" s="1778">
        <f t="shared" si="51"/>
        <v>0</v>
      </c>
      <c r="L57" s="1720"/>
      <c r="M57" s="2818"/>
      <c r="N57" s="2806"/>
      <c r="U57" s="2806" t="str">
        <f t="shared" si="52"/>
        <v/>
      </c>
      <c r="AI57" s="501">
        <v>9</v>
      </c>
      <c r="AJ57" s="3177" t="str">
        <f t="shared" si="60"/>
        <v/>
      </c>
      <c r="AK57" s="3178"/>
      <c r="AL57" s="3178"/>
      <c r="AM57" s="3178"/>
      <c r="AN57" s="3178"/>
      <c r="AO57" s="293">
        <f t="shared" si="61"/>
        <v>0</v>
      </c>
      <c r="AP57" s="631">
        <f t="shared" si="62"/>
        <v>0</v>
      </c>
      <c r="AQ57" s="631">
        <f t="shared" si="63"/>
        <v>0</v>
      </c>
      <c r="AR57" s="294">
        <f t="shared" si="64"/>
        <v>0</v>
      </c>
      <c r="AS57" s="294">
        <f t="shared" si="65"/>
        <v>0</v>
      </c>
      <c r="AT57" s="669">
        <f t="shared" si="66"/>
        <v>0</v>
      </c>
    </row>
    <row r="58" spans="1:47" s="501" customFormat="1" ht="30" customHeight="1">
      <c r="A58" s="1720"/>
      <c r="B58" s="3169">
        <f t="shared" si="46"/>
        <v>0</v>
      </c>
      <c r="C58" s="3169"/>
      <c r="D58" s="3171" t="str">
        <f t="shared" si="47"/>
        <v/>
      </c>
      <c r="E58" s="3171"/>
      <c r="F58" s="3171"/>
      <c r="G58" s="1779">
        <f t="shared" si="59"/>
        <v>0</v>
      </c>
      <c r="H58" s="1780">
        <f t="shared" si="48"/>
        <v>0</v>
      </c>
      <c r="I58" s="1781">
        <f t="shared" si="49"/>
        <v>0</v>
      </c>
      <c r="J58" s="1781">
        <f t="shared" si="50"/>
        <v>0</v>
      </c>
      <c r="K58" s="1781">
        <f t="shared" si="51"/>
        <v>0</v>
      </c>
      <c r="L58" s="1720"/>
      <c r="M58" s="2818"/>
      <c r="N58" s="2806"/>
      <c r="U58" s="2806" t="str">
        <f t="shared" si="52"/>
        <v/>
      </c>
      <c r="AI58" s="501">
        <v>10</v>
      </c>
      <c r="AJ58" s="3177" t="str">
        <f t="shared" si="60"/>
        <v/>
      </c>
      <c r="AK58" s="3178"/>
      <c r="AL58" s="3178"/>
      <c r="AM58" s="3178"/>
      <c r="AN58" s="3178"/>
      <c r="AO58" s="293">
        <f t="shared" si="61"/>
        <v>0</v>
      </c>
      <c r="AP58" s="631">
        <f t="shared" si="62"/>
        <v>0</v>
      </c>
      <c r="AQ58" s="631">
        <f t="shared" si="63"/>
        <v>0</v>
      </c>
      <c r="AR58" s="294">
        <f t="shared" si="64"/>
        <v>0</v>
      </c>
      <c r="AS58" s="294">
        <f t="shared" si="65"/>
        <v>0</v>
      </c>
      <c r="AT58" s="669">
        <f t="shared" si="66"/>
        <v>0</v>
      </c>
    </row>
    <row r="59" spans="1:47" s="501" customFormat="1" ht="30" customHeight="1" thickBot="1">
      <c r="A59" s="1720"/>
      <c r="B59" s="3172">
        <f t="shared" si="46"/>
        <v>0</v>
      </c>
      <c r="C59" s="3172"/>
      <c r="D59" s="3173" t="str">
        <f t="shared" si="47"/>
        <v/>
      </c>
      <c r="E59" s="3173"/>
      <c r="F59" s="3173"/>
      <c r="G59" s="1782">
        <f t="shared" si="59"/>
        <v>0</v>
      </c>
      <c r="H59" s="1783">
        <f t="shared" si="48"/>
        <v>0</v>
      </c>
      <c r="I59" s="1784">
        <f t="shared" si="49"/>
        <v>0</v>
      </c>
      <c r="J59" s="1784">
        <f t="shared" si="50"/>
        <v>0</v>
      </c>
      <c r="K59" s="1784">
        <f t="shared" si="51"/>
        <v>0</v>
      </c>
      <c r="L59" s="1720"/>
      <c r="M59" s="2473"/>
      <c r="N59" s="2806"/>
      <c r="U59" s="2806" t="str">
        <f t="shared" si="52"/>
        <v/>
      </c>
      <c r="AI59" s="501">
        <v>11</v>
      </c>
      <c r="AJ59" s="3177" t="str">
        <f t="shared" si="60"/>
        <v/>
      </c>
      <c r="AK59" s="3178"/>
      <c r="AL59" s="3178"/>
      <c r="AM59" s="3178"/>
      <c r="AN59" s="3178"/>
      <c r="AO59" s="522">
        <f t="shared" si="61"/>
        <v>0</v>
      </c>
      <c r="AP59" s="632">
        <f t="shared" si="62"/>
        <v>0</v>
      </c>
      <c r="AQ59" s="632">
        <f t="shared" si="63"/>
        <v>0</v>
      </c>
      <c r="AR59" s="635">
        <f t="shared" si="64"/>
        <v>0</v>
      </c>
      <c r="AS59" s="635">
        <f t="shared" si="65"/>
        <v>0</v>
      </c>
      <c r="AT59" s="673">
        <f t="shared" si="66"/>
        <v>0</v>
      </c>
    </row>
    <row r="60" spans="1:47" s="501" customFormat="1" ht="24.9" customHeight="1">
      <c r="A60" s="1764"/>
      <c r="B60" s="1767" t="s">
        <v>158</v>
      </c>
      <c r="C60" s="2852"/>
      <c r="D60" s="2852"/>
      <c r="E60" s="2852"/>
      <c r="F60" s="2852"/>
      <c r="G60" s="2853">
        <f t="shared" si="59"/>
        <v>0</v>
      </c>
      <c r="H60" s="2854">
        <f t="shared" si="48"/>
        <v>0</v>
      </c>
      <c r="I60" s="2855">
        <f>SUM(I49:I59)</f>
        <v>0</v>
      </c>
      <c r="J60" s="2855">
        <f>SUM(J49:J59)</f>
        <v>0</v>
      </c>
      <c r="K60" s="2855">
        <f>SUM(K49:K59)</f>
        <v>0</v>
      </c>
      <c r="L60" s="1764"/>
      <c r="M60" s="1764"/>
      <c r="AO60" s="674">
        <f t="shared" ref="AO60:AT60" si="67">SUM(AO49:AO59)</f>
        <v>0</v>
      </c>
      <c r="AP60" s="675">
        <f t="shared" si="67"/>
        <v>0</v>
      </c>
      <c r="AQ60" s="675">
        <f t="shared" si="67"/>
        <v>0</v>
      </c>
      <c r="AR60" s="676">
        <f t="shared" si="67"/>
        <v>0</v>
      </c>
      <c r="AS60" s="676">
        <f t="shared" si="67"/>
        <v>0</v>
      </c>
      <c r="AT60" s="676">
        <f t="shared" si="67"/>
        <v>0</v>
      </c>
    </row>
    <row r="61" spans="1:47" s="501" customFormat="1" ht="18" customHeight="1">
      <c r="A61" s="2856"/>
      <c r="B61" s="188"/>
      <c r="C61" s="508"/>
      <c r="D61" s="508"/>
      <c r="E61" s="508"/>
      <c r="F61" s="508"/>
      <c r="G61" s="2834"/>
      <c r="H61" s="2834"/>
      <c r="I61" s="2834"/>
      <c r="J61" s="2834"/>
      <c r="K61" s="2834"/>
      <c r="L61" s="2856"/>
      <c r="M61" s="2856"/>
    </row>
    <row r="62" spans="1:47" s="501" customFormat="1" ht="18" customHeight="1">
      <c r="A62" s="2856"/>
      <c r="B62" s="188"/>
      <c r="C62" s="508"/>
      <c r="D62" s="508"/>
      <c r="E62" s="508"/>
      <c r="F62" s="508"/>
      <c r="G62" s="2834"/>
      <c r="H62" s="2834"/>
      <c r="I62" s="2834"/>
      <c r="J62" s="2834"/>
      <c r="K62" s="2834"/>
    </row>
    <row r="63" spans="1:47" s="501" customFormat="1" ht="18" customHeight="1">
      <c r="A63" s="2856"/>
      <c r="B63" s="188"/>
      <c r="C63" s="508"/>
      <c r="D63" s="508"/>
      <c r="E63" s="508"/>
      <c r="F63" s="508"/>
      <c r="G63" s="2834"/>
      <c r="H63" s="2834"/>
      <c r="I63" s="2834"/>
      <c r="J63" s="2834"/>
      <c r="K63" s="2834"/>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6"/>
      <c r="S76" s="3166"/>
      <c r="T76" s="3166"/>
      <c r="U76" s="3166"/>
      <c r="V76" s="3166"/>
      <c r="W76" s="3166"/>
      <c r="X76" s="3166"/>
      <c r="Y76" s="3166"/>
      <c r="Z76" s="3166"/>
      <c r="AA76" s="1465"/>
    </row>
    <row r="77" spans="2:27" ht="72.75" customHeight="1">
      <c r="L77" s="90"/>
      <c r="M77" s="90"/>
      <c r="N77" s="90"/>
      <c r="O77" s="90"/>
      <c r="P77" s="90"/>
      <c r="Q77" s="90"/>
      <c r="R77" s="3166"/>
      <c r="S77" s="3167"/>
      <c r="T77" s="3167"/>
      <c r="U77" s="3167"/>
      <c r="V77" s="3167"/>
      <c r="W77" s="3167"/>
      <c r="X77" s="3167"/>
      <c r="Y77" s="3167"/>
      <c r="Z77" s="3167"/>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69"/>
      <c r="W95" s="3069"/>
      <c r="X95" s="3069"/>
      <c r="Y95" s="3069"/>
      <c r="Z95" s="3069"/>
      <c r="AA95" s="3069"/>
      <c r="AB95" s="3069"/>
      <c r="AC95" s="3069"/>
      <c r="AD95" s="534"/>
      <c r="AE95" s="534"/>
    </row>
    <row r="96" spans="2:31">
      <c r="V96" s="534"/>
      <c r="W96" s="534"/>
      <c r="X96" s="534"/>
      <c r="Y96" s="534"/>
      <c r="Z96" s="534"/>
      <c r="AA96" s="534"/>
      <c r="AB96" s="534"/>
      <c r="AC96" s="534"/>
      <c r="AD96" s="534"/>
      <c r="AE96" s="534"/>
    </row>
    <row r="97" spans="22:31" ht="42.75" customHeight="1">
      <c r="V97" s="3069"/>
      <c r="W97" s="3069"/>
      <c r="X97" s="3069"/>
      <c r="Y97" s="3069"/>
      <c r="Z97" s="3069"/>
      <c r="AA97" s="3069"/>
      <c r="AB97" s="3069"/>
      <c r="AC97" s="3069"/>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2">
    <dataValidation type="list" allowBlank="1" showInputMessage="1" showErrorMessage="1" sqref="U10:U24">
      <formula1>roomtype</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4" t="s">
        <v>17</v>
      </c>
      <c r="E2" s="3184"/>
      <c r="F2" s="3184"/>
      <c r="G2" s="3184"/>
      <c r="H2" s="3184"/>
      <c r="I2" s="3184"/>
      <c r="J2" s="3068" t="s">
        <v>3449</v>
      </c>
      <c r="K2" s="3068"/>
      <c r="L2" s="3068"/>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3" t="str">
        <f>Utility_Copyrite</f>
        <v>Copyright © 2012 Potomac Electric Power Company</v>
      </c>
      <c r="L3" s="1789"/>
      <c r="M3" s="572"/>
    </row>
    <row r="4" spans="1:45" ht="12.9" customHeight="1">
      <c r="A4" s="1788"/>
      <c r="B4" s="1726"/>
      <c r="C4" s="1726"/>
      <c r="D4" s="1789"/>
      <c r="E4" s="1789"/>
      <c r="F4" s="1789"/>
      <c r="G4" s="1789"/>
      <c r="H4" s="1790"/>
      <c r="I4" s="1789"/>
      <c r="J4" s="1789"/>
      <c r="K4" s="2893" t="str">
        <f>Utility_Rights</f>
        <v>All Rights Reserved</v>
      </c>
      <c r="L4" s="1789"/>
      <c r="M4" s="572"/>
    </row>
    <row r="5" spans="1:45" ht="117.75" customHeight="1">
      <c r="A5" s="1788"/>
      <c r="B5" s="1726"/>
      <c r="C5" s="1726"/>
      <c r="D5" s="1789"/>
      <c r="E5" s="1789"/>
      <c r="F5" s="1789"/>
      <c r="G5" s="1789"/>
      <c r="H5" s="1790"/>
      <c r="I5" s="1789"/>
      <c r="J5" s="1789"/>
      <c r="K5" s="2798"/>
      <c r="L5" s="1789"/>
      <c r="M5" s="572"/>
    </row>
    <row r="6" spans="1:45" ht="15.75" customHeight="1">
      <c r="A6" s="1788"/>
      <c r="B6" s="3205" t="s">
        <v>2167</v>
      </c>
      <c r="C6" s="3205"/>
      <c r="D6" s="3205"/>
      <c r="E6" s="3205"/>
      <c r="F6" s="3205"/>
      <c r="G6" s="3205"/>
      <c r="H6" s="3205"/>
      <c r="I6" s="3205"/>
      <c r="J6" s="3205"/>
      <c r="K6" s="3205"/>
      <c r="L6" s="3205"/>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0" t="s">
        <v>3147</v>
      </c>
      <c r="C7" s="3200"/>
      <c r="D7" s="3200"/>
      <c r="E7" s="3200"/>
      <c r="F7" s="3200"/>
      <c r="G7" s="3200"/>
      <c r="H7" s="3200"/>
      <c r="I7" s="3200"/>
      <c r="J7" s="3200"/>
      <c r="K7" s="3200"/>
      <c r="L7" s="3200"/>
      <c r="M7" s="572"/>
      <c r="N7" s="572"/>
      <c r="O7" s="572"/>
      <c r="P7" s="3199" t="s">
        <v>3439</v>
      </c>
      <c r="Q7" s="3199"/>
      <c r="R7" s="3199"/>
      <c r="S7" s="3199"/>
      <c r="T7" s="2815"/>
      <c r="U7" s="2815"/>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5" t="s">
        <v>2168</v>
      </c>
      <c r="C9" s="3205"/>
      <c r="D9" s="3205"/>
      <c r="E9" s="3205"/>
      <c r="F9" s="3205"/>
      <c r="G9" s="3205"/>
      <c r="H9" s="3205"/>
      <c r="I9" s="3205"/>
      <c r="J9" s="3205"/>
      <c r="K9" s="3205"/>
      <c r="L9" s="3205"/>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09" t="s">
        <v>2109</v>
      </c>
      <c r="C10" s="3209"/>
      <c r="D10" s="3209"/>
      <c r="E10" s="3209"/>
      <c r="F10" s="3209"/>
      <c r="G10" s="3209"/>
      <c r="H10" s="3209"/>
      <c r="I10" s="3209"/>
      <c r="J10" s="3209"/>
      <c r="K10" s="3209"/>
      <c r="L10" s="3209"/>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2" t="s">
        <v>3697</v>
      </c>
      <c r="C11" s="3202"/>
      <c r="D11" s="3202"/>
      <c r="E11" s="3202"/>
      <c r="F11" s="3202"/>
      <c r="G11" s="3202"/>
      <c r="H11" s="3202"/>
      <c r="I11" s="3202"/>
      <c r="J11" s="3202"/>
      <c r="K11" s="3202"/>
      <c r="L11" s="3202"/>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1" t="s">
        <v>3698</v>
      </c>
      <c r="C12" s="3201"/>
      <c r="D12" s="3200"/>
      <c r="E12" s="3200"/>
      <c r="F12" s="3200"/>
      <c r="G12" s="3200"/>
      <c r="H12" s="3200"/>
      <c r="I12" s="3200"/>
      <c r="J12" s="3200"/>
      <c r="K12" s="3200"/>
      <c r="L12" s="3200"/>
      <c r="M12" s="572"/>
      <c r="N12" s="572"/>
      <c r="O12" s="3206" t="s">
        <v>3070</v>
      </c>
      <c r="P12" s="3199" t="s">
        <v>3874</v>
      </c>
      <c r="Q12" s="3199"/>
      <c r="R12" s="3199"/>
      <c r="S12" s="3199"/>
      <c r="T12" s="2759"/>
      <c r="U12" s="3192" t="s">
        <v>3102</v>
      </c>
      <c r="V12" s="3197" t="s">
        <v>3103</v>
      </c>
      <c r="W12" s="3187" t="s">
        <v>3104</v>
      </c>
      <c r="X12" s="3187" t="s">
        <v>3105</v>
      </c>
      <c r="Y12" s="3187" t="s">
        <v>342</v>
      </c>
      <c r="Z12" s="3187" t="s">
        <v>3106</v>
      </c>
      <c r="AA12" s="3187" t="s">
        <v>3107</v>
      </c>
      <c r="AB12" s="3185" t="s">
        <v>3108</v>
      </c>
      <c r="AC12" s="3185" t="s">
        <v>3109</v>
      </c>
      <c r="AD12" s="3185" t="s">
        <v>3110</v>
      </c>
      <c r="AE12" s="3185" t="s">
        <v>3111</v>
      </c>
      <c r="AF12" s="3185" t="s">
        <v>3112</v>
      </c>
      <c r="AG12" s="3185" t="s">
        <v>3113</v>
      </c>
      <c r="AH12" s="3185" t="s">
        <v>3114</v>
      </c>
      <c r="AI12" s="3185" t="s">
        <v>3115</v>
      </c>
      <c r="AJ12" s="3185" t="s">
        <v>3116</v>
      </c>
      <c r="AK12" s="3203" t="s">
        <v>3117</v>
      </c>
      <c r="AL12" s="3185" t="s">
        <v>3118</v>
      </c>
      <c r="AM12" s="3185" t="s">
        <v>3119</v>
      </c>
      <c r="AN12" s="3185" t="s">
        <v>3120</v>
      </c>
      <c r="AO12" s="3185" t="s">
        <v>3121</v>
      </c>
      <c r="AP12" s="3185" t="s">
        <v>3122</v>
      </c>
      <c r="AQ12" s="318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07"/>
      <c r="P13" s="1603"/>
      <c r="Q13" s="2760"/>
      <c r="R13" s="2760"/>
      <c r="S13" s="2760"/>
      <c r="T13" s="2760"/>
      <c r="U13" s="3193"/>
      <c r="V13" s="3198"/>
      <c r="W13" s="3188"/>
      <c r="X13" s="3188"/>
      <c r="Y13" s="3188"/>
      <c r="Z13" s="3189"/>
      <c r="AA13" s="3188"/>
      <c r="AB13" s="3186"/>
      <c r="AC13" s="3186"/>
      <c r="AD13" s="3186"/>
      <c r="AE13" s="3186"/>
      <c r="AF13" s="3186"/>
      <c r="AG13" s="3186"/>
      <c r="AH13" s="3186"/>
      <c r="AI13" s="3186"/>
      <c r="AJ13" s="3186"/>
      <c r="AK13" s="3204"/>
      <c r="AL13" s="3186"/>
      <c r="AM13" s="3186"/>
      <c r="AN13" s="3186"/>
      <c r="AO13" s="3186"/>
      <c r="AP13" s="3186"/>
      <c r="AQ13" s="3186"/>
      <c r="AR13" s="14"/>
      <c r="AS13" s="14"/>
    </row>
    <row r="14" spans="1:45" s="223" customFormat="1" ht="15.75" customHeight="1" thickBot="1">
      <c r="A14" s="1793"/>
      <c r="B14" s="3210" t="s">
        <v>2169</v>
      </c>
      <c r="C14" s="3210"/>
      <c r="D14" s="3210"/>
      <c r="E14" s="3210"/>
      <c r="F14" s="3210"/>
      <c r="G14" s="3210"/>
      <c r="H14" s="3210"/>
      <c r="I14" s="3210"/>
      <c r="J14" s="3210"/>
      <c r="K14" s="3210"/>
      <c r="L14" s="3210"/>
      <c r="M14" s="572"/>
      <c r="N14" s="572"/>
      <c r="O14" s="3207"/>
      <c r="P14" s="1603"/>
      <c r="Q14" s="2760"/>
      <c r="R14" s="2760" t="str">
        <f>IF(Q17="",""," $ -")</f>
        <v xml:space="preserve"> $ -</v>
      </c>
      <c r="S14" s="2760"/>
      <c r="T14" s="2760"/>
      <c r="U14" s="3193"/>
      <c r="V14" s="1255"/>
      <c r="W14" s="1257"/>
      <c r="X14" s="1257"/>
      <c r="Y14" s="14"/>
      <c r="Z14" s="1259"/>
      <c r="AA14" s="1260"/>
      <c r="AB14" s="2315"/>
      <c r="AC14" s="2315"/>
      <c r="AD14" s="2315"/>
      <c r="AE14" s="2315"/>
      <c r="AF14" s="2315"/>
      <c r="AG14" s="2315"/>
      <c r="AH14" s="2315"/>
      <c r="AI14" s="2315"/>
      <c r="AJ14" s="2315"/>
      <c r="AK14" s="2315"/>
      <c r="AL14" s="2315"/>
      <c r="AM14" s="2315"/>
      <c r="AN14" s="2315"/>
      <c r="AO14" s="2315"/>
      <c r="AP14" s="2315"/>
      <c r="AQ14" s="2315"/>
      <c r="AR14" s="14"/>
      <c r="AS14" s="14"/>
    </row>
    <row r="15" spans="1:45" s="223" customFormat="1" ht="43.5" customHeight="1" thickBot="1">
      <c r="A15" s="1793"/>
      <c r="B15" s="3209" t="s">
        <v>548</v>
      </c>
      <c r="C15" s="3209"/>
      <c r="D15" s="3209"/>
      <c r="E15" s="3209"/>
      <c r="F15" s="3209"/>
      <c r="G15" s="3209"/>
      <c r="H15" s="3209"/>
      <c r="I15" s="3209"/>
      <c r="J15" s="3209"/>
      <c r="K15" s="3209"/>
      <c r="L15" s="3209"/>
      <c r="M15" s="572"/>
      <c r="N15" s="572"/>
      <c r="O15" s="3208"/>
      <c r="P15" s="1606"/>
      <c r="Q15" s="2761"/>
      <c r="R15" s="2761"/>
      <c r="S15" s="2761"/>
      <c r="T15" s="2761"/>
      <c r="U15" s="3194"/>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1" t="str">
        <f>Utility_Name_Cap&amp;" Incentive"</f>
        <v>PEPCO Incentive</v>
      </c>
      <c r="K16" s="1795" t="s">
        <v>238</v>
      </c>
      <c r="L16" s="1613"/>
      <c r="M16" s="572"/>
      <c r="N16" s="572"/>
      <c r="O16" s="1434" t="s">
        <v>34</v>
      </c>
      <c r="P16" s="2749" t="s">
        <v>3068</v>
      </c>
      <c r="Q16" s="3195" t="s">
        <v>3069</v>
      </c>
      <c r="R16" s="3196"/>
      <c r="S16" s="2750" t="s">
        <v>3066</v>
      </c>
      <c r="T16" s="2750"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6"/>
      <c r="AK16" s="1269"/>
      <c r="AL16" s="1269"/>
      <c r="AM16" s="1269"/>
      <c r="AN16" s="1269"/>
      <c r="AO16" s="1269"/>
      <c r="AP16" s="1269"/>
      <c r="AQ16" s="1269"/>
      <c r="AR16" s="10"/>
      <c r="AS16" s="10"/>
    </row>
    <row r="17" spans="1:45">
      <c r="A17" s="1788"/>
      <c r="B17" s="1796">
        <f>O17</f>
        <v>1</v>
      </c>
      <c r="C17" s="1796" t="str">
        <f>P17</f>
        <v/>
      </c>
      <c r="D17" s="1797" t="str">
        <f>IF(S17&gt;0, Q17, "")</f>
        <v/>
      </c>
      <c r="E17" s="2865">
        <f t="shared" ref="E17:E31" si="0">T17</f>
        <v>0</v>
      </c>
      <c r="F17" s="1798" t="str">
        <f>IF(S17&gt;0, S17, "")</f>
        <v/>
      </c>
      <c r="G17" s="1799">
        <f>Z17</f>
        <v>0</v>
      </c>
      <c r="H17" s="1800">
        <f>IF(G17="","",G17*'R1 Sum'!$E$36)</f>
        <v>0</v>
      </c>
      <c r="I17" s="1800">
        <f>Y17</f>
        <v>0</v>
      </c>
      <c r="J17" s="1801">
        <f>Y17</f>
        <v>0</v>
      </c>
      <c r="K17" s="2905" t="str">
        <f t="shared" ref="K17:K31" si="1">IF(Q17="",""," $ -")</f>
        <v xml:space="preserve"> $ -</v>
      </c>
      <c r="L17" s="1802"/>
      <c r="M17" s="572"/>
      <c r="N17" s="572"/>
      <c r="O17" s="1270">
        <v>1</v>
      </c>
      <c r="P17" s="1271" t="str">
        <f>IF([1]HVAC!$G$2&lt;18, IF([1]HVAC!$K$2="Y", "", IF([1]HVAC!$E$2="", "", [1]HVAC!$B$2)), "")</f>
        <v/>
      </c>
      <c r="Q17" s="3190" t="s">
        <v>3124</v>
      </c>
      <c r="R17" s="3191"/>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5" t="str">
        <f t="shared" si="0"/>
        <v/>
      </c>
      <c r="F18" s="1798" t="str">
        <f t="shared" ref="F18:F22" si="8">IF(S18&gt;0, S18, "")</f>
        <v/>
      </c>
      <c r="G18" s="1799" t="str">
        <f t="shared" ref="G18:G31" si="9">Z18</f>
        <v/>
      </c>
      <c r="H18" s="1800" t="str">
        <f>IF(G18="","",G18*'R1 Sum'!$E$36)</f>
        <v/>
      </c>
      <c r="I18" s="1800">
        <f t="shared" ref="I18:I31" si="10">Y18</f>
        <v>0</v>
      </c>
      <c r="J18" s="1801">
        <f t="shared" ref="J18:J31" si="11">Y18</f>
        <v>0</v>
      </c>
      <c r="K18" s="2905" t="str">
        <f t="shared" si="1"/>
        <v xml:space="preserve"> $ -</v>
      </c>
      <c r="L18" s="1802"/>
      <c r="M18" s="572"/>
      <c r="N18" s="572"/>
      <c r="O18" s="1277">
        <v>2</v>
      </c>
      <c r="P18" s="1042" t="str">
        <f>IF([1]HVAC!$G$2&lt;18, IF([1]HVAC!$K$2="Y",  [1]HVAC!$B$2, ""), "")</f>
        <v/>
      </c>
      <c r="Q18" s="3190" t="s">
        <v>3125</v>
      </c>
      <c r="R18" s="3191"/>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5">
        <f t="shared" si="0"/>
        <v>0</v>
      </c>
      <c r="F19" s="1798" t="str">
        <f t="shared" si="8"/>
        <v/>
      </c>
      <c r="G19" s="1799">
        <f t="shared" si="9"/>
        <v>0</v>
      </c>
      <c r="H19" s="1800">
        <f>IF(G19="","",G19*'R1 Sum'!$E$36)</f>
        <v>0</v>
      </c>
      <c r="I19" s="1800">
        <f t="shared" si="10"/>
        <v>0</v>
      </c>
      <c r="J19" s="1801">
        <f t="shared" si="11"/>
        <v>0</v>
      </c>
      <c r="K19" s="2905" t="str">
        <f t="shared" si="1"/>
        <v xml:space="preserve"> $ -</v>
      </c>
      <c r="L19" s="1802"/>
      <c r="M19" s="572"/>
      <c r="N19" s="572"/>
      <c r="O19" s="1277">
        <v>3</v>
      </c>
      <c r="P19" s="1271" t="str">
        <f>IF([1]HVAC!$G$3&lt;18, IF([1]HVAC!$K$3="Y", "", IF([1]HVAC!$E$3="", "", [1]HVAC!$B$3)), "")</f>
        <v/>
      </c>
      <c r="Q19" s="3190" t="s">
        <v>3124</v>
      </c>
      <c r="R19" s="3191"/>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5" t="str">
        <f t="shared" si="0"/>
        <v/>
      </c>
      <c r="F20" s="1798" t="str">
        <f t="shared" si="8"/>
        <v/>
      </c>
      <c r="G20" s="1799" t="str">
        <f t="shared" si="9"/>
        <v/>
      </c>
      <c r="H20" s="1800" t="str">
        <f>IF(G20="","",G20*'R1 Sum'!$E$36)</f>
        <v/>
      </c>
      <c r="I20" s="1800">
        <f t="shared" si="10"/>
        <v>0</v>
      </c>
      <c r="J20" s="1801">
        <f t="shared" si="11"/>
        <v>0</v>
      </c>
      <c r="K20" s="2905" t="str">
        <f t="shared" si="1"/>
        <v xml:space="preserve"> $ -</v>
      </c>
      <c r="L20" s="1802"/>
      <c r="M20" s="572"/>
      <c r="N20" s="572"/>
      <c r="O20" s="1277">
        <v>4</v>
      </c>
      <c r="P20" s="1042" t="str">
        <f>IF([1]HVAC!$G$3&lt;18, IF([1]HVAC!$K$3="Y",  [1]HVAC!$B$3, ""), "")</f>
        <v/>
      </c>
      <c r="Q20" s="3190" t="s">
        <v>3125</v>
      </c>
      <c r="R20" s="3191"/>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5">
        <f t="shared" si="0"/>
        <v>0</v>
      </c>
      <c r="F21" s="1798" t="str">
        <f t="shared" si="8"/>
        <v/>
      </c>
      <c r="G21" s="1799">
        <f t="shared" si="9"/>
        <v>0</v>
      </c>
      <c r="H21" s="1800">
        <f>IF(G21="","",G21*'R1 Sum'!$E$36)</f>
        <v>0</v>
      </c>
      <c r="I21" s="1800">
        <f t="shared" si="10"/>
        <v>0</v>
      </c>
      <c r="J21" s="1801">
        <f t="shared" si="11"/>
        <v>0</v>
      </c>
      <c r="K21" s="2905" t="str">
        <f t="shared" si="1"/>
        <v xml:space="preserve"> $ -</v>
      </c>
      <c r="L21" s="1802"/>
      <c r="M21" s="572"/>
      <c r="N21" s="572"/>
      <c r="O21" s="1277">
        <v>5</v>
      </c>
      <c r="P21" s="1271" t="str">
        <f>IF([1]HVAC!$G$4&lt;18, IF([1]HVAC!$K$4="Y", "", IF([1]HVAC!$E$4="", "", [1]HVAC!$B$4)), "")</f>
        <v/>
      </c>
      <c r="Q21" s="3190" t="s">
        <v>3124</v>
      </c>
      <c r="R21" s="3191"/>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5" t="str">
        <f t="shared" si="0"/>
        <v/>
      </c>
      <c r="F22" s="1798" t="str">
        <f t="shared" si="8"/>
        <v/>
      </c>
      <c r="G22" s="1799" t="str">
        <f t="shared" si="9"/>
        <v/>
      </c>
      <c r="H22" s="1800" t="str">
        <f>IF(G22="","",G22*'R1 Sum'!$E$36)</f>
        <v/>
      </c>
      <c r="I22" s="1800">
        <f t="shared" si="10"/>
        <v>0</v>
      </c>
      <c r="J22" s="1801">
        <f t="shared" si="11"/>
        <v>0</v>
      </c>
      <c r="K22" s="2905" t="str">
        <f t="shared" si="1"/>
        <v xml:space="preserve"> $ -</v>
      </c>
      <c r="L22" s="1802"/>
      <c r="M22" s="572"/>
      <c r="N22" s="572"/>
      <c r="O22" s="1277">
        <v>6</v>
      </c>
      <c r="P22" s="1042" t="str">
        <f>IF([1]HVAC!$G$4&lt;18, IF([1]HVAC!$K$4="Y",  [1]HVAC!$B$4, ""), "")</f>
        <v/>
      </c>
      <c r="Q22" s="3190" t="s">
        <v>3125</v>
      </c>
      <c r="R22" s="3191"/>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5">
        <f t="shared" si="0"/>
        <v>0</v>
      </c>
      <c r="F23" s="1798">
        <f t="shared" ref="F23:F31" si="13">S23</f>
        <v>0</v>
      </c>
      <c r="G23" s="1799" t="str">
        <f t="shared" si="9"/>
        <v/>
      </c>
      <c r="H23" s="1800" t="str">
        <f>IF(G23="","",G23*'R1 Sum'!$E$36)</f>
        <v/>
      </c>
      <c r="I23" s="1800" t="str">
        <f t="shared" si="10"/>
        <v/>
      </c>
      <c r="J23" s="1801" t="str">
        <f t="shared" si="11"/>
        <v/>
      </c>
      <c r="K23" s="2905" t="str">
        <f t="shared" si="1"/>
        <v/>
      </c>
      <c r="L23" s="1802"/>
      <c r="M23" s="572"/>
      <c r="N23" s="572"/>
      <c r="O23" s="1277">
        <v>7</v>
      </c>
      <c r="P23" s="1042"/>
      <c r="Q23" s="3190"/>
      <c r="R23" s="3191"/>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5">
        <f t="shared" si="0"/>
        <v>0</v>
      </c>
      <c r="F24" s="1798">
        <f t="shared" si="13"/>
        <v>0</v>
      </c>
      <c r="G24" s="1799" t="str">
        <f t="shared" si="9"/>
        <v/>
      </c>
      <c r="H24" s="1800" t="str">
        <f>IF(G24="","",G24*'R1 Sum'!$E$36)</f>
        <v/>
      </c>
      <c r="I24" s="1800" t="str">
        <f t="shared" si="10"/>
        <v/>
      </c>
      <c r="J24" s="1801" t="str">
        <f t="shared" si="11"/>
        <v/>
      </c>
      <c r="K24" s="2905" t="str">
        <f t="shared" si="1"/>
        <v/>
      </c>
      <c r="L24" s="1802"/>
      <c r="M24" s="572"/>
      <c r="N24" s="572"/>
      <c r="O24" s="1277">
        <v>8</v>
      </c>
      <c r="P24" s="1042"/>
      <c r="Q24" s="3190"/>
      <c r="R24" s="3191"/>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5">
        <f t="shared" si="0"/>
        <v>0</v>
      </c>
      <c r="F25" s="1798">
        <f t="shared" si="13"/>
        <v>0</v>
      </c>
      <c r="G25" s="1799" t="str">
        <f t="shared" si="9"/>
        <v/>
      </c>
      <c r="H25" s="1800" t="str">
        <f>IF(G25="","",G25*'R1 Sum'!$E$36)</f>
        <v/>
      </c>
      <c r="I25" s="1800" t="str">
        <f t="shared" si="10"/>
        <v/>
      </c>
      <c r="J25" s="1801" t="str">
        <f t="shared" si="11"/>
        <v/>
      </c>
      <c r="K25" s="2905" t="str">
        <f t="shared" si="1"/>
        <v/>
      </c>
      <c r="L25" s="1802"/>
      <c r="M25" s="572"/>
      <c r="N25" s="572"/>
      <c r="O25" s="1277">
        <v>9</v>
      </c>
      <c r="P25" s="1042"/>
      <c r="Q25" s="3190"/>
      <c r="R25" s="3191"/>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c r="A26" s="1788"/>
      <c r="B26" s="1796">
        <f t="shared" si="6"/>
        <v>10</v>
      </c>
      <c r="C26" s="1796">
        <f t="shared" si="7"/>
        <v>0</v>
      </c>
      <c r="D26" s="1797" t="str">
        <f>IF(S26&gt;0, Q26, "")</f>
        <v/>
      </c>
      <c r="E26" s="2865">
        <f t="shared" si="0"/>
        <v>0</v>
      </c>
      <c r="F26" s="1798">
        <f t="shared" si="13"/>
        <v>0</v>
      </c>
      <c r="G26" s="1799" t="str">
        <f t="shared" si="9"/>
        <v/>
      </c>
      <c r="H26" s="1800" t="str">
        <f>IF(G26="","",G26*'R1 Sum'!$E$36)</f>
        <v/>
      </c>
      <c r="I26" s="1800" t="str">
        <f t="shared" si="10"/>
        <v/>
      </c>
      <c r="J26" s="1801" t="str">
        <f t="shared" si="11"/>
        <v/>
      </c>
      <c r="K26" s="2905" t="str">
        <f t="shared" si="1"/>
        <v/>
      </c>
      <c r="L26" s="1802"/>
      <c r="M26" s="572"/>
      <c r="N26" s="572"/>
      <c r="O26" s="1277">
        <v>10</v>
      </c>
      <c r="P26" s="1042"/>
      <c r="Q26" s="3190"/>
      <c r="R26" s="3191"/>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5">
        <f t="shared" si="0"/>
        <v>0</v>
      </c>
      <c r="F27" s="1798">
        <f t="shared" si="13"/>
        <v>0</v>
      </c>
      <c r="G27" s="1799" t="str">
        <f t="shared" si="9"/>
        <v/>
      </c>
      <c r="H27" s="1800" t="str">
        <f>IF(G27="","",G27*'R1 Sum'!$E$36)</f>
        <v/>
      </c>
      <c r="I27" s="1803" t="str">
        <f t="shared" si="10"/>
        <v/>
      </c>
      <c r="J27" s="1801" t="str">
        <f t="shared" si="11"/>
        <v/>
      </c>
      <c r="K27" s="2905" t="str">
        <f t="shared" si="1"/>
        <v/>
      </c>
      <c r="L27" s="1802"/>
      <c r="M27" s="572"/>
      <c r="N27" s="572"/>
      <c r="O27" s="1277">
        <v>11</v>
      </c>
      <c r="P27" s="1042"/>
      <c r="Q27" s="3190"/>
      <c r="R27" s="3191"/>
      <c r="S27" s="2317"/>
      <c r="T27" s="2317"/>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5">
        <f t="shared" si="0"/>
        <v>0</v>
      </c>
      <c r="F28" s="1798">
        <f t="shared" si="13"/>
        <v>0</v>
      </c>
      <c r="G28" s="1799" t="str">
        <f t="shared" si="9"/>
        <v/>
      </c>
      <c r="H28" s="1800" t="str">
        <f>IF(G28="","",G28*'R1 Sum'!$E$36)</f>
        <v/>
      </c>
      <c r="I28" s="1803" t="str">
        <f t="shared" si="10"/>
        <v/>
      </c>
      <c r="J28" s="1801" t="str">
        <f t="shared" si="11"/>
        <v/>
      </c>
      <c r="K28" s="2905" t="str">
        <f t="shared" si="1"/>
        <v/>
      </c>
      <c r="L28" s="1802"/>
      <c r="M28" s="572"/>
      <c r="N28" s="572"/>
      <c r="O28" s="1277">
        <v>12</v>
      </c>
      <c r="P28" s="1042"/>
      <c r="Q28" s="3190"/>
      <c r="R28" s="3191"/>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5">
        <f t="shared" si="0"/>
        <v>0</v>
      </c>
      <c r="F29" s="1798">
        <f t="shared" si="13"/>
        <v>0</v>
      </c>
      <c r="G29" s="1799" t="str">
        <f t="shared" si="9"/>
        <v/>
      </c>
      <c r="H29" s="1800" t="str">
        <f>IF(G29="","",G29*'R1 Sum'!$E$36)</f>
        <v/>
      </c>
      <c r="I29" s="1803" t="str">
        <f t="shared" si="10"/>
        <v/>
      </c>
      <c r="J29" s="1801" t="str">
        <f t="shared" si="11"/>
        <v/>
      </c>
      <c r="K29" s="2905" t="str">
        <f t="shared" si="1"/>
        <v/>
      </c>
      <c r="L29" s="1802"/>
      <c r="M29" s="572"/>
      <c r="N29" s="572"/>
      <c r="O29" s="1277">
        <v>13</v>
      </c>
      <c r="P29" s="1042"/>
      <c r="Q29" s="3190"/>
      <c r="R29" s="3191"/>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5">
        <f t="shared" si="0"/>
        <v>0</v>
      </c>
      <c r="F30" s="1798">
        <f t="shared" si="13"/>
        <v>0</v>
      </c>
      <c r="G30" s="1799" t="str">
        <f t="shared" si="9"/>
        <v/>
      </c>
      <c r="H30" s="1800" t="str">
        <f>IF(G30="","",G30*'R1 Sum'!$E$36)</f>
        <v/>
      </c>
      <c r="I30" s="1803" t="str">
        <f t="shared" si="10"/>
        <v/>
      </c>
      <c r="J30" s="1801" t="str">
        <f t="shared" si="11"/>
        <v/>
      </c>
      <c r="K30" s="2905" t="str">
        <f t="shared" si="1"/>
        <v/>
      </c>
      <c r="L30" s="1802"/>
      <c r="M30" s="572"/>
      <c r="N30" s="572"/>
      <c r="O30" s="1277">
        <v>14</v>
      </c>
      <c r="P30" s="1042"/>
      <c r="Q30" s="3190"/>
      <c r="R30" s="3191"/>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5">
        <f t="shared" si="0"/>
        <v>0</v>
      </c>
      <c r="F31" s="1798">
        <f t="shared" si="13"/>
        <v>0</v>
      </c>
      <c r="G31" s="1799" t="str">
        <f t="shared" si="9"/>
        <v/>
      </c>
      <c r="H31" s="1800" t="str">
        <f>IF(G31="","",G31*'R1 Sum'!$E$36)</f>
        <v/>
      </c>
      <c r="I31" s="1803" t="str">
        <f t="shared" si="10"/>
        <v/>
      </c>
      <c r="J31" s="1801" t="str">
        <f t="shared" si="11"/>
        <v/>
      </c>
      <c r="K31" s="2905" t="str">
        <f t="shared" si="1"/>
        <v/>
      </c>
      <c r="L31" s="1802"/>
      <c r="M31" s="572"/>
      <c r="N31" s="572"/>
      <c r="O31" s="1277">
        <v>15</v>
      </c>
      <c r="P31" s="1042"/>
      <c r="Q31" s="3190"/>
      <c r="R31" s="3191"/>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4" t="s">
        <v>158</v>
      </c>
      <c r="D32" s="1805"/>
      <c r="E32" s="1806">
        <f t="shared" ref="E32:J32" si="15">SUM(E17:E31)</f>
        <v>0</v>
      </c>
      <c r="F32" s="1806">
        <f t="shared" si="15"/>
        <v>0</v>
      </c>
      <c r="G32" s="1806">
        <f t="shared" si="15"/>
        <v>0</v>
      </c>
      <c r="H32" s="1807">
        <f t="shared" si="15"/>
        <v>0</v>
      </c>
      <c r="I32" s="1807">
        <f t="shared" si="15"/>
        <v>0</v>
      </c>
      <c r="J32" s="1807">
        <f t="shared" si="15"/>
        <v>0</v>
      </c>
      <c r="K32" s="2904" t="s">
        <v>3877</v>
      </c>
      <c r="L32" s="1807"/>
      <c r="M32" s="572"/>
      <c r="N32" s="572"/>
      <c r="O32" s="2315"/>
      <c r="P32" s="2315"/>
      <c r="Q32" s="2315"/>
      <c r="R32" s="2315"/>
      <c r="S32" s="2315"/>
      <c r="T32" s="2315"/>
      <c r="U32" s="2315"/>
      <c r="V32" s="2315"/>
      <c r="W32" s="2315"/>
      <c r="X32" s="2315"/>
      <c r="Y32" s="2315"/>
      <c r="Z32" s="2315"/>
      <c r="AA32" s="2315"/>
      <c r="AB32" s="2315"/>
      <c r="AC32" s="2315"/>
      <c r="AD32" s="2315"/>
      <c r="AE32" s="2315"/>
      <c r="AF32" s="2315"/>
      <c r="AG32" s="2315"/>
      <c r="AH32" s="2315"/>
      <c r="AI32" s="2315"/>
      <c r="AJ32" s="2315"/>
      <c r="AK32" s="2315"/>
      <c r="AL32" s="2315"/>
      <c r="AM32" s="2315"/>
      <c r="AN32" s="2315"/>
      <c r="AO32" s="2315"/>
      <c r="AP32" s="2315"/>
      <c r="AQ32" s="10"/>
      <c r="AR32" s="10"/>
      <c r="AS32" s="10"/>
    </row>
    <row r="33" spans="1:45">
      <c r="A33" s="1788"/>
      <c r="B33" s="1804"/>
      <c r="C33" s="1804"/>
      <c r="D33" s="1804"/>
      <c r="E33" s="1804"/>
      <c r="F33" s="1804"/>
      <c r="G33" s="1804"/>
      <c r="H33" s="1808"/>
      <c r="I33" s="1804"/>
      <c r="J33" s="1804"/>
      <c r="K33" s="1804"/>
      <c r="L33" s="1788"/>
      <c r="M33" s="572"/>
      <c r="N33" s="572"/>
      <c r="O33" s="2315"/>
      <c r="P33" s="572"/>
      <c r="Q33" s="572"/>
      <c r="R33" s="572"/>
      <c r="S33" s="2315"/>
      <c r="T33" s="2315"/>
      <c r="U33" s="2315"/>
      <c r="V33" s="2315"/>
      <c r="W33" s="2315"/>
      <c r="X33" s="2315"/>
      <c r="Y33" s="2315"/>
      <c r="Z33" s="2315"/>
      <c r="AA33" s="2315"/>
      <c r="AB33" s="2315"/>
      <c r="AC33" s="2315"/>
      <c r="AD33" s="2315"/>
      <c r="AE33" s="2315"/>
      <c r="AF33" s="2315"/>
      <c r="AG33" s="2315"/>
      <c r="AH33" s="2315"/>
      <c r="AI33" s="2315"/>
      <c r="AJ33" s="2315"/>
      <c r="AK33" s="2315"/>
      <c r="AL33" s="2315"/>
      <c r="AM33" s="2315"/>
      <c r="AN33" s="2315"/>
      <c r="AO33" s="2315"/>
      <c r="AP33" s="2315"/>
      <c r="AQ33" s="2318" t="s">
        <v>3130</v>
      </c>
      <c r="AR33" s="2315"/>
      <c r="AS33" s="10"/>
    </row>
    <row r="34" spans="1:45" ht="66.75" customHeight="1">
      <c r="A34" s="1788"/>
      <c r="B34" s="3209"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09"/>
      <c r="D34" s="3209"/>
      <c r="E34" s="3209"/>
      <c r="F34" s="3209"/>
      <c r="G34" s="3209"/>
      <c r="H34" s="3209"/>
      <c r="I34" s="3209"/>
      <c r="J34" s="3209"/>
      <c r="K34" s="3209"/>
      <c r="L34" s="3209"/>
      <c r="M34" s="572"/>
      <c r="N34" s="572"/>
      <c r="O34" s="2315"/>
      <c r="P34" s="572"/>
      <c r="Q34" s="572"/>
      <c r="R34" s="572"/>
      <c r="S34" s="2315"/>
      <c r="T34" s="2315"/>
      <c r="U34" s="2315"/>
      <c r="V34" s="2315"/>
      <c r="W34" s="2315"/>
      <c r="X34" s="2315"/>
      <c r="Y34" s="2315"/>
      <c r="Z34" s="2315"/>
      <c r="AA34" s="2315"/>
      <c r="AB34" s="2315"/>
      <c r="AC34" s="2315"/>
      <c r="AD34" s="2315"/>
      <c r="AE34" s="2315"/>
      <c r="AF34" s="2315"/>
      <c r="AG34" s="2315"/>
      <c r="AH34" s="2315"/>
      <c r="AI34" s="2315"/>
      <c r="AJ34" s="2315"/>
      <c r="AK34" s="2315"/>
      <c r="AL34" s="2315"/>
      <c r="AM34" s="2315"/>
      <c r="AN34" s="2315"/>
      <c r="AO34" s="2315"/>
      <c r="AP34" s="2315"/>
      <c r="AQ34" s="2315" t="s">
        <v>198</v>
      </c>
      <c r="AR34" s="2315"/>
      <c r="AS34" s="10"/>
    </row>
    <row r="35" spans="1:45">
      <c r="N35" s="572"/>
      <c r="O35" s="2315"/>
      <c r="P35" s="572"/>
      <c r="Q35" s="572"/>
      <c r="R35" s="572"/>
      <c r="S35" s="2315"/>
      <c r="T35" s="2315"/>
      <c r="U35" s="2315"/>
      <c r="V35" s="2315"/>
      <c r="W35" s="2315"/>
      <c r="X35" s="2315"/>
      <c r="Y35" s="2315"/>
      <c r="Z35" s="2315"/>
      <c r="AA35" s="2315"/>
      <c r="AB35" s="2315"/>
      <c r="AC35" s="2315"/>
      <c r="AD35" s="2315"/>
      <c r="AE35" s="2315"/>
      <c r="AF35" s="2315"/>
      <c r="AG35" s="2315"/>
      <c r="AH35" s="2315"/>
      <c r="AI35" s="2315"/>
      <c r="AJ35" s="2315"/>
      <c r="AK35" s="2315"/>
      <c r="AL35" s="2315"/>
      <c r="AM35" s="2315"/>
      <c r="AN35" s="2315"/>
      <c r="AO35" s="2315"/>
      <c r="AP35" s="2315"/>
      <c r="AQ35" s="2315" t="s">
        <v>200</v>
      </c>
      <c r="AR35" s="2315"/>
      <c r="AS35" s="10"/>
    </row>
    <row r="36" spans="1:45">
      <c r="N36" s="572"/>
      <c r="O36" s="2315"/>
      <c r="P36" s="572"/>
      <c r="Q36" s="572"/>
      <c r="R36" s="572"/>
      <c r="S36" s="2315"/>
      <c r="T36" s="2315"/>
      <c r="U36" s="2315"/>
      <c r="V36" s="2315"/>
      <c r="W36" s="2315"/>
      <c r="X36" s="2315"/>
      <c r="Y36" s="2315"/>
      <c r="Z36" s="2315"/>
      <c r="AA36" s="2315"/>
      <c r="AB36" s="2315"/>
      <c r="AC36" s="2315"/>
      <c r="AD36" s="2315"/>
      <c r="AE36" s="2315"/>
      <c r="AF36" s="2315"/>
      <c r="AG36" s="2315"/>
      <c r="AH36" s="2315"/>
      <c r="AI36" s="2315"/>
      <c r="AJ36" s="2315"/>
      <c r="AK36" s="2315"/>
      <c r="AL36" s="2315"/>
      <c r="AM36" s="2315"/>
      <c r="AN36" s="2315"/>
      <c r="AO36" s="2315"/>
      <c r="AP36" s="2315"/>
      <c r="AQ36" s="2315" t="s">
        <v>3131</v>
      </c>
      <c r="AR36" s="2315"/>
      <c r="AS36" s="10"/>
    </row>
    <row r="37" spans="1:45">
      <c r="N37" s="572"/>
      <c r="O37" s="2315"/>
      <c r="P37" s="572"/>
      <c r="Q37" s="572"/>
      <c r="R37" s="572"/>
      <c r="S37" s="2315"/>
      <c r="T37" s="2315"/>
      <c r="U37" s="2315"/>
      <c r="V37" s="2315"/>
      <c r="W37" s="2315"/>
      <c r="X37" s="2315"/>
      <c r="Y37" s="2315"/>
      <c r="Z37" s="2315"/>
      <c r="AA37" s="2315"/>
      <c r="AB37" s="2315"/>
      <c r="AC37" s="2315"/>
      <c r="AD37" s="2315"/>
      <c r="AE37" s="2315"/>
      <c r="AF37" s="2315"/>
      <c r="AG37" s="2315"/>
      <c r="AH37" s="2315"/>
      <c r="AI37" s="2315"/>
      <c r="AJ37" s="2315"/>
      <c r="AK37" s="2315"/>
      <c r="AL37" s="2315"/>
      <c r="AM37" s="2315"/>
      <c r="AN37" s="2315"/>
      <c r="AO37" s="2315"/>
      <c r="AP37" s="2315"/>
      <c r="AQ37" s="2315"/>
      <c r="AR37" s="2315"/>
      <c r="AS37" s="10"/>
    </row>
    <row r="38" spans="1:45">
      <c r="N38" s="572"/>
      <c r="O38" s="2315"/>
      <c r="P38" s="572"/>
      <c r="Q38" s="572"/>
      <c r="R38" s="572"/>
      <c r="S38" s="2315"/>
      <c r="T38" s="2315"/>
      <c r="U38" s="2315"/>
      <c r="V38" s="2315"/>
      <c r="W38" s="2315"/>
      <c r="X38" s="2315"/>
      <c r="Y38" s="2315"/>
      <c r="Z38" s="2315"/>
      <c r="AA38" s="2315"/>
      <c r="AB38" s="2315"/>
      <c r="AC38" s="2315"/>
      <c r="AD38" s="2315"/>
      <c r="AE38" s="2315"/>
      <c r="AF38" s="2315"/>
      <c r="AG38" s="2315"/>
      <c r="AH38" s="2315"/>
      <c r="AI38" s="2315"/>
      <c r="AJ38" s="2315"/>
      <c r="AK38" s="2315"/>
      <c r="AL38" s="2315"/>
      <c r="AM38" s="2315"/>
      <c r="AN38" s="2315"/>
      <c r="AO38" s="2315"/>
      <c r="AP38" s="2315"/>
      <c r="AQ38" s="2318" t="s">
        <v>3132</v>
      </c>
      <c r="AR38" s="2315"/>
      <c r="AS38" s="10"/>
    </row>
    <row r="39" spans="1:45">
      <c r="N39" s="572"/>
      <c r="O39" s="2315"/>
      <c r="P39" s="572"/>
      <c r="Q39" s="572"/>
      <c r="R39" s="572"/>
      <c r="S39" s="2315"/>
      <c r="T39" s="2315"/>
      <c r="U39" s="2315"/>
      <c r="V39" s="2315"/>
      <c r="W39" s="2315"/>
      <c r="X39" s="2315"/>
      <c r="Y39" s="2315"/>
      <c r="Z39" s="2315"/>
      <c r="AA39" s="2315"/>
      <c r="AB39" s="2315"/>
      <c r="AC39" s="2315"/>
      <c r="AD39" s="2315"/>
      <c r="AE39" s="2315"/>
      <c r="AF39" s="2315"/>
      <c r="AG39" s="2315"/>
      <c r="AH39" s="2315"/>
      <c r="AI39" s="2315"/>
      <c r="AJ39" s="2315"/>
      <c r="AK39" s="2315"/>
      <c r="AL39" s="2315"/>
      <c r="AM39" s="2315"/>
      <c r="AN39" s="2315"/>
      <c r="AO39" s="2315"/>
      <c r="AP39" s="2315"/>
      <c r="AQ39" s="2315" t="s">
        <v>3133</v>
      </c>
      <c r="AR39" s="2315"/>
      <c r="AS39" s="10"/>
    </row>
    <row r="40" spans="1:45">
      <c r="N40" s="572"/>
      <c r="O40" s="2315"/>
      <c r="P40" s="572"/>
      <c r="Q40" s="572"/>
      <c r="R40" s="572"/>
      <c r="S40" s="2315"/>
      <c r="T40" s="2315"/>
      <c r="U40" s="2315"/>
      <c r="V40" s="2315"/>
      <c r="W40" s="2315"/>
      <c r="X40" s="2315"/>
      <c r="Y40" s="2315"/>
      <c r="Z40" s="2315"/>
      <c r="AA40" s="2315"/>
      <c r="AB40" s="2315"/>
      <c r="AC40" s="2315"/>
      <c r="AD40" s="2315"/>
      <c r="AE40" s="2315"/>
      <c r="AF40" s="2315"/>
      <c r="AG40" s="2315"/>
      <c r="AH40" s="2315"/>
      <c r="AI40" s="2315"/>
      <c r="AJ40" s="2315"/>
      <c r="AK40" s="2315"/>
      <c r="AL40" s="2315"/>
      <c r="AM40" s="2315"/>
      <c r="AN40" s="2315"/>
      <c r="AO40" s="2315"/>
      <c r="AP40" s="2315"/>
      <c r="AQ40" s="2315" t="s">
        <v>3134</v>
      </c>
      <c r="AR40" s="2315"/>
      <c r="AS40" s="10"/>
    </row>
    <row r="41" spans="1:45">
      <c r="N41" s="572"/>
      <c r="O41" s="2315"/>
      <c r="P41" s="572"/>
      <c r="Q41" s="572"/>
      <c r="R41" s="572"/>
      <c r="S41" s="2315"/>
      <c r="T41" s="2315"/>
      <c r="U41" s="2315"/>
      <c r="V41" s="2315"/>
      <c r="W41" s="2315"/>
      <c r="X41" s="2315"/>
      <c r="Y41" s="2315"/>
      <c r="Z41" s="2315"/>
      <c r="AA41" s="2315"/>
      <c r="AB41" s="2315"/>
      <c r="AC41" s="2315"/>
      <c r="AD41" s="2315"/>
      <c r="AE41" s="2315"/>
      <c r="AF41" s="2315"/>
      <c r="AG41" s="2315"/>
      <c r="AH41" s="2315"/>
      <c r="AI41" s="2315"/>
      <c r="AJ41" s="2315"/>
      <c r="AK41" s="2315"/>
      <c r="AL41" s="2315"/>
      <c r="AM41" s="2315"/>
      <c r="AN41" s="2315"/>
      <c r="AO41" s="2315"/>
      <c r="AP41" s="2315"/>
      <c r="AQ41" s="2315" t="s">
        <v>3135</v>
      </c>
      <c r="AR41" s="2315"/>
      <c r="AS41" s="10"/>
    </row>
    <row r="42" spans="1:45">
      <c r="N42" s="572"/>
      <c r="O42" s="2315"/>
      <c r="P42" s="572"/>
      <c r="Q42" s="572"/>
      <c r="R42" s="572"/>
      <c r="S42" s="2315"/>
      <c r="T42" s="2315"/>
      <c r="U42" s="2315"/>
      <c r="V42" s="2315"/>
      <c r="W42" s="2315"/>
      <c r="X42" s="2315"/>
      <c r="Y42" s="2315"/>
      <c r="Z42" s="2315"/>
      <c r="AA42" s="2315"/>
      <c r="AB42" s="2315"/>
      <c r="AC42" s="2315"/>
      <c r="AD42" s="2315"/>
      <c r="AE42" s="2315"/>
      <c r="AF42" s="2315"/>
      <c r="AG42" s="2315"/>
      <c r="AH42" s="2315"/>
      <c r="AI42" s="2315"/>
      <c r="AJ42" s="2315"/>
      <c r="AK42" s="2315"/>
      <c r="AL42" s="2315"/>
      <c r="AM42" s="2315"/>
      <c r="AN42" s="2315"/>
      <c r="AO42" s="2315"/>
      <c r="AP42" s="2315"/>
      <c r="AQ42" s="2315"/>
      <c r="AR42" s="2315"/>
      <c r="AS42" s="10"/>
    </row>
    <row r="43" spans="1:45">
      <c r="N43" s="572"/>
      <c r="O43" s="2315"/>
      <c r="P43" s="572"/>
      <c r="Q43" s="572"/>
      <c r="R43" s="572"/>
      <c r="S43" s="2315"/>
      <c r="T43" s="2315"/>
      <c r="U43" s="2315"/>
      <c r="V43" s="2315"/>
      <c r="W43" s="2315"/>
      <c r="X43" s="2315"/>
      <c r="Y43" s="2315"/>
      <c r="Z43" s="2315"/>
      <c r="AA43" s="2315"/>
      <c r="AB43" s="2315"/>
      <c r="AC43" s="2315"/>
      <c r="AD43" s="2315"/>
      <c r="AE43" s="2315"/>
      <c r="AF43" s="2315"/>
      <c r="AG43" s="2315"/>
      <c r="AH43" s="2315"/>
      <c r="AI43" s="2315"/>
      <c r="AJ43" s="2315"/>
      <c r="AK43" s="2315"/>
      <c r="AL43" s="2315"/>
      <c r="AM43" s="2315"/>
      <c r="AN43" s="2315"/>
      <c r="AO43" s="2315"/>
      <c r="AP43" s="2315"/>
      <c r="AQ43" s="2318" t="s">
        <v>3136</v>
      </c>
      <c r="AR43" s="2319"/>
      <c r="AS43" s="10"/>
    </row>
    <row r="44" spans="1:45">
      <c r="N44" s="572"/>
      <c r="O44" s="2315"/>
      <c r="P44" s="572"/>
      <c r="Q44" s="572"/>
      <c r="R44" s="572"/>
      <c r="S44" s="2315"/>
      <c r="T44" s="2315"/>
      <c r="U44" s="2315"/>
      <c r="V44" s="2315"/>
      <c r="W44" s="2315"/>
      <c r="X44" s="2315"/>
      <c r="Y44" s="2315"/>
      <c r="Z44" s="2315"/>
      <c r="AA44" s="2315"/>
      <c r="AB44" s="2315"/>
      <c r="AC44" s="2315"/>
      <c r="AD44" s="2315"/>
      <c r="AE44" s="2315"/>
      <c r="AF44" s="2315"/>
      <c r="AG44" s="2315"/>
      <c r="AH44" s="2315"/>
      <c r="AI44" s="2315"/>
      <c r="AJ44" s="2315"/>
      <c r="AK44" s="2315"/>
      <c r="AL44" s="2315"/>
      <c r="AM44" s="2315"/>
      <c r="AN44" s="2315"/>
      <c r="AO44" s="2315"/>
      <c r="AP44" s="2315"/>
      <c r="AQ44" s="572" t="s">
        <v>3124</v>
      </c>
      <c r="AR44" s="2319" t="s">
        <v>3137</v>
      </c>
      <c r="AS44" s="10"/>
    </row>
    <row r="45" spans="1:45">
      <c r="N45" s="572"/>
      <c r="O45" s="2315"/>
      <c r="P45" s="572"/>
      <c r="Q45" s="572"/>
      <c r="R45" s="572"/>
      <c r="S45" s="2315"/>
      <c r="T45" s="2315"/>
      <c r="U45" s="2315"/>
      <c r="V45" s="2315"/>
      <c r="W45" s="2315"/>
      <c r="X45" s="2315"/>
      <c r="Y45" s="2315"/>
      <c r="Z45" s="2315"/>
      <c r="AA45" s="2315"/>
      <c r="AB45" s="2315"/>
      <c r="AC45" s="2315"/>
      <c r="AD45" s="2315"/>
      <c r="AE45" s="2315"/>
      <c r="AF45" s="2315"/>
      <c r="AG45" s="2315"/>
      <c r="AH45" s="2315"/>
      <c r="AI45" s="2315"/>
      <c r="AJ45" s="2315"/>
      <c r="AK45" s="2315"/>
      <c r="AL45" s="2315"/>
      <c r="AM45" s="2315"/>
      <c r="AN45" s="2315"/>
      <c r="AO45" s="2315"/>
      <c r="AP45" s="2315"/>
      <c r="AQ45" s="572" t="s">
        <v>3125</v>
      </c>
      <c r="AR45" s="2320">
        <v>50</v>
      </c>
      <c r="AS45" s="10"/>
    </row>
    <row r="46" spans="1:45">
      <c r="N46" s="572"/>
      <c r="O46" s="2315"/>
      <c r="P46" s="572"/>
      <c r="Q46" s="572"/>
      <c r="R46" s="572"/>
      <c r="S46" s="2315"/>
      <c r="T46" s="2315"/>
      <c r="U46" s="2315"/>
      <c r="V46" s="2315"/>
      <c r="W46" s="2315"/>
      <c r="X46" s="2315"/>
      <c r="Y46" s="2315"/>
      <c r="Z46" s="2315"/>
      <c r="AA46" s="2315"/>
      <c r="AB46" s="2315"/>
      <c r="AC46" s="2315"/>
      <c r="AD46" s="2315"/>
      <c r="AE46" s="2315"/>
      <c r="AF46" s="2315"/>
      <c r="AG46" s="2315"/>
      <c r="AH46" s="2315"/>
      <c r="AI46" s="2315"/>
      <c r="AJ46" s="2315"/>
      <c r="AK46" s="2315"/>
      <c r="AL46" s="2315"/>
      <c r="AM46" s="2315"/>
      <c r="AN46" s="2315"/>
      <c r="AO46" s="2315"/>
      <c r="AP46" s="2315"/>
      <c r="AQ46" s="572" t="s">
        <v>3129</v>
      </c>
      <c r="AR46" s="2320">
        <v>150</v>
      </c>
      <c r="AS46" s="10"/>
    </row>
    <row r="47" spans="1:45">
      <c r="N47" s="572"/>
      <c r="O47" s="2315"/>
      <c r="P47" s="572"/>
      <c r="Q47" s="572"/>
      <c r="R47" s="572"/>
      <c r="S47" s="2315"/>
      <c r="T47" s="2315"/>
      <c r="U47" s="2315"/>
      <c r="V47" s="2315"/>
      <c r="W47" s="2315"/>
      <c r="X47" s="2315"/>
      <c r="Y47" s="2315"/>
      <c r="Z47" s="2315"/>
      <c r="AA47" s="2315"/>
      <c r="AB47" s="2315"/>
      <c r="AC47" s="2315"/>
      <c r="AD47" s="2315"/>
      <c r="AE47" s="2315"/>
      <c r="AF47" s="2315"/>
      <c r="AG47" s="2315"/>
      <c r="AH47" s="2315"/>
      <c r="AI47" s="2315"/>
      <c r="AJ47" s="2315"/>
      <c r="AK47" s="2315"/>
      <c r="AL47" s="2315"/>
      <c r="AM47" s="2315"/>
      <c r="AN47" s="2315"/>
      <c r="AO47" s="2315"/>
      <c r="AP47" s="2315"/>
      <c r="AQ47" s="572" t="s">
        <v>3126</v>
      </c>
      <c r="AR47" s="2320">
        <v>150</v>
      </c>
      <c r="AS47" s="10"/>
    </row>
    <row r="48" spans="1:45">
      <c r="N48" s="572"/>
      <c r="O48" s="2315"/>
      <c r="P48" s="572"/>
      <c r="Q48" s="572"/>
      <c r="R48" s="572"/>
      <c r="S48" s="2315"/>
      <c r="T48" s="2315"/>
      <c r="U48" s="2315"/>
      <c r="V48" s="2315"/>
      <c r="W48" s="2315"/>
      <c r="X48" s="2315"/>
      <c r="Y48" s="2315"/>
      <c r="Z48" s="2315"/>
      <c r="AA48" s="2315"/>
      <c r="AB48" s="2315"/>
      <c r="AC48" s="2315"/>
      <c r="AD48" s="2315"/>
      <c r="AE48" s="2315"/>
      <c r="AF48" s="2315"/>
      <c r="AG48" s="2315"/>
      <c r="AH48" s="2315"/>
      <c r="AI48" s="2315"/>
      <c r="AJ48" s="2315"/>
      <c r="AK48" s="2315"/>
      <c r="AL48" s="2315"/>
      <c r="AM48" s="2315"/>
      <c r="AN48" s="2315"/>
      <c r="AO48" s="2315"/>
      <c r="AP48" s="2315"/>
      <c r="AQ48" s="572" t="s">
        <v>3127</v>
      </c>
      <c r="AR48" s="2320">
        <v>150</v>
      </c>
      <c r="AS48" s="10"/>
    </row>
    <row r="49" spans="14:45">
      <c r="N49" s="572"/>
      <c r="O49" s="2315"/>
      <c r="P49" s="572"/>
      <c r="Q49" s="572"/>
      <c r="R49" s="572"/>
      <c r="S49" s="2315"/>
      <c r="T49" s="2315"/>
      <c r="U49" s="2315"/>
      <c r="V49" s="2315"/>
      <c r="W49" s="2315"/>
      <c r="X49" s="2315"/>
      <c r="Y49" s="2315"/>
      <c r="Z49" s="2315"/>
      <c r="AA49" s="2315"/>
      <c r="AB49" s="2315"/>
      <c r="AC49" s="2315"/>
      <c r="AD49" s="2315"/>
      <c r="AE49" s="2315"/>
      <c r="AF49" s="2315"/>
      <c r="AG49" s="2315"/>
      <c r="AH49" s="2315"/>
      <c r="AI49" s="2315"/>
      <c r="AJ49" s="2315"/>
      <c r="AK49" s="2315"/>
      <c r="AL49" s="2315"/>
      <c r="AM49" s="2315"/>
      <c r="AN49" s="2315"/>
      <c r="AO49" s="2315"/>
      <c r="AP49" s="2315"/>
      <c r="AQ49" s="572" t="s">
        <v>3128</v>
      </c>
      <c r="AR49" s="2320">
        <v>200</v>
      </c>
      <c r="AS49" s="10"/>
    </row>
    <row r="50" spans="14:45">
      <c r="N50" s="572"/>
      <c r="O50" s="2315"/>
      <c r="P50" s="572"/>
      <c r="Q50" s="572"/>
      <c r="R50" s="572"/>
      <c r="S50" s="2315"/>
      <c r="T50" s="2315"/>
      <c r="U50" s="2315"/>
      <c r="V50" s="2315"/>
      <c r="W50" s="2315"/>
      <c r="X50" s="2315"/>
      <c r="Y50" s="2315"/>
      <c r="Z50" s="2315"/>
      <c r="AA50" s="2315"/>
      <c r="AB50" s="2315"/>
      <c r="AC50" s="2315"/>
      <c r="AD50" s="2315"/>
      <c r="AE50" s="2315"/>
      <c r="AF50" s="2315"/>
      <c r="AG50" s="2315"/>
      <c r="AH50" s="2315"/>
      <c r="AI50" s="2315"/>
      <c r="AJ50" s="2315"/>
      <c r="AK50" s="2315"/>
      <c r="AL50" s="2315"/>
      <c r="AM50" s="2315"/>
      <c r="AN50" s="2315"/>
      <c r="AO50" s="2315"/>
      <c r="AP50" s="2315"/>
      <c r="AQ50" s="2315"/>
      <c r="AR50" s="2315"/>
      <c r="AS50" s="10"/>
    </row>
    <row r="51" spans="14:45" ht="83.4">
      <c r="N51" s="572"/>
      <c r="O51" s="2315"/>
      <c r="P51" s="572"/>
      <c r="Q51" s="572"/>
      <c r="R51" s="572"/>
      <c r="S51" s="2315"/>
      <c r="T51" s="2315"/>
      <c r="U51" s="2315"/>
      <c r="V51" s="2315"/>
      <c r="W51" s="2315"/>
      <c r="X51" s="2315"/>
      <c r="Y51" s="2315"/>
      <c r="Z51" s="2315"/>
      <c r="AA51" s="2315"/>
      <c r="AB51" s="2315"/>
      <c r="AC51" s="2315"/>
      <c r="AD51" s="2315"/>
      <c r="AE51" s="2315"/>
      <c r="AF51" s="2315"/>
      <c r="AG51" s="2315"/>
      <c r="AH51" s="2315"/>
      <c r="AI51" s="2315"/>
      <c r="AJ51" s="2315"/>
      <c r="AK51" s="2315"/>
      <c r="AL51" s="2315"/>
      <c r="AM51" s="2315"/>
      <c r="AN51" s="2315"/>
      <c r="AO51" s="2315"/>
      <c r="AP51" s="2315"/>
      <c r="AQ51" s="2321" t="s">
        <v>3138</v>
      </c>
      <c r="AR51" s="2320">
        <v>175</v>
      </c>
      <c r="AS51" s="10"/>
    </row>
    <row r="52" spans="14:45" ht="83.4">
      <c r="N52" s="572"/>
      <c r="O52" s="2315"/>
      <c r="P52" s="572"/>
      <c r="Q52" s="572"/>
      <c r="R52" s="572"/>
      <c r="S52" s="2315"/>
      <c r="T52" s="2315"/>
      <c r="U52" s="2315"/>
      <c r="V52" s="2315"/>
      <c r="W52" s="2315"/>
      <c r="X52" s="2315"/>
      <c r="Y52" s="2315"/>
      <c r="Z52" s="2315"/>
      <c r="AA52" s="2315"/>
      <c r="AB52" s="2315"/>
      <c r="AC52" s="2315"/>
      <c r="AD52" s="2315"/>
      <c r="AE52" s="2315"/>
      <c r="AF52" s="2315"/>
      <c r="AG52" s="2315"/>
      <c r="AH52" s="2315"/>
      <c r="AI52" s="2315"/>
      <c r="AJ52" s="2315"/>
      <c r="AK52" s="2315"/>
      <c r="AL52" s="2315"/>
      <c r="AM52" s="2315"/>
      <c r="AN52" s="2315"/>
      <c r="AO52" s="2315"/>
      <c r="AP52" s="2315"/>
      <c r="AQ52" s="2321" t="s">
        <v>3139</v>
      </c>
      <c r="AR52" s="2320">
        <v>250</v>
      </c>
      <c r="AS52" s="10"/>
    </row>
    <row r="53" spans="14:45" ht="207.6">
      <c r="N53" s="572"/>
      <c r="O53" s="2315"/>
      <c r="P53" s="572"/>
      <c r="Q53" s="572"/>
      <c r="R53" s="572"/>
      <c r="S53" s="2315"/>
      <c r="T53" s="2315"/>
      <c r="U53" s="2315"/>
      <c r="V53" s="2315"/>
      <c r="W53" s="2315"/>
      <c r="X53" s="2315"/>
      <c r="Y53" s="2315"/>
      <c r="Z53" s="2315"/>
      <c r="AA53" s="2315"/>
      <c r="AB53" s="2315"/>
      <c r="AC53" s="2315"/>
      <c r="AD53" s="2315"/>
      <c r="AE53" s="2315"/>
      <c r="AF53" s="2315"/>
      <c r="AG53" s="2315"/>
      <c r="AH53" s="2315"/>
      <c r="AI53" s="2315"/>
      <c r="AJ53" s="2315"/>
      <c r="AK53" s="2315"/>
      <c r="AL53" s="2315"/>
      <c r="AM53" s="2315"/>
      <c r="AN53" s="2315"/>
      <c r="AO53" s="2315"/>
      <c r="AP53" s="2315"/>
      <c r="AQ53" s="2321" t="s">
        <v>3140</v>
      </c>
      <c r="AR53" s="2320">
        <v>35</v>
      </c>
      <c r="AS53" s="10"/>
    </row>
    <row r="54" spans="14:45">
      <c r="N54" s="572"/>
      <c r="O54" s="2315"/>
      <c r="P54" s="2315"/>
      <c r="Q54" s="2315"/>
      <c r="R54" s="2315"/>
      <c r="S54" s="2315"/>
      <c r="T54" s="2315"/>
      <c r="U54" s="2315"/>
      <c r="V54" s="2315"/>
      <c r="W54" s="2315"/>
      <c r="X54" s="2315"/>
      <c r="Y54" s="2315"/>
      <c r="Z54" s="2315"/>
      <c r="AA54" s="2315"/>
      <c r="AB54" s="2315"/>
      <c r="AC54" s="2315"/>
      <c r="AD54" s="2315"/>
      <c r="AE54" s="2315"/>
      <c r="AF54" s="2315"/>
      <c r="AG54" s="2315"/>
      <c r="AH54" s="2315"/>
      <c r="AI54" s="2315"/>
      <c r="AJ54" s="2315"/>
      <c r="AK54" s="2315"/>
      <c r="AL54" s="2315"/>
      <c r="AM54" s="2315"/>
      <c r="AN54" s="2315"/>
      <c r="AO54" s="2315"/>
      <c r="AP54" s="2315"/>
      <c r="AQ54" s="10"/>
      <c r="AR54" s="10"/>
      <c r="AS54" s="10"/>
    </row>
    <row r="55" spans="14:45">
      <c r="N55" s="572"/>
      <c r="O55" s="2315"/>
      <c r="P55" s="2315"/>
      <c r="Q55" s="2315"/>
      <c r="R55" s="2315"/>
      <c r="S55" s="2315"/>
      <c r="T55" s="2315"/>
      <c r="U55" s="2315"/>
      <c r="V55" s="2315"/>
      <c r="W55" s="2315"/>
      <c r="X55" s="2315"/>
      <c r="Y55" s="2315"/>
      <c r="Z55" s="2315"/>
      <c r="AA55" s="2315"/>
      <c r="AB55" s="2315"/>
      <c r="AC55" s="2315"/>
      <c r="AD55" s="2315"/>
      <c r="AE55" s="2315"/>
      <c r="AF55" s="2315"/>
      <c r="AG55" s="2315"/>
      <c r="AH55" s="2315"/>
      <c r="AI55" s="2315"/>
      <c r="AJ55" s="2315"/>
      <c r="AK55" s="2315"/>
      <c r="AL55" s="2315"/>
      <c r="AM55" s="2315"/>
      <c r="AN55" s="2315"/>
      <c r="AO55" s="2315"/>
      <c r="AP55" s="2315"/>
      <c r="AQ55" s="10"/>
      <c r="AR55" s="10"/>
      <c r="AS55" s="10"/>
    </row>
    <row r="56" spans="14:45">
      <c r="N56" s="572"/>
      <c r="O56" s="2315"/>
      <c r="P56" s="2315"/>
      <c r="Q56" s="2315"/>
      <c r="R56" s="2315"/>
      <c r="S56" s="2315"/>
      <c r="T56" s="2315"/>
      <c r="U56" s="2315"/>
      <c r="V56" s="2315"/>
      <c r="W56" s="2315"/>
      <c r="X56" s="2315"/>
      <c r="Y56" s="2315"/>
      <c r="Z56" s="2315"/>
      <c r="AA56" s="2315"/>
      <c r="AB56" s="2315"/>
      <c r="AC56" s="2315"/>
      <c r="AD56" s="2315"/>
      <c r="AE56" s="2315"/>
      <c r="AF56" s="2315"/>
      <c r="AG56" s="2315"/>
      <c r="AH56" s="2315"/>
      <c r="AI56" s="2315"/>
      <c r="AJ56" s="2315"/>
      <c r="AK56" s="2315"/>
      <c r="AL56" s="2315"/>
      <c r="AM56" s="2315"/>
      <c r="AN56" s="2315"/>
      <c r="AO56" s="2315"/>
      <c r="AP56" s="2315"/>
      <c r="AQ56" s="10"/>
      <c r="AR56" s="10"/>
      <c r="AS56" s="10"/>
    </row>
    <row r="57" spans="14:45">
      <c r="N57" s="572"/>
      <c r="O57" s="2315"/>
      <c r="P57" s="2315"/>
      <c r="Q57" s="2315"/>
      <c r="R57" s="2315"/>
      <c r="S57" s="2315"/>
      <c r="T57" s="2315"/>
      <c r="U57" s="2315"/>
      <c r="V57" s="2315"/>
      <c r="W57" s="2315"/>
      <c r="X57" s="2315"/>
      <c r="Y57" s="2315"/>
      <c r="Z57" s="2315"/>
      <c r="AA57" s="2315"/>
      <c r="AB57" s="2315"/>
      <c r="AC57" s="2315"/>
      <c r="AD57" s="2315"/>
      <c r="AE57" s="2315"/>
      <c r="AF57" s="2315"/>
      <c r="AG57" s="2315"/>
      <c r="AH57" s="2315"/>
      <c r="AI57" s="2315"/>
      <c r="AJ57" s="2315"/>
      <c r="AK57" s="2315"/>
      <c r="AL57" s="2315"/>
      <c r="AM57" s="2315"/>
      <c r="AN57" s="2315"/>
      <c r="AO57" s="2315"/>
      <c r="AP57" s="2315"/>
      <c r="AQ57" s="10"/>
      <c r="AR57" s="10"/>
      <c r="AS57" s="10"/>
    </row>
    <row r="58" spans="14:45">
      <c r="N58" s="572"/>
      <c r="O58" s="2315"/>
      <c r="P58" s="2315"/>
      <c r="Q58" s="2315"/>
      <c r="R58" s="2315"/>
      <c r="S58" s="2315"/>
      <c r="T58" s="2315"/>
      <c r="U58" s="2315"/>
      <c r="V58" s="2315"/>
      <c r="W58" s="2315"/>
      <c r="X58" s="2315"/>
      <c r="Y58" s="2315"/>
      <c r="Z58" s="2315"/>
      <c r="AA58" s="2315"/>
      <c r="AB58" s="2315"/>
      <c r="AC58" s="2315"/>
      <c r="AD58" s="2315"/>
      <c r="AE58" s="2315"/>
      <c r="AF58" s="2315"/>
      <c r="AG58" s="2315"/>
      <c r="AH58" s="2315"/>
      <c r="AI58" s="2315"/>
      <c r="AJ58" s="2315"/>
      <c r="AK58" s="2315"/>
      <c r="AL58" s="2315"/>
      <c r="AM58" s="2315"/>
      <c r="AN58" s="2315"/>
      <c r="AO58" s="2315"/>
      <c r="AP58" s="2315"/>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69"/>
      <c r="P86" s="3069"/>
      <c r="Q86" s="3069"/>
      <c r="R86" s="3069"/>
      <c r="S86" s="3069"/>
      <c r="T86" s="3069"/>
      <c r="U86" s="3069"/>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69"/>
      <c r="P88" s="3069"/>
      <c r="Q88" s="3069"/>
      <c r="R88" s="3069"/>
      <c r="S88" s="3069"/>
      <c r="T88" s="3069"/>
      <c r="U88" s="3069"/>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2" sqref="B2:F2"/>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27" t="s">
        <v>2453</v>
      </c>
      <c r="C2" s="3227"/>
      <c r="D2" s="3227"/>
      <c r="E2" s="3227"/>
      <c r="F2" s="3227"/>
      <c r="G2" s="3068" t="s">
        <v>3450</v>
      </c>
      <c r="H2" s="3068"/>
      <c r="I2" s="1607"/>
      <c r="J2" s="1607"/>
      <c r="M2" s="1464"/>
      <c r="AG2" s="325"/>
      <c r="AM2" s="328"/>
    </row>
    <row r="3" spans="1:41" ht="12.75" customHeight="1">
      <c r="A3" s="1607"/>
      <c r="B3" s="2902" t="str">
        <f>company</f>
        <v/>
      </c>
      <c r="C3" s="1607"/>
      <c r="D3" s="1607"/>
      <c r="E3" s="1607"/>
      <c r="F3" s="1607"/>
      <c r="G3" s="1607"/>
      <c r="H3" s="2893" t="str">
        <f>Utility_Copyrite</f>
        <v>Copyright © 2012 Potomac Electric Power Company</v>
      </c>
      <c r="I3" s="1607"/>
      <c r="J3" s="1607"/>
      <c r="U3" s="3218" t="s">
        <v>2164</v>
      </c>
      <c r="V3" s="3220" t="s">
        <v>2391</v>
      </c>
      <c r="W3" s="3222" t="s">
        <v>2392</v>
      </c>
      <c r="X3" s="3224" t="s">
        <v>2393</v>
      </c>
      <c r="Y3" s="556"/>
      <c r="Z3" s="3218" t="s">
        <v>2395</v>
      </c>
      <c r="AA3" s="3237" t="s">
        <v>2390</v>
      </c>
      <c r="AB3" s="3237"/>
      <c r="AC3" s="3229" t="s">
        <v>2466</v>
      </c>
      <c r="AD3" s="3229" t="s">
        <v>2467</v>
      </c>
      <c r="AE3" s="3229" t="s">
        <v>2498</v>
      </c>
      <c r="AG3" s="3226"/>
      <c r="AH3" s="3226"/>
      <c r="AI3" s="3228"/>
      <c r="AJ3" s="3229"/>
      <c r="AK3" s="3229"/>
      <c r="AL3" s="3229"/>
      <c r="AM3" s="3229"/>
      <c r="AN3" s="3229"/>
      <c r="AO3" s="3228"/>
    </row>
    <row r="4" spans="1:41" ht="12.75" customHeight="1">
      <c r="A4" s="1607"/>
      <c r="B4" s="1609"/>
      <c r="C4" s="1607"/>
      <c r="D4" s="1607"/>
      <c r="E4" s="1607"/>
      <c r="F4" s="1607"/>
      <c r="G4" s="1607"/>
      <c r="H4" s="2893" t="str">
        <f>Utility_Rights</f>
        <v>All Rights Reserved</v>
      </c>
      <c r="I4" s="1607"/>
      <c r="J4" s="1607"/>
      <c r="U4" s="3218"/>
      <c r="V4" s="3220"/>
      <c r="W4" s="3222"/>
      <c r="X4" s="3224"/>
      <c r="Y4" s="556"/>
      <c r="Z4" s="3218"/>
      <c r="AA4" s="2900"/>
      <c r="AB4" s="2901"/>
      <c r="AC4" s="3229"/>
      <c r="AD4" s="3229"/>
      <c r="AE4" s="3229"/>
      <c r="AG4" s="3226"/>
      <c r="AH4" s="3226"/>
      <c r="AI4" s="3228"/>
      <c r="AJ4" s="3229"/>
      <c r="AK4" s="3229"/>
      <c r="AL4" s="3229"/>
      <c r="AM4" s="3229"/>
      <c r="AN4" s="3229"/>
      <c r="AO4" s="3228"/>
    </row>
    <row r="5" spans="1:41" ht="72.75" customHeight="1" thickBot="1">
      <c r="A5" s="1607"/>
      <c r="B5" s="1608"/>
      <c r="C5" s="1607"/>
      <c r="D5" s="1607"/>
      <c r="E5" s="1607"/>
      <c r="F5" s="1607"/>
      <c r="G5" s="1607"/>
      <c r="H5" s="1607"/>
      <c r="I5" s="1607"/>
      <c r="J5" s="1607"/>
      <c r="L5" s="3215" t="s">
        <v>3830</v>
      </c>
      <c r="M5" s="3215"/>
      <c r="N5" s="3215"/>
      <c r="O5" s="3215"/>
      <c r="P5" s="2831" t="b">
        <v>0</v>
      </c>
      <c r="U5" s="3219"/>
      <c r="V5" s="3221"/>
      <c r="W5" s="3223"/>
      <c r="X5" s="3225"/>
      <c r="Y5" s="557" t="s">
        <v>2394</v>
      </c>
      <c r="Z5" s="3219"/>
      <c r="AA5" s="558" t="s">
        <v>2040</v>
      </c>
      <c r="AB5" s="559" t="s">
        <v>53</v>
      </c>
      <c r="AC5" s="3236"/>
      <c r="AD5" s="3235"/>
      <c r="AE5" s="3235"/>
      <c r="AG5" s="3226"/>
      <c r="AH5" s="3226"/>
      <c r="AI5" s="3228"/>
      <c r="AJ5" s="3229"/>
      <c r="AK5" s="3229"/>
      <c r="AL5" s="3229"/>
      <c r="AM5" s="3228"/>
      <c r="AN5" s="3229"/>
      <c r="AO5" s="3228"/>
    </row>
    <row r="6" spans="1:41" ht="15.75" customHeight="1" thickBot="1">
      <c r="A6" s="1607"/>
      <c r="B6" s="3217" t="s">
        <v>2391</v>
      </c>
      <c r="C6" s="3217"/>
      <c r="D6" s="3217"/>
      <c r="E6" s="3217"/>
      <c r="F6" s="3217"/>
      <c r="G6" s="3217"/>
      <c r="H6" s="3217"/>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16" t="s">
        <v>2455</v>
      </c>
      <c r="C7" s="3216"/>
      <c r="D7" s="3216"/>
      <c r="E7" s="3216"/>
      <c r="F7" s="3216"/>
      <c r="G7" s="3216"/>
      <c r="H7" s="3216"/>
      <c r="I7" s="1607"/>
      <c r="J7" s="1607"/>
      <c r="K7" s="2025"/>
      <c r="L7" s="3215" t="s">
        <v>3758</v>
      </c>
      <c r="M7" s="3215"/>
      <c r="N7" s="3215"/>
      <c r="O7" s="3215"/>
      <c r="P7" s="2025"/>
      <c r="Q7" s="2025"/>
      <c r="R7" s="2025"/>
      <c r="S7" s="2025"/>
      <c r="T7" s="2025"/>
      <c r="U7" s="2322" t="s">
        <v>2400</v>
      </c>
      <c r="V7" s="2323" t="s">
        <v>2401</v>
      </c>
      <c r="W7" s="2324" t="s">
        <v>2398</v>
      </c>
      <c r="X7" s="2325">
        <v>40</v>
      </c>
      <c r="Y7" s="2326" t="s">
        <v>2399</v>
      </c>
      <c r="Z7" s="2322">
        <v>10</v>
      </c>
      <c r="AA7" s="2327">
        <v>80</v>
      </c>
      <c r="AB7" s="2328" t="s">
        <v>2294</v>
      </c>
      <c r="AC7" s="2329">
        <v>404</v>
      </c>
      <c r="AD7" s="2330">
        <f t="shared" si="0"/>
        <v>100</v>
      </c>
      <c r="AE7" s="2331" t="s">
        <v>2499</v>
      </c>
      <c r="AF7" s="2025"/>
      <c r="AG7" s="2332"/>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3" t="s">
        <v>2502</v>
      </c>
      <c r="W8" s="2334" t="s">
        <v>2398</v>
      </c>
      <c r="X8" s="2335">
        <v>40</v>
      </c>
      <c r="Y8" s="2336" t="s">
        <v>2399</v>
      </c>
      <c r="Z8" s="1285">
        <v>10</v>
      </c>
      <c r="AA8" s="2337">
        <v>80</v>
      </c>
      <c r="AB8" s="2338" t="s">
        <v>2294</v>
      </c>
      <c r="AC8" s="2339">
        <v>373</v>
      </c>
      <c r="AD8" s="2330">
        <f t="shared" si="0"/>
        <v>100</v>
      </c>
      <c r="AE8" s="2340" t="s">
        <v>2501</v>
      </c>
      <c r="AF8" s="2025"/>
      <c r="AG8" s="2332"/>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09" t="str">
        <f>IF($P$5=TRUE,"Trade Ally Proposed Cost", "Utility Estimated Cost")</f>
        <v>Utility Estimated Cost</v>
      </c>
      <c r="H9" s="2751" t="str">
        <f>Utility_Name_Cap&amp;" Incentive"</f>
        <v>PEPCO Incentive</v>
      </c>
      <c r="I9" s="1607"/>
      <c r="J9" s="2805" t="str">
        <f>IF($P$5=TRUE,"Trade Ally Costs","")</f>
        <v/>
      </c>
      <c r="K9" s="2025"/>
      <c r="L9" s="2341" t="s">
        <v>2663</v>
      </c>
      <c r="M9" s="2341" t="s">
        <v>3750</v>
      </c>
      <c r="N9" s="2341" t="s">
        <v>332</v>
      </c>
      <c r="O9" s="2342" t="s">
        <v>2471</v>
      </c>
      <c r="P9" s="40" t="s">
        <v>2472</v>
      </c>
      <c r="Q9" s="40" t="s">
        <v>2301</v>
      </c>
      <c r="R9" s="2059" t="s">
        <v>2040</v>
      </c>
      <c r="S9" s="2025"/>
      <c r="T9" s="2025"/>
      <c r="U9" s="1285" t="s">
        <v>2402</v>
      </c>
      <c r="V9" s="2333" t="s">
        <v>2503</v>
      </c>
      <c r="W9" s="2334" t="s">
        <v>2398</v>
      </c>
      <c r="X9" s="2335">
        <v>40</v>
      </c>
      <c r="Y9" s="2336" t="s">
        <v>2399</v>
      </c>
      <c r="Z9" s="1285">
        <v>10</v>
      </c>
      <c r="AA9" s="2337">
        <v>80</v>
      </c>
      <c r="AB9" s="2338" t="s">
        <v>2294</v>
      </c>
      <c r="AC9" s="2339">
        <v>373</v>
      </c>
      <c r="AD9" s="2330">
        <f t="shared" si="0"/>
        <v>100</v>
      </c>
      <c r="AE9" s="2340" t="s">
        <v>2500</v>
      </c>
      <c r="AF9" s="2025"/>
      <c r="AG9" s="2971"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0"/>
      <c r="K10" s="2806" t="str">
        <f t="shared" ref="K10:K16" si="8">IF(D10="","",IF($P$5=TRUE,"*",""))</f>
        <v/>
      </c>
      <c r="L10" s="2343" t="str">
        <f>IF([1]Refrigerators!$I$1="", "", [1]Refrigerators!$I$1)</f>
        <v/>
      </c>
      <c r="M10" s="2343"/>
      <c r="N10" s="2343" t="str">
        <f>IF([1]Refrigerators!$J$1="", "", [1]Refrigerators!$J$1)</f>
        <v/>
      </c>
      <c r="O10" s="2344" t="str">
        <f t="shared" ref="O10:O16" si="9">IF(M10="","",N10*(VLOOKUP(M10,refincent,8,FALSE)))</f>
        <v/>
      </c>
      <c r="P10" s="2345">
        <f>IF(M10="",0,O10*'R3 Hist'!$R$27)</f>
        <v>0</v>
      </c>
      <c r="Q10" s="2346">
        <f t="shared" ref="Q10:Q16" si="10">IF(M10="",0,N10*(VLOOKUP(M10,refincent,9,FALSE)))</f>
        <v>0</v>
      </c>
      <c r="R10" s="2346">
        <f t="shared" ref="R10:R16" si="11">IF(M10="",0,N10*(VLOOKUP(M10,refincent,6,FALSE)))</f>
        <v>0</v>
      </c>
      <c r="S10" s="2025"/>
      <c r="T10" s="2025"/>
      <c r="U10" s="2322" t="s">
        <v>2403</v>
      </c>
      <c r="V10" s="2323" t="s">
        <v>2504</v>
      </c>
      <c r="W10" s="2324" t="s">
        <v>2398</v>
      </c>
      <c r="X10" s="2325">
        <v>50</v>
      </c>
      <c r="Y10" s="2326" t="s">
        <v>2399</v>
      </c>
      <c r="Z10" s="2322">
        <v>10</v>
      </c>
      <c r="AA10" s="2327">
        <v>80</v>
      </c>
      <c r="AB10" s="2328" t="s">
        <v>2294</v>
      </c>
      <c r="AC10" s="2339">
        <v>560</v>
      </c>
      <c r="AD10" s="2330">
        <f t="shared" si="0"/>
        <v>100</v>
      </c>
      <c r="AE10" s="2331" t="s">
        <v>2501</v>
      </c>
      <c r="AF10" s="2025"/>
      <c r="AG10" s="2343" t="str">
        <f>IF([1]Refrigerators!$K$1="", "", [1]Refrigerators!$K$1)</f>
        <v/>
      </c>
      <c r="AH10" s="2343"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0"/>
      <c r="K11" s="2806" t="str">
        <f t="shared" si="8"/>
        <v/>
      </c>
      <c r="L11" s="2343" t="str">
        <f>IF([1]Refrigerators!$I$2="", "", [1]Refrigerators!$I$2)</f>
        <v/>
      </c>
      <c r="M11" s="2343"/>
      <c r="N11" s="2343" t="str">
        <f>IF([1]Refrigerators!$J$2="", "", [1]Refrigerators!$J$2)</f>
        <v/>
      </c>
      <c r="O11" s="2344" t="str">
        <f t="shared" si="9"/>
        <v/>
      </c>
      <c r="P11" s="2345">
        <f>IF(M11="",0,O11*'R3 Hist'!$R$27)</f>
        <v>0</v>
      </c>
      <c r="Q11" s="2346">
        <f t="shared" si="10"/>
        <v>0</v>
      </c>
      <c r="R11" s="2346">
        <f t="shared" si="11"/>
        <v>0</v>
      </c>
      <c r="S11" s="2025"/>
      <c r="T11" s="2025"/>
      <c r="U11" s="2322" t="s">
        <v>2403</v>
      </c>
      <c r="V11" s="2323" t="s">
        <v>2505</v>
      </c>
      <c r="W11" s="2324" t="s">
        <v>2398</v>
      </c>
      <c r="X11" s="2325">
        <v>50</v>
      </c>
      <c r="Y11" s="2326" t="s">
        <v>2399</v>
      </c>
      <c r="Z11" s="2322">
        <v>10</v>
      </c>
      <c r="AA11" s="2327">
        <v>80</v>
      </c>
      <c r="AB11" s="2328" t="s">
        <v>2294</v>
      </c>
      <c r="AC11" s="2339">
        <v>560</v>
      </c>
      <c r="AD11" s="2330">
        <f t="shared" si="0"/>
        <v>100</v>
      </c>
      <c r="AE11" s="2331" t="s">
        <v>2500</v>
      </c>
      <c r="AF11" s="2025"/>
      <c r="AG11" s="2343" t="str">
        <f>IF([1]Refrigerators!$K$2="", "", [1]Refrigerators!$K$2)</f>
        <v/>
      </c>
      <c r="AH11" s="2343"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0"/>
      <c r="K12" s="2806" t="str">
        <f t="shared" si="8"/>
        <v/>
      </c>
      <c r="L12" s="2343" t="str">
        <f>IF([1]Refrigerators!$I$3="", "", [1]Refrigerators!$I$3)</f>
        <v/>
      </c>
      <c r="M12" s="2343"/>
      <c r="N12" s="2343" t="str">
        <f>IF([1]Refrigerators!$J$3="", "", [1]Refrigerators!$J$3)</f>
        <v/>
      </c>
      <c r="O12" s="2344" t="str">
        <f t="shared" si="9"/>
        <v/>
      </c>
      <c r="P12" s="2345">
        <f>IF(M12="",0,O12*'R3 Hist'!$R$27)</f>
        <v>0</v>
      </c>
      <c r="Q12" s="2346">
        <f t="shared" si="10"/>
        <v>0</v>
      </c>
      <c r="R12" s="2346">
        <f t="shared" si="11"/>
        <v>0</v>
      </c>
      <c r="S12" s="2025"/>
      <c r="T12" s="2025"/>
      <c r="U12" s="1428" t="s">
        <v>2404</v>
      </c>
      <c r="V12" s="2333" t="s">
        <v>3840</v>
      </c>
      <c r="W12" s="2334" t="s">
        <v>2398</v>
      </c>
      <c r="X12" s="2347">
        <v>3</v>
      </c>
      <c r="Y12" s="2336" t="s">
        <v>3839</v>
      </c>
      <c r="Z12" s="1285">
        <v>5</v>
      </c>
      <c r="AA12" s="2337">
        <v>10</v>
      </c>
      <c r="AB12" s="2336" t="s">
        <v>3839</v>
      </c>
      <c r="AC12" s="2348">
        <f>111.33333333333</f>
        <v>111.33333333333</v>
      </c>
      <c r="AD12" s="2330">
        <f t="shared" si="0"/>
        <v>12.5</v>
      </c>
      <c r="AE12" s="2340" t="s">
        <v>3842</v>
      </c>
      <c r="AF12" s="2025"/>
      <c r="AG12" s="2343" t="str">
        <f>IF([1]Refrigerators!$K$3="", "", [1]Refrigerators!$K$3)</f>
        <v/>
      </c>
      <c r="AH12" s="2343"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0"/>
      <c r="K13" s="2806" t="str">
        <f t="shared" si="8"/>
        <v/>
      </c>
      <c r="L13" s="2343" t="str">
        <f>IF([1]Refrigerators!$I$4="", "", [1]Refrigerators!$I$4)</f>
        <v/>
      </c>
      <c r="M13" s="2343"/>
      <c r="N13" s="2343" t="str">
        <f>IF([1]Refrigerators!$J$4="", "", [1]Refrigerators!$J$4)</f>
        <v/>
      </c>
      <c r="O13" s="2344" t="str">
        <f t="shared" si="9"/>
        <v/>
      </c>
      <c r="P13" s="2345">
        <f>IF(M13="",0,O13*'R3 Hist'!$R$27)</f>
        <v>0</v>
      </c>
      <c r="Q13" s="2346">
        <f t="shared" si="10"/>
        <v>0</v>
      </c>
      <c r="R13" s="2346">
        <f t="shared" si="11"/>
        <v>0</v>
      </c>
      <c r="S13" s="2025"/>
      <c r="T13" s="2025"/>
      <c r="U13" s="2322" t="s">
        <v>2405</v>
      </c>
      <c r="V13" s="2323" t="s">
        <v>3841</v>
      </c>
      <c r="W13" s="2324" t="s">
        <v>2398</v>
      </c>
      <c r="X13" s="2349">
        <v>3</v>
      </c>
      <c r="Y13" s="2336" t="s">
        <v>3839</v>
      </c>
      <c r="Z13" s="2322">
        <v>5</v>
      </c>
      <c r="AA13" s="2327">
        <v>10</v>
      </c>
      <c r="AB13" s="2336" t="s">
        <v>3839</v>
      </c>
      <c r="AC13" s="2329">
        <f>295.125</f>
        <v>295.125</v>
      </c>
      <c r="AD13" s="2330">
        <f t="shared" si="0"/>
        <v>12.5</v>
      </c>
      <c r="AE13" s="2340" t="s">
        <v>3842</v>
      </c>
      <c r="AF13" s="2025"/>
      <c r="AG13" s="2343" t="str">
        <f>IF([1]Refrigerators!$K$4="", "", [1]Refrigerators!$K$4)</f>
        <v/>
      </c>
      <c r="AH13" s="2343" t="str">
        <f>IF([1]Refrigerators!$L$4="", "", [1]Refrigerators!$L$4)</f>
        <v/>
      </c>
      <c r="AJ13" s="3229"/>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0"/>
      <c r="K14" s="2806" t="str">
        <f t="shared" ref="K14" si="19">IF(D14="","",IF($P$5=TRUE,"*",""))</f>
        <v/>
      </c>
      <c r="L14" s="2343" t="str">
        <f>IF('[1]Walk Ins and Ice Makers'!$K$1="", "", '[1]Walk Ins and Ice Makers'!$K$1)</f>
        <v/>
      </c>
      <c r="M14" s="2343"/>
      <c r="N14" s="2343" t="str">
        <f>IF('[1]Walk Ins and Ice Makers'!$L$1="", "", '[1]Walk Ins and Ice Makers'!$L$1)</f>
        <v/>
      </c>
      <c r="O14" s="2344" t="str">
        <f t="shared" ref="O14" si="20">IF(M14="","",N14*(VLOOKUP(M14,refincent,8,FALSE)))</f>
        <v/>
      </c>
      <c r="P14" s="2345">
        <f>IF(M14="",0,O14*'R3 Hist'!$R$27)</f>
        <v>0</v>
      </c>
      <c r="Q14" s="2346">
        <f t="shared" ref="Q14" si="21">IF(M14="",0,N14*(VLOOKUP(M14,refincent,9,FALSE)))</f>
        <v>0</v>
      </c>
      <c r="R14" s="2346">
        <f t="shared" ref="R14" si="22">IF(M14="",0,N14*(VLOOKUP(M14,refincent,6,FALSE)))</f>
        <v>0</v>
      </c>
      <c r="S14" s="2025"/>
      <c r="T14" s="2025"/>
      <c r="U14" s="2322" t="s">
        <v>3886</v>
      </c>
      <c r="V14" s="2323" t="s">
        <v>3841</v>
      </c>
      <c r="W14" s="2324" t="s">
        <v>2398</v>
      </c>
      <c r="X14" s="2349">
        <v>4</v>
      </c>
      <c r="Y14" s="2336" t="s">
        <v>3887</v>
      </c>
      <c r="Z14" s="2322">
        <v>5</v>
      </c>
      <c r="AA14" s="2327">
        <v>10</v>
      </c>
      <c r="AB14" s="2336" t="s">
        <v>3887</v>
      </c>
      <c r="AC14" s="2329">
        <f>295.125</f>
        <v>295.125</v>
      </c>
      <c r="AD14" s="2330">
        <f t="shared" ref="AD14" si="23">AA14/0.8</f>
        <v>12.5</v>
      </c>
      <c r="AE14" s="2340" t="s">
        <v>3888</v>
      </c>
      <c r="AF14" s="2025"/>
      <c r="AG14" s="2343" t="str">
        <f>IF('[1]Walk Ins and Ice Makers'!$M$1="", "", '[1]Walk Ins and Ice Makers'!$M$1)</f>
        <v/>
      </c>
      <c r="AH14" s="2343" t="str">
        <f>IF('[1]Walk Ins and Ice Makers'!$N$1="", "", '[1]Walk Ins and Ice Makers'!$N$1)</f>
        <v/>
      </c>
      <c r="AJ14" s="3229"/>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0"/>
      <c r="K15" s="2806" t="str">
        <f t="shared" si="8"/>
        <v/>
      </c>
      <c r="L15" s="2343" t="str">
        <f>IF('[1]Walk Ins and Ice Makers'!$K$2="", "", '[1]Walk Ins and Ice Makers'!$K$2)</f>
        <v/>
      </c>
      <c r="M15" s="2343"/>
      <c r="N15" s="2343" t="str">
        <f>IF('[1]Walk Ins and Ice Makers'!$L$2="", "", '[1]Walk Ins and Ice Makers'!$L$2)</f>
        <v/>
      </c>
      <c r="O15" s="2344" t="str">
        <f t="shared" si="9"/>
        <v/>
      </c>
      <c r="P15" s="2345">
        <f>IF(M15="",0,O15*'R3 Hist'!$R$27)</f>
        <v>0</v>
      </c>
      <c r="Q15" s="2346">
        <f t="shared" si="10"/>
        <v>0</v>
      </c>
      <c r="R15" s="2346">
        <f t="shared" si="11"/>
        <v>0</v>
      </c>
      <c r="S15" s="2025"/>
      <c r="T15" s="2025"/>
      <c r="U15" s="2322" t="s">
        <v>2405</v>
      </c>
      <c r="V15" s="2323" t="s">
        <v>3841</v>
      </c>
      <c r="W15" s="2324" t="s">
        <v>2398</v>
      </c>
      <c r="X15" s="2349">
        <v>3</v>
      </c>
      <c r="Y15" s="2336" t="s">
        <v>3839</v>
      </c>
      <c r="Z15" s="2322">
        <v>5</v>
      </c>
      <c r="AA15" s="2327">
        <v>10</v>
      </c>
      <c r="AB15" s="2336" t="s">
        <v>3839</v>
      </c>
      <c r="AC15" s="2329">
        <f>295.125</f>
        <v>295.125</v>
      </c>
      <c r="AD15" s="2330">
        <f t="shared" ref="AD15:AD16" si="24">AA15/0.8</f>
        <v>12.5</v>
      </c>
      <c r="AE15" s="2340" t="s">
        <v>3842</v>
      </c>
      <c r="AF15" s="2025"/>
      <c r="AG15" s="2343" t="str">
        <f>IF('[1]Walk Ins and Ice Makers'!$M$2="", "", '[1]Walk Ins and Ice Makers'!$M$2)</f>
        <v/>
      </c>
      <c r="AH15" s="2343" t="str">
        <f>IF('[1]Walk Ins and Ice Makers'!$N$2="", "", '[1]Walk Ins and Ice Makers'!$N$2)</f>
        <v/>
      </c>
      <c r="AJ15" s="3229"/>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0"/>
      <c r="K16" s="2806" t="str">
        <f t="shared" si="8"/>
        <v/>
      </c>
      <c r="L16" s="2343" t="str">
        <f>IF('[1]Walk Ins and Ice Makers'!$K$3="", "", '[1]Walk Ins and Ice Makers'!$K$3)</f>
        <v/>
      </c>
      <c r="M16" s="2343"/>
      <c r="N16" s="2343" t="str">
        <f>IF('[1]Walk Ins and Ice Makers'!$L$3="", "", '[1]Walk Ins and Ice Makers'!$L$3)</f>
        <v/>
      </c>
      <c r="O16" s="2344" t="str">
        <f t="shared" si="9"/>
        <v/>
      </c>
      <c r="P16" s="2345">
        <f>IF(M16="",0,O16*'R3 Hist'!$R$27)</f>
        <v>0</v>
      </c>
      <c r="Q16" s="2346">
        <f t="shared" si="10"/>
        <v>0</v>
      </c>
      <c r="R16" s="2346">
        <f t="shared" si="11"/>
        <v>0</v>
      </c>
      <c r="S16" s="2025"/>
      <c r="T16" s="2025"/>
      <c r="U16" s="2322" t="s">
        <v>2405</v>
      </c>
      <c r="V16" s="2323" t="s">
        <v>3841</v>
      </c>
      <c r="W16" s="2324" t="s">
        <v>2398</v>
      </c>
      <c r="X16" s="2349">
        <v>3</v>
      </c>
      <c r="Y16" s="2336" t="s">
        <v>3839</v>
      </c>
      <c r="Z16" s="2322">
        <v>5</v>
      </c>
      <c r="AA16" s="2327">
        <v>10</v>
      </c>
      <c r="AB16" s="2336" t="s">
        <v>3839</v>
      </c>
      <c r="AC16" s="2329">
        <f>295.125</f>
        <v>295.125</v>
      </c>
      <c r="AD16" s="2330">
        <f t="shared" si="24"/>
        <v>12.5</v>
      </c>
      <c r="AE16" s="2340" t="s">
        <v>3842</v>
      </c>
      <c r="AF16" s="2025"/>
      <c r="AG16" s="2343" t="str">
        <f>IF('[1]Walk Ins and Ice Makers'!$M$3="", "", '[1]Walk Ins and Ice Makers'!$M$3)</f>
        <v/>
      </c>
      <c r="AH16" s="2343" t="str">
        <f>IF('[1]Walk Ins and Ice Makers'!$N$3="", "", '[1]Walk Ins and Ice Makers'!$N$3)</f>
        <v/>
      </c>
      <c r="AJ16" s="3229"/>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0">
        <f t="shared" ref="N17:R17" si="25">SUM(N10:N16)</f>
        <v>0</v>
      </c>
      <c r="O17" s="2351">
        <f t="shared" si="25"/>
        <v>0</v>
      </c>
      <c r="P17" s="2352">
        <f t="shared" si="25"/>
        <v>0</v>
      </c>
      <c r="Q17" s="2352">
        <f t="shared" si="25"/>
        <v>0</v>
      </c>
      <c r="R17" s="2352">
        <f t="shared" si="25"/>
        <v>0</v>
      </c>
      <c r="S17" s="2025"/>
      <c r="T17" s="2025"/>
      <c r="U17" s="1285" t="s">
        <v>2407</v>
      </c>
      <c r="V17" s="2333" t="s">
        <v>2408</v>
      </c>
      <c r="W17" s="2334" t="s">
        <v>2398</v>
      </c>
      <c r="X17" s="2347">
        <v>50</v>
      </c>
      <c r="Y17" s="2336" t="s">
        <v>2406</v>
      </c>
      <c r="Z17" s="1285">
        <v>15</v>
      </c>
      <c r="AA17" s="2337">
        <v>100</v>
      </c>
      <c r="AB17" s="2338" t="s">
        <v>2468</v>
      </c>
      <c r="AC17" s="2348">
        <v>571.79999999999995</v>
      </c>
      <c r="AD17" s="2330">
        <f t="shared" si="0"/>
        <v>125</v>
      </c>
      <c r="AE17" s="2340"/>
      <c r="AF17" s="2025"/>
      <c r="AG17" s="2025"/>
    </row>
    <row r="18" spans="1:33" ht="12.75" customHeight="1" thickBot="1">
      <c r="A18" s="1607"/>
      <c r="B18" s="1629"/>
      <c r="C18" s="1630"/>
      <c r="D18" s="1630"/>
      <c r="E18" s="1630"/>
      <c r="F18" s="1630"/>
      <c r="G18" s="1630"/>
      <c r="H18" s="1630"/>
      <c r="I18" s="1607"/>
      <c r="J18" s="1607"/>
      <c r="K18" s="2025"/>
      <c r="L18" s="3140" t="s">
        <v>3825</v>
      </c>
      <c r="M18" s="3140"/>
      <c r="N18" s="3140"/>
      <c r="O18" s="2025"/>
      <c r="P18" s="2025"/>
      <c r="Q18" s="2025"/>
      <c r="R18" s="2025"/>
      <c r="S18" s="2025"/>
      <c r="T18" s="2025"/>
      <c r="U18" s="1285" t="s">
        <v>2409</v>
      </c>
      <c r="V18" s="2333" t="s">
        <v>2410</v>
      </c>
      <c r="W18" s="2334" t="s">
        <v>2398</v>
      </c>
      <c r="X18" s="2347">
        <v>50</v>
      </c>
      <c r="Y18" s="2336" t="s">
        <v>2406</v>
      </c>
      <c r="Z18" s="1285">
        <v>15</v>
      </c>
      <c r="AA18" s="2337">
        <v>100</v>
      </c>
      <c r="AB18" s="2338" t="s">
        <v>2468</v>
      </c>
      <c r="AC18" s="2348">
        <v>336.9</v>
      </c>
      <c r="AD18" s="2330">
        <f t="shared" si="0"/>
        <v>125</v>
      </c>
      <c r="AE18" s="2340"/>
      <c r="AF18" s="2025"/>
      <c r="AG18" s="2025"/>
    </row>
    <row r="19" spans="1:33" ht="15.75" customHeight="1" thickBot="1">
      <c r="A19" s="1607"/>
      <c r="B19" s="3217" t="s">
        <v>2456</v>
      </c>
      <c r="C19" s="3217"/>
      <c r="D19" s="3217"/>
      <c r="E19" s="3217"/>
      <c r="F19" s="3217"/>
      <c r="G19" s="3217"/>
      <c r="H19" s="3217"/>
      <c r="I19" s="1607"/>
      <c r="J19" s="1607"/>
      <c r="K19" s="2025"/>
      <c r="L19" s="3140"/>
      <c r="M19" s="3140"/>
      <c r="N19" s="3140"/>
      <c r="O19" s="2025"/>
      <c r="P19" s="2025"/>
      <c r="Q19" s="2025"/>
      <c r="R19" s="2025"/>
      <c r="S19" s="2025"/>
      <c r="T19" s="2025"/>
      <c r="U19" s="1285" t="s">
        <v>2411</v>
      </c>
      <c r="V19" s="2333" t="s">
        <v>2412</v>
      </c>
      <c r="W19" s="2334" t="s">
        <v>2398</v>
      </c>
      <c r="X19" s="2335">
        <v>50</v>
      </c>
      <c r="Y19" s="2336" t="s">
        <v>2406</v>
      </c>
      <c r="Z19" s="1285">
        <v>15</v>
      </c>
      <c r="AA19" s="2337">
        <v>100</v>
      </c>
      <c r="AB19" s="2338" t="s">
        <v>2468</v>
      </c>
      <c r="AC19" s="2348">
        <v>431.7</v>
      </c>
      <c r="AD19" s="2330">
        <f t="shared" si="0"/>
        <v>125</v>
      </c>
      <c r="AE19" s="2340"/>
      <c r="AF19" s="2025"/>
      <c r="AG19" s="2025"/>
    </row>
    <row r="20" spans="1:33" ht="81" customHeight="1">
      <c r="A20" s="1607"/>
      <c r="B20" s="3216" t="s">
        <v>3731</v>
      </c>
      <c r="C20" s="3216"/>
      <c r="D20" s="3216"/>
      <c r="E20" s="3216"/>
      <c r="F20" s="3216"/>
      <c r="G20" s="3216"/>
      <c r="H20" s="3216"/>
      <c r="I20" s="1607"/>
      <c r="J20" s="1607"/>
      <c r="K20" s="2025"/>
      <c r="L20" s="3215" t="s">
        <v>3759</v>
      </c>
      <c r="M20" s="3215"/>
      <c r="N20" s="3215"/>
      <c r="O20" s="3215"/>
      <c r="P20" s="2025"/>
      <c r="Q20" s="2025"/>
      <c r="R20" s="2025"/>
      <c r="S20" s="2025"/>
      <c r="T20" s="2025"/>
      <c r="U20" s="2322" t="s">
        <v>2413</v>
      </c>
      <c r="V20" s="2323" t="s">
        <v>2414</v>
      </c>
      <c r="W20" s="2324" t="s">
        <v>2398</v>
      </c>
      <c r="X20" s="2325">
        <v>75</v>
      </c>
      <c r="Y20" s="2326" t="s">
        <v>2406</v>
      </c>
      <c r="Z20" s="2322">
        <v>10</v>
      </c>
      <c r="AA20" s="2327">
        <v>150</v>
      </c>
      <c r="AB20" s="2328" t="s">
        <v>2468</v>
      </c>
      <c r="AC20" s="2353">
        <f>AA19/0.3</f>
        <v>333.33333333333337</v>
      </c>
      <c r="AD20" s="2330">
        <f t="shared" si="0"/>
        <v>187.5</v>
      </c>
      <c r="AE20" s="2331"/>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3" t="s">
        <v>3688</v>
      </c>
      <c r="W21" s="2354" t="s">
        <v>2416</v>
      </c>
      <c r="X21" s="2355">
        <v>75</v>
      </c>
      <c r="Y21" s="2336" t="s">
        <v>2417</v>
      </c>
      <c r="Z21" s="2356">
        <v>12</v>
      </c>
      <c r="AA21" s="2337">
        <v>1000</v>
      </c>
      <c r="AB21" s="2357" t="s">
        <v>2469</v>
      </c>
      <c r="AC21" s="2348">
        <v>445</v>
      </c>
      <c r="AD21" s="2358">
        <f t="shared" ref="AD21:AD41" si="26">AA21/0.5</f>
        <v>2000</v>
      </c>
      <c r="AE21" s="2340"/>
      <c r="AF21" s="2025"/>
      <c r="AG21" s="2025"/>
    </row>
    <row r="22" spans="1:33" ht="40.5" customHeight="1" thickBot="1">
      <c r="A22" s="1607"/>
      <c r="B22" s="1611" t="s">
        <v>2454</v>
      </c>
      <c r="C22" s="1611" t="s">
        <v>598</v>
      </c>
      <c r="D22" s="1612" t="s">
        <v>3746</v>
      </c>
      <c r="E22" s="1612" t="s">
        <v>211</v>
      </c>
      <c r="F22" s="1612" t="s">
        <v>213</v>
      </c>
      <c r="G22" s="2809" t="str">
        <f>IF($P$5=TRUE,"Trade Ally Proposed Cost", "Utility Estimated Cost")</f>
        <v>Utility Estimated Cost</v>
      </c>
      <c r="H22" s="2751" t="str">
        <f>Utility_Name_Cap&amp;" Incentive"</f>
        <v>PEPCO Incentive</v>
      </c>
      <c r="I22" s="1607"/>
      <c r="J22" s="2805" t="str">
        <f>IF($P$5=TRUE,"Trade Ally Costs","")</f>
        <v/>
      </c>
      <c r="K22" s="2025"/>
      <c r="L22" s="2359" t="s">
        <v>3744</v>
      </c>
      <c r="M22" s="2359" t="s">
        <v>3743</v>
      </c>
      <c r="N22" s="2359" t="s">
        <v>3745</v>
      </c>
      <c r="O22" s="2360" t="s">
        <v>2471</v>
      </c>
      <c r="P22" s="2361" t="s">
        <v>2472</v>
      </c>
      <c r="Q22" s="2361" t="s">
        <v>2301</v>
      </c>
      <c r="R22" s="2362" t="s">
        <v>2040</v>
      </c>
      <c r="S22" s="2025"/>
      <c r="T22" s="2025"/>
      <c r="U22" s="1285" t="s">
        <v>2418</v>
      </c>
      <c r="V22" s="2333" t="s">
        <v>3689</v>
      </c>
      <c r="W22" s="2354" t="s">
        <v>2419</v>
      </c>
      <c r="X22" s="2355">
        <v>100</v>
      </c>
      <c r="Y22" s="2336" t="s">
        <v>2417</v>
      </c>
      <c r="Z22" s="2356">
        <v>12</v>
      </c>
      <c r="AA22" s="2337">
        <v>1350</v>
      </c>
      <c r="AB22" s="2357" t="s">
        <v>2469</v>
      </c>
      <c r="AC22" s="2348">
        <v>650</v>
      </c>
      <c r="AD22" s="2358">
        <f t="shared" si="26"/>
        <v>2700</v>
      </c>
      <c r="AE22" s="2340"/>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0"/>
      <c r="K23" s="2806" t="str">
        <f>IF(D23="","",IF($P$5=TRUE,"*",""))</f>
        <v/>
      </c>
      <c r="L23" s="2343" t="str">
        <f>IF('[1]Food Service'!$E$1="", "", '[1]Food Service'!$E$1)</f>
        <v/>
      </c>
      <c r="M23" s="2363" t="str">
        <f t="shared" ref="M23:M28" si="34">IF(L23="","",VLOOKUP(L23,kitchenret,3,FALSE))</f>
        <v/>
      </c>
      <c r="N23" s="2343" t="str">
        <f>IF('[1]Food Service'!$F$1="", "", '[1]Food Service'!$F$1)</f>
        <v/>
      </c>
      <c r="O23" s="2364" t="str">
        <f t="shared" ref="O23:O28" si="35">IF(M23="","",N23*(VLOOKUP(M23,kitchincent,8,FALSE)))</f>
        <v/>
      </c>
      <c r="P23" s="2365">
        <f>IF(M23="",0,O23*'R3 Hist'!$R$27)</f>
        <v>0</v>
      </c>
      <c r="Q23" s="2366">
        <f t="shared" ref="Q23:Q28" si="36">IF(M23="",0,N23*(VLOOKUP(M23,kitchincent,9,FALSE)))</f>
        <v>0</v>
      </c>
      <c r="R23" s="2366">
        <f t="shared" ref="R23:R28" si="37">IF(M23="",0,N23*(VLOOKUP(M23,kitchincent,6,FALSE)))</f>
        <v>0</v>
      </c>
      <c r="S23" s="2025"/>
      <c r="T23" s="2025"/>
      <c r="U23" s="1285" t="s">
        <v>2420</v>
      </c>
      <c r="V23" s="2333" t="s">
        <v>3690</v>
      </c>
      <c r="W23" s="2354" t="s">
        <v>2421</v>
      </c>
      <c r="X23" s="2355">
        <v>150</v>
      </c>
      <c r="Y23" s="2336" t="s">
        <v>2417</v>
      </c>
      <c r="Z23" s="2356">
        <v>12</v>
      </c>
      <c r="AA23" s="2337">
        <v>2000</v>
      </c>
      <c r="AB23" s="2357" t="s">
        <v>2469</v>
      </c>
      <c r="AC23" s="2348">
        <v>942</v>
      </c>
      <c r="AD23" s="2358">
        <f t="shared" si="26"/>
        <v>4000</v>
      </c>
      <c r="AE23" s="2340"/>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0"/>
      <c r="K24" s="2806" t="str">
        <f>IF(D24="","",IF($P$5=TRUE,"*",""))</f>
        <v/>
      </c>
      <c r="L24" s="2343" t="str">
        <f>IF('[1]Food Service'!$E$2="", "", '[1]Food Service'!$E$2)</f>
        <v/>
      </c>
      <c r="M24" s="2363" t="str">
        <f t="shared" si="34"/>
        <v/>
      </c>
      <c r="N24" s="2343" t="str">
        <f>IF('[1]Food Service'!$F$2="", "", '[1]Food Service'!$F$2)</f>
        <v/>
      </c>
      <c r="O24" s="2364" t="str">
        <f t="shared" si="35"/>
        <v/>
      </c>
      <c r="P24" s="2365">
        <f>IF(M24="",0,O24*'R3 Hist'!$R$27)</f>
        <v>0</v>
      </c>
      <c r="Q24" s="2366">
        <f t="shared" si="36"/>
        <v>0</v>
      </c>
      <c r="R24" s="2366">
        <f t="shared" si="37"/>
        <v>0</v>
      </c>
      <c r="S24" s="2025"/>
      <c r="T24" s="2025"/>
      <c r="U24" s="1285" t="s">
        <v>2422</v>
      </c>
      <c r="V24" s="2333" t="s">
        <v>3691</v>
      </c>
      <c r="W24" s="2354" t="s">
        <v>2423</v>
      </c>
      <c r="X24" s="2355">
        <v>225</v>
      </c>
      <c r="Y24" s="2336" t="s">
        <v>2417</v>
      </c>
      <c r="Z24" s="2356">
        <v>12</v>
      </c>
      <c r="AA24" s="2337">
        <v>3000</v>
      </c>
      <c r="AB24" s="2357" t="s">
        <v>2469</v>
      </c>
      <c r="AC24" s="2348">
        <v>1351</v>
      </c>
      <c r="AD24" s="2358">
        <f t="shared" si="26"/>
        <v>6000</v>
      </c>
      <c r="AE24" s="2340"/>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0"/>
      <c r="K25" s="2806" t="str">
        <f>IF(D25="","",IF($P$5=TRUE,"*",""))</f>
        <v/>
      </c>
      <c r="L25" s="2343" t="str">
        <f>IF('[1]Food Service'!$E$3="", "", '[1]Food Service'!$E$3)</f>
        <v/>
      </c>
      <c r="M25" s="2363" t="str">
        <f t="shared" si="34"/>
        <v/>
      </c>
      <c r="N25" s="2343" t="str">
        <f>IF('[1]Food Service'!$F$3="", "", '[1]Food Service'!$F$3)</f>
        <v/>
      </c>
      <c r="O25" s="2364" t="str">
        <f t="shared" si="35"/>
        <v/>
      </c>
      <c r="P25" s="2365">
        <f>IF(M25="",0,O25*'R3 Hist'!$R$27)</f>
        <v>0</v>
      </c>
      <c r="Q25" s="2366">
        <f t="shared" si="36"/>
        <v>0</v>
      </c>
      <c r="R25" s="2366">
        <f t="shared" si="37"/>
        <v>0</v>
      </c>
      <c r="S25" s="2025"/>
      <c r="T25" s="2025"/>
      <c r="U25" s="1285" t="s">
        <v>2424</v>
      </c>
      <c r="V25" s="2333" t="s">
        <v>3684</v>
      </c>
      <c r="W25" s="2354" t="s">
        <v>2416</v>
      </c>
      <c r="X25" s="2355">
        <v>100</v>
      </c>
      <c r="Y25" s="2336" t="s">
        <v>2417</v>
      </c>
      <c r="Z25" s="2356">
        <v>9</v>
      </c>
      <c r="AA25" s="2337">
        <v>1300</v>
      </c>
      <c r="AB25" s="2357" t="s">
        <v>2469</v>
      </c>
      <c r="AC25" s="2348">
        <v>588</v>
      </c>
      <c r="AD25" s="2358">
        <f t="shared" si="26"/>
        <v>2600</v>
      </c>
      <c r="AE25" s="2340"/>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0"/>
      <c r="K26" s="2806" t="str">
        <f>IF(D26="","",IF($P$5=TRUE,"*",""))</f>
        <v/>
      </c>
      <c r="L26" s="2343" t="str">
        <f>IF('[1]Food Service'!$E$4="", "", '[1]Food Service'!$E$4)</f>
        <v/>
      </c>
      <c r="M26" s="2363" t="str">
        <f t="shared" si="34"/>
        <v/>
      </c>
      <c r="N26" s="2343" t="str">
        <f>IF('[1]Food Service'!$F$4="", "", '[1]Food Service'!$F$4)</f>
        <v/>
      </c>
      <c r="O26" s="2364" t="str">
        <f t="shared" si="35"/>
        <v/>
      </c>
      <c r="P26" s="2365">
        <f>IF(M26="",0,O26*'R3 Hist'!$R$27)</f>
        <v>0</v>
      </c>
      <c r="Q26" s="2366">
        <f t="shared" si="36"/>
        <v>0</v>
      </c>
      <c r="R26" s="2366">
        <f t="shared" si="37"/>
        <v>0</v>
      </c>
      <c r="S26" s="2025"/>
      <c r="T26" s="2025"/>
      <c r="U26" s="1285" t="s">
        <v>2425</v>
      </c>
      <c r="V26" s="2333" t="s">
        <v>3685</v>
      </c>
      <c r="W26" s="2354" t="s">
        <v>2419</v>
      </c>
      <c r="X26" s="2355">
        <v>200</v>
      </c>
      <c r="Y26" s="2336" t="s">
        <v>2417</v>
      </c>
      <c r="Z26" s="2356">
        <v>9</v>
      </c>
      <c r="AA26" s="2337">
        <v>2000</v>
      </c>
      <c r="AB26" s="2357" t="s">
        <v>2469</v>
      </c>
      <c r="AC26" s="2348">
        <v>1209</v>
      </c>
      <c r="AD26" s="2358">
        <f t="shared" si="26"/>
        <v>4000</v>
      </c>
      <c r="AE26" s="2340"/>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0"/>
      <c r="K27" s="2806" t="str">
        <f>IF(D27="","",IF($P$5=TRUE,"*",""))</f>
        <v/>
      </c>
      <c r="L27" s="2343" t="str">
        <f>IF('[1]Food Service'!$E$5="", "", '[1]Food Service'!$E$5)</f>
        <v/>
      </c>
      <c r="M27" s="2363" t="str">
        <f t="shared" si="34"/>
        <v/>
      </c>
      <c r="N27" s="2343" t="str">
        <f>IF('[1]Food Service'!$F$5="", "", '[1]Food Service'!$F$5)</f>
        <v/>
      </c>
      <c r="O27" s="2364" t="str">
        <f t="shared" si="35"/>
        <v/>
      </c>
      <c r="P27" s="2365">
        <f>IF(M27="",0,O27*'R3 Hist'!$R$27)</f>
        <v>0</v>
      </c>
      <c r="Q27" s="2367">
        <f t="shared" si="36"/>
        <v>0</v>
      </c>
      <c r="R27" s="2367">
        <f t="shared" si="37"/>
        <v>0</v>
      </c>
      <c r="S27" s="2025"/>
      <c r="T27" s="2025"/>
      <c r="U27" s="1285" t="s">
        <v>2426</v>
      </c>
      <c r="V27" s="2333" t="s">
        <v>3686</v>
      </c>
      <c r="W27" s="2354" t="s">
        <v>2421</v>
      </c>
      <c r="X27" s="2355">
        <v>320</v>
      </c>
      <c r="Y27" s="2336" t="s">
        <v>2417</v>
      </c>
      <c r="Z27" s="2356">
        <v>9</v>
      </c>
      <c r="AA27" s="2337">
        <v>3000</v>
      </c>
      <c r="AB27" s="2357" t="s">
        <v>2469</v>
      </c>
      <c r="AC27" s="2348">
        <v>2077</v>
      </c>
      <c r="AD27" s="2358">
        <f t="shared" si="26"/>
        <v>6000</v>
      </c>
      <c r="AE27" s="2340"/>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19"/>
      <c r="K28" s="2025"/>
      <c r="L28" s="2343" t="str">
        <f>IF('[1]Food Service'!$E$6="", "", '[1]Food Service'!$E$6)</f>
        <v/>
      </c>
      <c r="M28" s="2363" t="str">
        <f t="shared" si="34"/>
        <v/>
      </c>
      <c r="N28" s="2343" t="str">
        <f>IF('[1]Food Service'!$F$6="", "", '[1]Food Service'!$F$6)</f>
        <v/>
      </c>
      <c r="O28" s="2364" t="str">
        <f t="shared" si="35"/>
        <v/>
      </c>
      <c r="P28" s="2368">
        <f>IF(M28="",0,O28*'R3 Hist'!$R$27)</f>
        <v>0</v>
      </c>
      <c r="Q28" s="2369">
        <f t="shared" si="36"/>
        <v>0</v>
      </c>
      <c r="R28" s="2369">
        <f t="shared" si="37"/>
        <v>0</v>
      </c>
      <c r="S28" s="2025"/>
      <c r="T28" s="2025"/>
      <c r="U28" s="2322" t="s">
        <v>2427</v>
      </c>
      <c r="V28" s="2323" t="s">
        <v>3687</v>
      </c>
      <c r="W28" s="2370" t="s">
        <v>2423</v>
      </c>
      <c r="X28" s="2371">
        <v>500</v>
      </c>
      <c r="Y28" s="2326" t="s">
        <v>2417</v>
      </c>
      <c r="Z28" s="2372">
        <v>9</v>
      </c>
      <c r="AA28" s="2327">
        <v>4000</v>
      </c>
      <c r="AB28" s="2373" t="s">
        <v>2469</v>
      </c>
      <c r="AC28" s="2329">
        <v>3303</v>
      </c>
      <c r="AD28" s="2358">
        <f t="shared" si="26"/>
        <v>8000</v>
      </c>
      <c r="AE28" s="2331"/>
      <c r="AF28" s="2025"/>
      <c r="AG28" s="2025"/>
    </row>
    <row r="29" spans="1:33" ht="26.1" customHeight="1">
      <c r="A29" s="1610"/>
      <c r="B29" s="2910" t="s">
        <v>158</v>
      </c>
      <c r="C29" s="2909">
        <f>SUM(C23:C28)</f>
        <v>0</v>
      </c>
      <c r="D29" s="2908"/>
      <c r="E29" s="2907">
        <f>SUM(E23:E28)</f>
        <v>0</v>
      </c>
      <c r="F29" s="2906">
        <f>SUM(F23:F28)</f>
        <v>0</v>
      </c>
      <c r="G29" s="2906">
        <f>SUM(G23:G28)</f>
        <v>0</v>
      </c>
      <c r="H29" s="2906">
        <f>SUM(H23:H28)</f>
        <v>0</v>
      </c>
      <c r="I29" s="1610"/>
      <c r="J29" s="1607"/>
      <c r="K29" s="2025"/>
      <c r="L29" s="2340"/>
      <c r="M29" s="2340"/>
      <c r="N29" s="2374">
        <f>SUM(N23:N28)</f>
        <v>0</v>
      </c>
      <c r="O29" s="2375">
        <f t="shared" ref="O29:R29" si="38">SUM(O23:O27)</f>
        <v>0</v>
      </c>
      <c r="P29" s="2376">
        <f t="shared" si="38"/>
        <v>0</v>
      </c>
      <c r="Q29" s="2377">
        <f t="shared" si="38"/>
        <v>0</v>
      </c>
      <c r="R29" s="2377">
        <f t="shared" si="38"/>
        <v>0</v>
      </c>
      <c r="S29" s="2025"/>
      <c r="T29" s="2025"/>
      <c r="U29" s="1285" t="s">
        <v>2428</v>
      </c>
      <c r="V29" s="2333" t="s">
        <v>3680</v>
      </c>
      <c r="W29" s="2354" t="s">
        <v>2416</v>
      </c>
      <c r="X29" s="2355">
        <v>75</v>
      </c>
      <c r="Y29" s="2336" t="s">
        <v>2417</v>
      </c>
      <c r="Z29" s="2356">
        <v>12</v>
      </c>
      <c r="AA29" s="2337">
        <v>1000</v>
      </c>
      <c r="AB29" s="2357" t="s">
        <v>2469</v>
      </c>
      <c r="AC29" s="2348">
        <v>471</v>
      </c>
      <c r="AD29" s="2358">
        <f t="shared" si="26"/>
        <v>2000</v>
      </c>
      <c r="AE29" s="2340"/>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3" t="s">
        <v>3681</v>
      </c>
      <c r="W30" s="2354" t="s">
        <v>2419</v>
      </c>
      <c r="X30" s="2355">
        <v>100</v>
      </c>
      <c r="Y30" s="2336" t="s">
        <v>2417</v>
      </c>
      <c r="Z30" s="2356">
        <v>12</v>
      </c>
      <c r="AA30" s="2337">
        <v>1350</v>
      </c>
      <c r="AB30" s="2357" t="s">
        <v>2469</v>
      </c>
      <c r="AC30" s="2348">
        <v>645</v>
      </c>
      <c r="AD30" s="2358">
        <f t="shared" si="26"/>
        <v>2700</v>
      </c>
      <c r="AE30" s="2340"/>
      <c r="AF30" s="2025"/>
      <c r="AG30" s="2025"/>
    </row>
    <row r="31" spans="1:33" ht="12.75" customHeight="1">
      <c r="B31" s="550"/>
      <c r="E31" s="550"/>
      <c r="K31" s="2025"/>
      <c r="L31" s="2025"/>
      <c r="M31" s="2025"/>
      <c r="N31" s="2025"/>
      <c r="O31" s="2025"/>
      <c r="P31" s="2025"/>
      <c r="Q31" s="2025"/>
      <c r="R31" s="2025"/>
      <c r="S31" s="2025"/>
      <c r="T31" s="2025"/>
      <c r="U31" s="1285" t="s">
        <v>2430</v>
      </c>
      <c r="V31" s="2333" t="s">
        <v>3682</v>
      </c>
      <c r="W31" s="2354" t="s">
        <v>2421</v>
      </c>
      <c r="X31" s="2355">
        <v>125</v>
      </c>
      <c r="Y31" s="2336" t="s">
        <v>2417</v>
      </c>
      <c r="Z31" s="2356">
        <v>12</v>
      </c>
      <c r="AA31" s="2337">
        <v>2000</v>
      </c>
      <c r="AB31" s="2357" t="s">
        <v>2469</v>
      </c>
      <c r="AC31" s="2348">
        <v>893</v>
      </c>
      <c r="AD31" s="2358">
        <f t="shared" si="26"/>
        <v>4000</v>
      </c>
      <c r="AE31" s="2340"/>
      <c r="AF31" s="2025"/>
      <c r="AG31" s="2025"/>
    </row>
    <row r="32" spans="1:33" ht="12.75" customHeight="1">
      <c r="B32" s="550"/>
      <c r="C32" s="548"/>
      <c r="D32" s="561"/>
      <c r="E32" s="561"/>
      <c r="F32" s="561"/>
      <c r="G32" s="561"/>
      <c r="K32" s="2025"/>
      <c r="O32" s="2820"/>
      <c r="P32" s="2820"/>
      <c r="Q32" s="2025"/>
      <c r="R32" s="2025"/>
      <c r="S32" s="2025"/>
      <c r="T32" s="2025"/>
      <c r="U32" s="2322" t="s">
        <v>2431</v>
      </c>
      <c r="V32" s="2323" t="s">
        <v>3683</v>
      </c>
      <c r="W32" s="2370" t="s">
        <v>2423</v>
      </c>
      <c r="X32" s="2371">
        <v>150</v>
      </c>
      <c r="Y32" s="2326" t="s">
        <v>2417</v>
      </c>
      <c r="Z32" s="2372">
        <v>12</v>
      </c>
      <c r="AA32" s="2327">
        <v>3000</v>
      </c>
      <c r="AB32" s="2373" t="s">
        <v>2469</v>
      </c>
      <c r="AC32" s="2329">
        <v>1240</v>
      </c>
      <c r="AD32" s="2358">
        <f t="shared" si="26"/>
        <v>6000</v>
      </c>
      <c r="AE32" s="2331"/>
      <c r="AF32" s="2025"/>
      <c r="AG32" s="2025"/>
    </row>
    <row r="33" spans="2:42" ht="12.75" customHeight="1">
      <c r="B33" s="550"/>
      <c r="E33" s="550"/>
      <c r="K33" s="2025"/>
      <c r="L33" s="2820"/>
      <c r="M33" s="2820"/>
      <c r="N33" s="2820"/>
      <c r="O33" s="2820"/>
      <c r="P33" s="2820"/>
      <c r="Q33" s="2025"/>
      <c r="R33" s="2025"/>
      <c r="S33" s="2025"/>
      <c r="T33" s="2025"/>
      <c r="U33" s="1285" t="s">
        <v>2432</v>
      </c>
      <c r="V33" s="2333" t="s">
        <v>3671</v>
      </c>
      <c r="W33" s="2354" t="s">
        <v>2433</v>
      </c>
      <c r="X33" s="2378">
        <v>50</v>
      </c>
      <c r="Y33" s="2336" t="s">
        <v>2417</v>
      </c>
      <c r="Z33" s="2356">
        <v>8</v>
      </c>
      <c r="AA33" s="2337">
        <v>700</v>
      </c>
      <c r="AB33" s="2357" t="s">
        <v>2469</v>
      </c>
      <c r="AC33" s="2353">
        <f>AC36*0.8</f>
        <v>472.40000000000003</v>
      </c>
      <c r="AD33" s="2358">
        <f t="shared" si="26"/>
        <v>1400</v>
      </c>
      <c r="AE33" s="2340"/>
      <c r="AF33" s="2025"/>
      <c r="AG33" s="2025"/>
    </row>
    <row r="34" spans="2:42" ht="12.75" customHeight="1">
      <c r="B34" s="550"/>
      <c r="C34" s="562"/>
      <c r="D34" s="563"/>
      <c r="E34" s="563"/>
      <c r="F34" s="563"/>
      <c r="G34" s="563"/>
      <c r="K34" s="2379"/>
      <c r="L34" s="2820"/>
      <c r="M34" s="2820"/>
      <c r="N34" s="2820"/>
      <c r="O34" s="2820"/>
      <c r="P34" s="2820"/>
      <c r="Q34" s="2379"/>
      <c r="R34" s="2379"/>
      <c r="S34" s="2379"/>
      <c r="T34" s="2379"/>
      <c r="U34" s="1285" t="s">
        <v>2434</v>
      </c>
      <c r="V34" s="2380" t="s">
        <v>3672</v>
      </c>
      <c r="W34" s="2381" t="s">
        <v>2435</v>
      </c>
      <c r="X34" s="2378">
        <v>100</v>
      </c>
      <c r="Y34" s="2336" t="s">
        <v>2417</v>
      </c>
      <c r="Z34" s="2356">
        <v>8</v>
      </c>
      <c r="AA34" s="2337">
        <v>1500</v>
      </c>
      <c r="AB34" s="2357" t="s">
        <v>2469</v>
      </c>
      <c r="AC34" s="2353">
        <f>AC37*0.8</f>
        <v>1010.4000000000001</v>
      </c>
      <c r="AD34" s="2358">
        <f t="shared" si="26"/>
        <v>3000</v>
      </c>
      <c r="AE34" s="2340"/>
      <c r="AF34" s="2025"/>
      <c r="AG34" s="2025"/>
    </row>
    <row r="35" spans="2:42" ht="15" customHeight="1">
      <c r="B35" s="550"/>
      <c r="E35" s="550"/>
      <c r="K35" s="2025"/>
      <c r="L35" s="2820"/>
      <c r="M35" s="2820"/>
      <c r="N35" s="2820"/>
      <c r="O35" s="2820"/>
      <c r="P35" s="2820"/>
      <c r="Q35" s="2025"/>
      <c r="R35" s="2025"/>
      <c r="S35" s="2025"/>
      <c r="T35" s="2025"/>
      <c r="U35" s="2322" t="s">
        <v>2436</v>
      </c>
      <c r="V35" s="2382" t="s">
        <v>3673</v>
      </c>
      <c r="W35" s="2383" t="s">
        <v>2437</v>
      </c>
      <c r="X35" s="2384">
        <v>150</v>
      </c>
      <c r="Y35" s="2326" t="s">
        <v>2417</v>
      </c>
      <c r="Z35" s="2372">
        <v>8</v>
      </c>
      <c r="AA35" s="2327">
        <v>2000</v>
      </c>
      <c r="AB35" s="2373" t="s">
        <v>2469</v>
      </c>
      <c r="AC35" s="2385">
        <f>AC38*0.8</f>
        <v>1511.2</v>
      </c>
      <c r="AD35" s="2358">
        <f t="shared" si="26"/>
        <v>4000</v>
      </c>
      <c r="AE35" s="2331"/>
      <c r="AF35" s="2025"/>
      <c r="AG35" s="2025"/>
    </row>
    <row r="36" spans="2:42" ht="15" customHeight="1">
      <c r="K36" s="2025"/>
      <c r="L36" s="2025"/>
      <c r="M36" s="2025"/>
      <c r="N36" s="2025"/>
      <c r="O36" s="2025"/>
      <c r="P36" s="2025"/>
      <c r="Q36" s="2025"/>
      <c r="R36" s="2025"/>
      <c r="S36" s="2025"/>
      <c r="T36" s="2025"/>
      <c r="U36" s="1285" t="s">
        <v>2438</v>
      </c>
      <c r="V36" s="2380" t="s">
        <v>3674</v>
      </c>
      <c r="W36" s="2381" t="s">
        <v>2433</v>
      </c>
      <c r="X36" s="2378">
        <v>75</v>
      </c>
      <c r="Y36" s="2336" t="s">
        <v>2417</v>
      </c>
      <c r="Z36" s="2356">
        <v>8</v>
      </c>
      <c r="AA36" s="2337">
        <v>800</v>
      </c>
      <c r="AB36" s="2357" t="s">
        <v>2469</v>
      </c>
      <c r="AC36" s="2348">
        <v>590.5</v>
      </c>
      <c r="AD36" s="2358">
        <f t="shared" si="26"/>
        <v>1600</v>
      </c>
      <c r="AE36" s="2340"/>
      <c r="AF36" s="2025"/>
      <c r="AG36" s="2025"/>
    </row>
    <row r="37" spans="2:42" ht="15" customHeight="1">
      <c r="B37" s="550"/>
      <c r="E37" s="550"/>
      <c r="K37" s="2025"/>
      <c r="L37" s="2025"/>
      <c r="M37" s="2025"/>
      <c r="N37" s="2025"/>
      <c r="O37" s="2025"/>
      <c r="P37" s="2025"/>
      <c r="Q37" s="2025"/>
      <c r="R37" s="2025"/>
      <c r="S37" s="2025"/>
      <c r="T37" s="2025"/>
      <c r="U37" s="1285" t="s">
        <v>2439</v>
      </c>
      <c r="V37" s="2380" t="s">
        <v>3675</v>
      </c>
      <c r="W37" s="2381" t="s">
        <v>2435</v>
      </c>
      <c r="X37" s="2378">
        <v>125</v>
      </c>
      <c r="Y37" s="2336" t="s">
        <v>2417</v>
      </c>
      <c r="Z37" s="2356">
        <v>8</v>
      </c>
      <c r="AA37" s="2337">
        <v>1600</v>
      </c>
      <c r="AB37" s="2357" t="s">
        <v>2469</v>
      </c>
      <c r="AC37" s="2348">
        <v>1263</v>
      </c>
      <c r="AD37" s="2358">
        <f t="shared" si="26"/>
        <v>3200</v>
      </c>
      <c r="AE37" s="2340"/>
      <c r="AF37" s="2025"/>
      <c r="AG37" s="2025"/>
    </row>
    <row r="38" spans="2:42" ht="15" customHeight="1">
      <c r="E38" s="550"/>
      <c r="K38" s="2025"/>
      <c r="L38" s="2025"/>
      <c r="M38" s="2025"/>
      <c r="N38" s="2025"/>
      <c r="O38" s="2025"/>
      <c r="P38" s="2025"/>
      <c r="Q38" s="2025"/>
      <c r="R38" s="2025"/>
      <c r="S38" s="2025"/>
      <c r="T38" s="2025"/>
      <c r="U38" s="2322" t="s">
        <v>2440</v>
      </c>
      <c r="V38" s="2382" t="s">
        <v>3676</v>
      </c>
      <c r="W38" s="2383" t="s">
        <v>2437</v>
      </c>
      <c r="X38" s="2384">
        <v>150</v>
      </c>
      <c r="Y38" s="2326" t="s">
        <v>2417</v>
      </c>
      <c r="Z38" s="2372">
        <v>8</v>
      </c>
      <c r="AA38" s="2327">
        <v>2200</v>
      </c>
      <c r="AB38" s="2373" t="s">
        <v>2469</v>
      </c>
      <c r="AC38" s="2329">
        <v>1889</v>
      </c>
      <c r="AD38" s="2358">
        <f t="shared" si="26"/>
        <v>4400</v>
      </c>
      <c r="AE38" s="2331"/>
      <c r="AF38" s="2025"/>
      <c r="AG38" s="2025"/>
    </row>
    <row r="39" spans="2:42" ht="15" customHeight="1">
      <c r="K39" s="2025"/>
      <c r="L39" s="2025"/>
      <c r="M39" s="2025"/>
      <c r="N39" s="2025"/>
      <c r="O39" s="2025"/>
      <c r="P39" s="2025"/>
      <c r="Q39" s="2025"/>
      <c r="R39" s="2025"/>
      <c r="S39" s="2025"/>
      <c r="T39" s="2025"/>
      <c r="U39" s="1285" t="s">
        <v>2441</v>
      </c>
      <c r="V39" s="2380" t="s">
        <v>3677</v>
      </c>
      <c r="W39" s="2381" t="s">
        <v>2433</v>
      </c>
      <c r="X39" s="2378">
        <v>100</v>
      </c>
      <c r="Y39" s="2336" t="s">
        <v>2417</v>
      </c>
      <c r="Z39" s="2356">
        <v>8</v>
      </c>
      <c r="AA39" s="2337">
        <v>1000</v>
      </c>
      <c r="AB39" s="2357" t="s">
        <v>2469</v>
      </c>
      <c r="AC39" s="2348">
        <f t="shared" ref="AC39:AC41" si="39">AC36</f>
        <v>590.5</v>
      </c>
      <c r="AD39" s="2358">
        <f t="shared" si="26"/>
        <v>2000</v>
      </c>
      <c r="AE39" s="2340"/>
      <c r="AF39" s="2025"/>
      <c r="AG39" s="2386" t="s">
        <v>2473</v>
      </c>
      <c r="AM39" s="328"/>
    </row>
    <row r="40" spans="2:42" ht="15" customHeight="1">
      <c r="K40" s="2025"/>
      <c r="L40" s="2025"/>
      <c r="M40" s="2025"/>
      <c r="N40" s="2025"/>
      <c r="O40" s="2025"/>
      <c r="P40" s="2025"/>
      <c r="Q40" s="2025"/>
      <c r="R40" s="2025"/>
      <c r="S40" s="2025"/>
      <c r="T40" s="2025"/>
      <c r="U40" s="1285" t="s">
        <v>2442</v>
      </c>
      <c r="V40" s="2380" t="s">
        <v>3678</v>
      </c>
      <c r="W40" s="2381" t="s">
        <v>2435</v>
      </c>
      <c r="X40" s="2378">
        <v>175</v>
      </c>
      <c r="Y40" s="2336" t="s">
        <v>2417</v>
      </c>
      <c r="Z40" s="2356">
        <v>8</v>
      </c>
      <c r="AA40" s="2337">
        <v>1800</v>
      </c>
      <c r="AB40" s="2357" t="s">
        <v>2469</v>
      </c>
      <c r="AC40" s="2348">
        <f t="shared" si="39"/>
        <v>1263</v>
      </c>
      <c r="AD40" s="2358">
        <f t="shared" si="26"/>
        <v>3600</v>
      </c>
      <c r="AE40" s="2340"/>
      <c r="AF40" s="2025"/>
      <c r="AG40" s="3238"/>
      <c r="AH40" s="3226"/>
      <c r="AI40" s="3228"/>
      <c r="AJ40" s="3229"/>
      <c r="AK40" s="3229"/>
      <c r="AL40" s="3229"/>
      <c r="AM40" s="3229"/>
      <c r="AN40" s="3229"/>
      <c r="AO40" s="3228"/>
      <c r="AP40" s="328"/>
    </row>
    <row r="41" spans="2:42" ht="15" customHeight="1">
      <c r="K41" s="2025"/>
      <c r="L41" s="2025"/>
      <c r="M41" s="2025"/>
      <c r="N41" s="2025"/>
      <c r="O41" s="2025"/>
      <c r="P41" s="2025"/>
      <c r="Q41" s="2025"/>
      <c r="R41" s="2025"/>
      <c r="S41" s="2025"/>
      <c r="T41" s="2025"/>
      <c r="U41" s="2322" t="s">
        <v>2443</v>
      </c>
      <c r="V41" s="2382" t="s">
        <v>3679</v>
      </c>
      <c r="W41" s="2383" t="s">
        <v>2437</v>
      </c>
      <c r="X41" s="2384">
        <v>250</v>
      </c>
      <c r="Y41" s="2326" t="s">
        <v>2417</v>
      </c>
      <c r="Z41" s="2372">
        <v>8</v>
      </c>
      <c r="AA41" s="2327">
        <v>2400</v>
      </c>
      <c r="AB41" s="2373" t="s">
        <v>2469</v>
      </c>
      <c r="AC41" s="2329">
        <f t="shared" si="39"/>
        <v>1889</v>
      </c>
      <c r="AD41" s="2358">
        <f t="shared" si="26"/>
        <v>4800</v>
      </c>
      <c r="AE41" s="2331"/>
      <c r="AF41" s="2025"/>
      <c r="AG41" s="3238"/>
      <c r="AH41" s="3226"/>
      <c r="AI41" s="3228"/>
      <c r="AJ41" s="3229"/>
      <c r="AK41" s="3229"/>
      <c r="AL41" s="3229"/>
      <c r="AM41" s="3228"/>
      <c r="AN41" s="3229"/>
      <c r="AO41" s="3228"/>
      <c r="AP41" s="328"/>
    </row>
    <row r="42" spans="2:42" ht="15" customHeight="1">
      <c r="B42" s="550"/>
      <c r="E42" s="550"/>
      <c r="K42" s="2025"/>
      <c r="L42" s="2025"/>
      <c r="M42" s="2025"/>
      <c r="N42" s="2025"/>
      <c r="O42" s="2025"/>
      <c r="P42" s="2025"/>
      <c r="Q42" s="2025"/>
      <c r="R42" s="2025"/>
      <c r="S42" s="2025"/>
      <c r="T42" s="2025"/>
      <c r="U42" s="3211" t="s">
        <v>2164</v>
      </c>
      <c r="V42" s="2387"/>
      <c r="W42" s="2388"/>
      <c r="X42" s="3213" t="s">
        <v>2393</v>
      </c>
      <c r="Y42" s="2389"/>
      <c r="Z42" s="3211" t="s">
        <v>2395</v>
      </c>
      <c r="AA42" s="3231" t="s">
        <v>2390</v>
      </c>
      <c r="AB42" s="3231"/>
      <c r="AC42" s="3232" t="s">
        <v>2466</v>
      </c>
      <c r="AD42" s="3232" t="s">
        <v>2467</v>
      </c>
      <c r="AE42" s="2390"/>
      <c r="AF42" s="2025"/>
      <c r="AG42" s="2332"/>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12"/>
      <c r="V43" s="2391" t="s">
        <v>2444</v>
      </c>
      <c r="W43" s="2392"/>
      <c r="X43" s="3214"/>
      <c r="Y43" s="2393" t="s">
        <v>2394</v>
      </c>
      <c r="Z43" s="3212"/>
      <c r="AA43" s="2394" t="s">
        <v>2040</v>
      </c>
      <c r="AB43" s="2395" t="s">
        <v>53</v>
      </c>
      <c r="AC43" s="3233"/>
      <c r="AD43" s="3234"/>
      <c r="AE43" s="2056"/>
      <c r="AF43" s="2025"/>
      <c r="AG43" s="2332"/>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6" t="s">
        <v>3661</v>
      </c>
      <c r="U44" s="1285" t="s">
        <v>2445</v>
      </c>
      <c r="V44" s="2397" t="s">
        <v>2458</v>
      </c>
      <c r="W44" s="2398"/>
      <c r="X44" s="2335">
        <v>200</v>
      </c>
      <c r="Y44" s="2399" t="s">
        <v>53</v>
      </c>
      <c r="Z44" s="1285">
        <v>12</v>
      </c>
      <c r="AA44" s="2400">
        <f t="shared" ref="AA44:AA51" si="40">X44</f>
        <v>200</v>
      </c>
      <c r="AB44" s="2401" t="s">
        <v>2470</v>
      </c>
      <c r="AC44" s="2348">
        <v>1166</v>
      </c>
      <c r="AD44" s="2330">
        <f t="shared" ref="AD44:AD50" si="41">AA44/0.8</f>
        <v>250</v>
      </c>
      <c r="AE44" s="2340"/>
      <c r="AF44" s="2025"/>
      <c r="AG44" s="2332"/>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6" t="s">
        <v>3662</v>
      </c>
      <c r="U45" s="2322" t="s">
        <v>2446</v>
      </c>
      <c r="V45" s="2323" t="s">
        <v>2459</v>
      </c>
      <c r="W45" s="2402"/>
      <c r="X45" s="2325">
        <v>750</v>
      </c>
      <c r="Y45" s="2403" t="s">
        <v>53</v>
      </c>
      <c r="Z45" s="2322">
        <v>12</v>
      </c>
      <c r="AA45" s="2404">
        <f t="shared" si="40"/>
        <v>750</v>
      </c>
      <c r="AB45" s="2405" t="s">
        <v>2470</v>
      </c>
      <c r="AC45" s="2329">
        <v>11166</v>
      </c>
      <c r="AD45" s="2330">
        <f t="shared" si="41"/>
        <v>937.5</v>
      </c>
      <c r="AE45" s="2331"/>
      <c r="AF45" s="2025"/>
      <c r="AG45" s="2332"/>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3" t="s">
        <v>3663</v>
      </c>
      <c r="U46" s="1285" t="s">
        <v>2447</v>
      </c>
      <c r="V46" s="2333" t="s">
        <v>2460</v>
      </c>
      <c r="W46" s="2406"/>
      <c r="X46" s="2335">
        <v>300</v>
      </c>
      <c r="Y46" s="2407" t="s">
        <v>53</v>
      </c>
      <c r="Z46" s="1285">
        <v>12</v>
      </c>
      <c r="AA46" s="2400">
        <f t="shared" si="40"/>
        <v>300</v>
      </c>
      <c r="AB46" s="2401" t="s">
        <v>2470</v>
      </c>
      <c r="AC46" s="2348">
        <v>2190</v>
      </c>
      <c r="AD46" s="2330">
        <f t="shared" si="41"/>
        <v>375</v>
      </c>
      <c r="AE46" s="2340"/>
      <c r="AF46" s="2025"/>
      <c r="AG46" s="2332"/>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3" t="s">
        <v>3664</v>
      </c>
      <c r="U47" s="1285" t="s">
        <v>2448</v>
      </c>
      <c r="V47" s="2333" t="s">
        <v>2461</v>
      </c>
      <c r="W47" s="2406"/>
      <c r="X47" s="2408">
        <v>200</v>
      </c>
      <c r="Y47" s="2407" t="s">
        <v>53</v>
      </c>
      <c r="Z47" s="1285">
        <v>12</v>
      </c>
      <c r="AA47" s="2400">
        <f t="shared" si="40"/>
        <v>200</v>
      </c>
      <c r="AB47" s="2401" t="s">
        <v>2470</v>
      </c>
      <c r="AC47" s="2348">
        <v>1642</v>
      </c>
      <c r="AD47" s="2330">
        <f t="shared" si="41"/>
        <v>250</v>
      </c>
      <c r="AE47" s="2340"/>
      <c r="AF47" s="2025"/>
      <c r="AG47" s="2332"/>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6" t="s">
        <v>3665</v>
      </c>
      <c r="U48" s="2322" t="s">
        <v>2449</v>
      </c>
      <c r="V48" s="2323" t="s">
        <v>2462</v>
      </c>
      <c r="W48" s="2402"/>
      <c r="X48" s="2325">
        <v>200</v>
      </c>
      <c r="Y48" s="2403" t="s">
        <v>53</v>
      </c>
      <c r="Z48" s="2322">
        <v>12</v>
      </c>
      <c r="AA48" s="2404">
        <f t="shared" si="40"/>
        <v>200</v>
      </c>
      <c r="AB48" s="2405" t="s">
        <v>2470</v>
      </c>
      <c r="AC48" s="2329">
        <v>1095</v>
      </c>
      <c r="AD48" s="2330">
        <f t="shared" si="41"/>
        <v>250</v>
      </c>
      <c r="AE48" s="2331"/>
      <c r="AF48" s="2025"/>
      <c r="AG48" s="2332"/>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3" t="s">
        <v>3666</v>
      </c>
      <c r="U49" s="1285" t="s">
        <v>2450</v>
      </c>
      <c r="V49" s="2333" t="s">
        <v>2463</v>
      </c>
      <c r="W49" s="2406"/>
      <c r="X49" s="2335">
        <v>250</v>
      </c>
      <c r="Y49" s="2407" t="s">
        <v>53</v>
      </c>
      <c r="Z49" s="1285">
        <v>12</v>
      </c>
      <c r="AA49" s="2400">
        <f t="shared" si="40"/>
        <v>250</v>
      </c>
      <c r="AB49" s="2401" t="s">
        <v>2470</v>
      </c>
      <c r="AC49" s="2339">
        <v>2270</v>
      </c>
      <c r="AD49" s="2330">
        <f t="shared" si="41"/>
        <v>312.5</v>
      </c>
      <c r="AE49" s="2340"/>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09" t="s">
        <v>3668</v>
      </c>
      <c r="U50" s="1285" t="s">
        <v>2451</v>
      </c>
      <c r="V50" s="2333" t="s">
        <v>2464</v>
      </c>
      <c r="W50" s="2406"/>
      <c r="X50" s="2335">
        <v>350</v>
      </c>
      <c r="Y50" s="2407" t="s">
        <v>53</v>
      </c>
      <c r="Z50" s="1285">
        <v>12</v>
      </c>
      <c r="AA50" s="2400">
        <f t="shared" si="40"/>
        <v>350</v>
      </c>
      <c r="AB50" s="2401" t="s">
        <v>2470</v>
      </c>
      <c r="AC50" s="2348">
        <v>2262</v>
      </c>
      <c r="AD50" s="2330">
        <f t="shared" si="41"/>
        <v>437.5</v>
      </c>
      <c r="AE50" s="2340"/>
      <c r="AF50" s="2025"/>
      <c r="AG50" s="2025"/>
    </row>
    <row r="51" spans="2:42" ht="26.4">
      <c r="B51" s="550"/>
      <c r="E51" s="550"/>
      <c r="K51" s="2025"/>
      <c r="L51" s="2025"/>
      <c r="M51" s="2025"/>
      <c r="N51" s="2025"/>
      <c r="O51" s="2025"/>
      <c r="P51" s="2025"/>
      <c r="Q51" s="2025"/>
      <c r="S51" s="2025"/>
      <c r="T51" s="2396" t="s">
        <v>3667</v>
      </c>
      <c r="U51" s="2322" t="s">
        <v>2452</v>
      </c>
      <c r="V51" s="2323" t="s">
        <v>2465</v>
      </c>
      <c r="W51" s="2402"/>
      <c r="X51" s="2325">
        <v>1000</v>
      </c>
      <c r="Y51" s="2403" t="s">
        <v>53</v>
      </c>
      <c r="Z51" s="2322">
        <v>12</v>
      </c>
      <c r="AA51" s="2404">
        <f t="shared" si="40"/>
        <v>1000</v>
      </c>
      <c r="AB51" s="2405" t="s">
        <v>2470</v>
      </c>
      <c r="AC51" s="2410">
        <v>18431</v>
      </c>
      <c r="AD51" s="2358">
        <f>AA51/0.5</f>
        <v>2000</v>
      </c>
      <c r="AE51" s="2331"/>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1"/>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2"/>
      <c r="AD88" s="2412"/>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3"/>
      <c r="AD89" s="2413"/>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3"/>
      <c r="AD90" s="2413"/>
      <c r="AE90" s="534"/>
      <c r="AF90" s="2025"/>
      <c r="AG90" s="2025"/>
    </row>
    <row r="91" spans="2:33" ht="42.75" customHeight="1">
      <c r="B91" s="318"/>
      <c r="K91" s="2025"/>
      <c r="L91" s="2025"/>
      <c r="M91" s="2025"/>
      <c r="N91" s="2025"/>
      <c r="O91" s="2025"/>
      <c r="P91" s="2025"/>
      <c r="Q91" s="2025"/>
      <c r="R91" s="2025"/>
      <c r="S91" s="2025"/>
      <c r="T91" s="2025"/>
      <c r="U91" s="2025"/>
      <c r="V91" s="2025"/>
      <c r="W91" s="2025"/>
      <c r="X91" s="3069"/>
      <c r="Y91" s="3069"/>
      <c r="Z91" s="3069"/>
      <c r="AA91" s="3069"/>
      <c r="AB91" s="3069"/>
      <c r="AC91" s="3069"/>
      <c r="AD91" s="3069"/>
      <c r="AE91" s="534"/>
      <c r="AF91" s="2025"/>
      <c r="AG91" s="2025"/>
    </row>
    <row r="92" spans="2:33">
      <c r="B92" s="318"/>
      <c r="X92" s="554"/>
      <c r="Y92" s="554"/>
      <c r="Z92" s="554"/>
      <c r="AA92" s="554"/>
      <c r="AB92" s="554"/>
      <c r="AC92" s="555"/>
      <c r="AD92" s="555"/>
      <c r="AE92" s="554"/>
    </row>
    <row r="93" spans="2:33">
      <c r="B93" s="318"/>
      <c r="X93" s="3230"/>
      <c r="Y93" s="3230"/>
      <c r="Z93" s="3230"/>
      <c r="AA93" s="3230"/>
      <c r="AB93" s="3230"/>
      <c r="AC93" s="3230"/>
      <c r="AD93" s="3230"/>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zoomScale="90" zoomScaleSheetLayoutView="90" workbookViewId="0">
      <selection activeCell="B2" sqref="B2"/>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41" t="s">
        <v>3251</v>
      </c>
      <c r="D2" s="3241"/>
      <c r="E2" s="3241"/>
      <c r="F2" s="3241"/>
      <c r="G2" s="3241"/>
      <c r="H2" s="3241"/>
      <c r="I2" s="3241"/>
      <c r="J2" s="3242" t="s">
        <v>3449</v>
      </c>
      <c r="K2" s="3242"/>
      <c r="L2" s="1577"/>
      <c r="M2" s="1577"/>
      <c r="N2" s="1464"/>
      <c r="O2" s="1464"/>
    </row>
    <row r="3" spans="1:226" ht="12.9" customHeight="1">
      <c r="A3" s="10"/>
      <c r="B3" s="2898" t="str">
        <f>company</f>
        <v/>
      </c>
      <c r="C3" s="11"/>
      <c r="D3" s="11"/>
      <c r="E3" s="11"/>
      <c r="F3" s="11"/>
      <c r="G3" s="12"/>
      <c r="H3" s="11"/>
      <c r="I3" s="11"/>
      <c r="J3" s="11"/>
      <c r="K3" s="2893" t="str">
        <f>Utility_Copyrite</f>
        <v>Copyright © 2012 Potomac Electric Power Company</v>
      </c>
      <c r="L3" s="10"/>
      <c r="M3" s="10"/>
      <c r="N3" s="10"/>
    </row>
    <row r="4" spans="1:226" ht="12.9" customHeight="1">
      <c r="A4" s="10"/>
      <c r="B4" s="9"/>
      <c r="C4" s="11"/>
      <c r="D4" s="11"/>
      <c r="E4" s="11"/>
      <c r="F4" s="11"/>
      <c r="G4" s="12"/>
      <c r="H4" s="11"/>
      <c r="I4" s="11"/>
      <c r="J4" s="11"/>
      <c r="K4" s="2893"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28"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54" t="s">
        <v>3440</v>
      </c>
      <c r="S7" s="3254"/>
      <c r="T7" s="3254"/>
      <c r="U7" s="3254"/>
      <c r="V7" s="3254"/>
      <c r="W7" s="3254"/>
      <c r="X7" s="3254"/>
      <c r="Y7" s="3254"/>
      <c r="Z7" s="3254"/>
      <c r="AA7" s="3254"/>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54"/>
      <c r="S8" s="3254"/>
      <c r="T8" s="3254"/>
      <c r="U8" s="3254"/>
      <c r="V8" s="3254"/>
      <c r="W8" s="3254"/>
      <c r="X8" s="3254"/>
      <c r="Y8" s="3254"/>
      <c r="Z8" s="3254"/>
      <c r="AA8" s="3254"/>
      <c r="AB8" s="2815"/>
      <c r="AC8" s="2815"/>
      <c r="AD8" s="2815"/>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51" t="s">
        <v>246</v>
      </c>
      <c r="C9" s="3251"/>
      <c r="D9" s="3251"/>
      <c r="E9" s="3251"/>
      <c r="F9" s="3251"/>
      <c r="G9" s="3251"/>
      <c r="H9" s="3251"/>
      <c r="I9" s="3251"/>
      <c r="J9" s="3251"/>
      <c r="K9" s="3251"/>
      <c r="L9" s="10"/>
      <c r="M9" s="10"/>
      <c r="N9" s="10"/>
      <c r="R9" s="3254"/>
      <c r="S9" s="3254"/>
      <c r="T9" s="3254"/>
      <c r="U9" s="3254"/>
      <c r="V9" s="3254"/>
      <c r="W9" s="3254"/>
      <c r="X9" s="3254"/>
      <c r="Y9" s="3254"/>
      <c r="Z9" s="3254"/>
      <c r="AA9" s="3254"/>
      <c r="AB9" s="2815"/>
      <c r="AC9" s="2815"/>
      <c r="AD9" s="2815"/>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52" t="s">
        <v>315</v>
      </c>
      <c r="C10" s="3252"/>
      <c r="D10" s="3252"/>
      <c r="E10" s="3252"/>
      <c r="F10" s="3252"/>
      <c r="G10" s="3252"/>
      <c r="H10" s="3252"/>
      <c r="I10" s="3252"/>
      <c r="J10" s="3252"/>
      <c r="K10" s="3252"/>
      <c r="L10" s="10"/>
      <c r="M10" s="10"/>
      <c r="N10" s="10"/>
      <c r="O10" s="1599"/>
      <c r="P10" s="1602" t="s">
        <v>3078</v>
      </c>
      <c r="Q10" s="1602"/>
      <c r="R10" s="3142" t="s">
        <v>3830</v>
      </c>
      <c r="S10" s="3142"/>
      <c r="T10" s="3142"/>
      <c r="U10" s="3142"/>
      <c r="V10" s="3142"/>
      <c r="W10" s="3142"/>
      <c r="X10" s="3142"/>
      <c r="Y10" s="3142"/>
      <c r="Z10" s="3142"/>
      <c r="AA10" s="3142"/>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52" t="s">
        <v>116</v>
      </c>
      <c r="C11" s="3252"/>
      <c r="D11" s="3252"/>
      <c r="E11" s="3252"/>
      <c r="F11" s="3252"/>
      <c r="G11" s="3252"/>
      <c r="H11" s="3252"/>
      <c r="I11" s="3252"/>
      <c r="J11" s="3252"/>
      <c r="K11" s="3252"/>
      <c r="L11" s="10"/>
      <c r="M11" s="10"/>
      <c r="N11" s="10"/>
      <c r="O11" s="1603"/>
      <c r="P11" s="1603" t="s">
        <v>3069</v>
      </c>
      <c r="Q11" s="1603" t="s">
        <v>3082</v>
      </c>
      <c r="R11" s="3142"/>
      <c r="S11" s="3142"/>
      <c r="T11" s="3142"/>
      <c r="U11" s="3142"/>
      <c r="V11" s="3142"/>
      <c r="W11" s="3142"/>
      <c r="X11" s="3142"/>
      <c r="Y11" s="3142"/>
      <c r="Z11" s="3142"/>
      <c r="AA11" s="3142"/>
      <c r="AB11" s="1604" t="s">
        <v>2170</v>
      </c>
      <c r="AC11" s="1412"/>
      <c r="AD11" s="1165"/>
      <c r="AE11" s="3247" t="s">
        <v>3064</v>
      </c>
      <c r="AF11" s="3275" t="s">
        <v>3063</v>
      </c>
      <c r="AG11" s="3275" t="s">
        <v>3062</v>
      </c>
      <c r="AH11" s="3275"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47" t="s">
        <v>3055</v>
      </c>
      <c r="BE11" s="3247" t="s">
        <v>3054</v>
      </c>
      <c r="BF11" s="3247"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77" t="s">
        <v>3049</v>
      </c>
      <c r="CC11" s="3277" t="s">
        <v>3048</v>
      </c>
      <c r="CD11" s="1152" t="s">
        <v>3047</v>
      </c>
      <c r="CE11" s="1152"/>
      <c r="CF11" s="1151"/>
      <c r="CG11" s="1152" t="s">
        <v>3046</v>
      </c>
      <c r="CH11" s="1152"/>
      <c r="CI11" s="1151"/>
      <c r="CJ11" s="1150" t="s">
        <v>3045</v>
      </c>
      <c r="CK11" s="1149"/>
      <c r="CL11" s="3247" t="s">
        <v>3044</v>
      </c>
      <c r="CM11" s="3273" t="s">
        <v>3043</v>
      </c>
      <c r="CN11" s="3249" t="s">
        <v>3042</v>
      </c>
      <c r="CO11" s="3249" t="s">
        <v>3041</v>
      </c>
      <c r="CP11" s="3249" t="s">
        <v>3040</v>
      </c>
      <c r="CQ11" s="3273" t="s">
        <v>3039</v>
      </c>
      <c r="CR11" s="1140"/>
      <c r="CS11" s="3279" t="s">
        <v>3038</v>
      </c>
      <c r="CT11" s="3273" t="s">
        <v>3037</v>
      </c>
      <c r="CU11" s="3275" t="s">
        <v>3036</v>
      </c>
      <c r="CV11" s="3247" t="s">
        <v>3038</v>
      </c>
      <c r="CW11" s="3247" t="s">
        <v>3037</v>
      </c>
      <c r="CX11" s="3247" t="s">
        <v>3036</v>
      </c>
      <c r="CY11" s="3247" t="s">
        <v>2985</v>
      </c>
      <c r="CZ11" s="3247" t="s">
        <v>2985</v>
      </c>
      <c r="DA11" s="3247" t="s">
        <v>2985</v>
      </c>
      <c r="DB11" s="3247" t="s">
        <v>3035</v>
      </c>
      <c r="DC11" s="3247" t="s">
        <v>3035</v>
      </c>
      <c r="DD11" s="3247" t="s">
        <v>3034</v>
      </c>
      <c r="DE11" s="3247" t="s">
        <v>3027</v>
      </c>
      <c r="DF11" s="3247" t="s">
        <v>3033</v>
      </c>
      <c r="DG11" s="3247" t="s">
        <v>3032</v>
      </c>
      <c r="DH11" s="3247" t="s">
        <v>3031</v>
      </c>
      <c r="DI11" s="3247" t="s">
        <v>3030</v>
      </c>
      <c r="DJ11" s="3247" t="s">
        <v>3029</v>
      </c>
      <c r="DL11" s="691"/>
    </row>
    <row r="12" spans="1:226" ht="46.5" customHeight="1" thickBot="1">
      <c r="A12" s="14"/>
      <c r="B12" s="3253" t="s">
        <v>3699</v>
      </c>
      <c r="C12" s="3253"/>
      <c r="D12" s="3253"/>
      <c r="E12" s="3253"/>
      <c r="F12" s="3253"/>
      <c r="G12" s="3253"/>
      <c r="H12" s="3253"/>
      <c r="I12" s="3253"/>
      <c r="J12" s="3253"/>
      <c r="K12" s="3253"/>
      <c r="L12" s="14"/>
      <c r="M12" s="14"/>
      <c r="N12" s="14"/>
      <c r="O12" s="1605"/>
      <c r="P12" s="1605"/>
      <c r="Q12" s="1606"/>
      <c r="R12" s="2817"/>
      <c r="S12" s="2817"/>
      <c r="T12" s="2817"/>
      <c r="U12" s="2817"/>
      <c r="V12" s="2817"/>
      <c r="W12" s="2817"/>
      <c r="X12" s="2817"/>
      <c r="Y12" s="2817"/>
      <c r="Z12" s="2817"/>
      <c r="AA12" s="1605"/>
      <c r="AB12" s="1600"/>
      <c r="AC12" s="1145" t="s">
        <v>3252</v>
      </c>
      <c r="AD12" s="1143" t="s">
        <v>3026</v>
      </c>
      <c r="AE12" s="3248"/>
      <c r="AF12" s="3276"/>
      <c r="AG12" s="3276"/>
      <c r="AH12" s="3276"/>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48"/>
      <c r="BE12" s="3248"/>
      <c r="BF12" s="3248"/>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78"/>
      <c r="CC12" s="3278"/>
      <c r="CD12" s="1125" t="s">
        <v>3012</v>
      </c>
      <c r="CE12" s="1125" t="s">
        <v>2978</v>
      </c>
      <c r="CF12" s="1124" t="s">
        <v>3011</v>
      </c>
      <c r="CG12" s="1125" t="s">
        <v>3012</v>
      </c>
      <c r="CH12" s="1125" t="s">
        <v>2978</v>
      </c>
      <c r="CI12" s="1124" t="s">
        <v>3011</v>
      </c>
      <c r="CJ12" s="1123" t="s">
        <v>53</v>
      </c>
      <c r="CK12" s="1122" t="s">
        <v>3010</v>
      </c>
      <c r="CL12" s="3276" t="s">
        <v>3009</v>
      </c>
      <c r="CM12" s="3274" t="s">
        <v>3009</v>
      </c>
      <c r="CN12" s="3250" t="s">
        <v>3009</v>
      </c>
      <c r="CO12" s="3250" t="s">
        <v>3009</v>
      </c>
      <c r="CP12" s="3250" t="s">
        <v>3009</v>
      </c>
      <c r="CQ12" s="3274" t="s">
        <v>3009</v>
      </c>
      <c r="CR12" s="1121" t="s">
        <v>3008</v>
      </c>
      <c r="CS12" s="3280"/>
      <c r="CT12" s="3274"/>
      <c r="CU12" s="3276"/>
      <c r="CV12" s="3248"/>
      <c r="CW12" s="3248"/>
      <c r="CX12" s="3248"/>
      <c r="CY12" s="3248"/>
      <c r="CZ12" s="3248"/>
      <c r="DA12" s="3248"/>
      <c r="DB12" s="3248"/>
      <c r="DC12" s="3248"/>
      <c r="DD12" s="3248"/>
      <c r="DE12" s="3248"/>
      <c r="DF12" s="3248"/>
      <c r="DG12" s="3248"/>
      <c r="DH12" s="3248"/>
      <c r="DI12" s="3248"/>
      <c r="DJ12" s="3248"/>
      <c r="DK12" s="1120"/>
      <c r="DL12" s="1120"/>
      <c r="DM12" s="1120"/>
      <c r="DN12" s="1120"/>
      <c r="DO12" s="1120"/>
      <c r="DP12" s="1120"/>
      <c r="DQ12" s="1120"/>
      <c r="DR12" s="1120"/>
    </row>
    <row r="13" spans="1:226" ht="16.2" thickBot="1">
      <c r="A13" s="14"/>
      <c r="B13" s="3243" t="s">
        <v>599</v>
      </c>
      <c r="C13" s="3243"/>
      <c r="D13" s="3243"/>
      <c r="E13" s="3243"/>
      <c r="F13" s="3243"/>
      <c r="G13" s="3243"/>
      <c r="H13" s="3243"/>
      <c r="I13" s="3243"/>
      <c r="J13" s="3243"/>
      <c r="K13" s="3243"/>
      <c r="L13" s="14"/>
      <c r="M13" s="14"/>
      <c r="N13" s="14"/>
      <c r="O13" s="1595"/>
      <c r="P13" s="1596">
        <v>0</v>
      </c>
      <c r="Q13" s="1597"/>
      <c r="R13" s="3284" t="s">
        <v>3076</v>
      </c>
      <c r="S13" s="3285"/>
      <c r="T13" s="3285"/>
      <c r="U13" s="3285"/>
      <c r="V13" s="3285"/>
      <c r="W13" s="3285"/>
      <c r="X13" s="3285"/>
      <c r="Y13" s="3285"/>
      <c r="Z13" s="3285"/>
      <c r="AA13" s="3285"/>
      <c r="AB13" s="3286"/>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44"/>
      <c r="C14" s="3245"/>
      <c r="D14" s="3245"/>
      <c r="E14" s="3245"/>
      <c r="F14" s="3245"/>
      <c r="G14" s="3245"/>
      <c r="H14" s="3245"/>
      <c r="I14" s="3245"/>
      <c r="J14" s="3245"/>
      <c r="K14" s="10"/>
      <c r="L14" s="10"/>
      <c r="M14" s="10"/>
      <c r="N14" s="10"/>
      <c r="O14" s="1095"/>
      <c r="P14" s="1094"/>
      <c r="Q14" s="1093"/>
      <c r="R14" s="3287"/>
      <c r="S14" s="3288"/>
      <c r="T14" s="3288"/>
      <c r="U14" s="3288"/>
      <c r="V14" s="3288"/>
      <c r="W14" s="3288"/>
      <c r="X14" s="3288"/>
      <c r="Y14" s="3288"/>
      <c r="Z14" s="3288"/>
      <c r="AA14" s="3288"/>
      <c r="AB14" s="3289"/>
      <c r="AC14" s="1087"/>
      <c r="AD14" s="1086"/>
      <c r="AE14" s="1092"/>
      <c r="AF14" s="1092"/>
      <c r="AG14" s="1092"/>
      <c r="AH14" s="1091"/>
      <c r="AI14" s="1090"/>
      <c r="AJ14" s="1089"/>
      <c r="AK14" s="3281" t="s">
        <v>3060</v>
      </c>
      <c r="AL14" s="3282"/>
      <c r="AM14" s="3283"/>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46" t="s">
        <v>215</v>
      </c>
      <c r="D15" s="3246"/>
      <c r="E15" s="1574" t="s">
        <v>332</v>
      </c>
      <c r="F15" s="1574" t="s">
        <v>3067</v>
      </c>
      <c r="G15" s="1795" t="s">
        <v>211</v>
      </c>
      <c r="H15" s="2911" t="s">
        <v>323</v>
      </c>
      <c r="I15" s="2809" t="str">
        <f>IF($O$6=TRUE,"Trade Ally Proposed Cost", "Utility Estimated Cost")</f>
        <v>Utility Estimated Cost</v>
      </c>
      <c r="J15" s="2751" t="str">
        <f>Utility_Name_Cap&amp;" Incentive"</f>
        <v>PEPCO Incentive</v>
      </c>
      <c r="K15" s="1561" t="s">
        <v>3081</v>
      </c>
      <c r="L15" s="1578"/>
      <c r="M15" s="2805"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57" t="s">
        <v>3749</v>
      </c>
      <c r="Y15" s="2758" t="s">
        <v>3066</v>
      </c>
      <c r="Z15" s="2758">
        <f>Z11</f>
        <v>0</v>
      </c>
      <c r="AA15" s="2758" t="s">
        <v>3065</v>
      </c>
      <c r="AB15" s="2756"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899" t="str">
        <f>IF(AA16="","",AA16)</f>
        <v/>
      </c>
      <c r="C16" s="3240" t="str">
        <f>IF(R16="","",R16)</f>
        <v/>
      </c>
      <c r="D16" s="3240"/>
      <c r="E16" s="1579">
        <f t="shared" ref="E16:E45" si="5">IF(Y16="",,Y16)</f>
        <v>0</v>
      </c>
      <c r="F16" s="1579" t="str">
        <f>X16</f>
        <v/>
      </c>
      <c r="G16" s="2827" t="str">
        <f t="shared" ref="G16:G45" si="6">AV16</f>
        <v/>
      </c>
      <c r="H16" s="1580" t="str">
        <f>IF(G16="","",G16*'R1 Sum'!$E$36)</f>
        <v/>
      </c>
      <c r="I16" s="1581" t="str">
        <f t="shared" ref="I16:I45" si="7">IF(G16="","",(IF($O$6=TRUE,M16,CL16)))</f>
        <v/>
      </c>
      <c r="J16" s="1581" t="str">
        <f t="shared" ref="J16:J45" si="8">IF(G16="","",AZ16)</f>
        <v/>
      </c>
      <c r="K16" s="1581" t="str">
        <f>IF(I16="","",I16-J16)</f>
        <v/>
      </c>
      <c r="L16" s="21"/>
      <c r="M16" s="2857"/>
      <c r="N16" s="2806" t="str">
        <f t="shared" ref="N16:N45" si="9">IF(C16="","",IF($O$6=TRUE,"*",""))</f>
        <v/>
      </c>
      <c r="O16" s="1052">
        <v>1</v>
      </c>
      <c r="P16" s="1043" t="str">
        <f t="shared" ref="P16:P45" si="10">IF(V16="","","Prescriptive")</f>
        <v/>
      </c>
      <c r="Q16" s="1051" t="str">
        <f t="shared" ref="Q16:Q45" si="11">EndUse2</f>
        <v/>
      </c>
      <c r="R16" s="1271" t="str">
        <f>IF([1]HVAC!$G$2&gt;17, [1]HVAC!$B$2, "")</f>
        <v/>
      </c>
      <c r="S16" s="1050"/>
      <c r="T16" s="1050"/>
      <c r="U16" s="2722"/>
      <c r="V16" s="1046" t="str">
        <f>IF(W16="","",W16*12000)</f>
        <v/>
      </c>
      <c r="W16" s="2721" t="str">
        <f t="shared" ref="W16:W45" si="12">IF(U16="",IF(X16="","",X16),IF(U16&gt;18000,ROUND(U16/12000,1),ROUND(U16/12000,2)))</f>
        <v/>
      </c>
      <c r="X16" s="1271" t="str">
        <f>IF([1]HVAC!$G$2&gt;17, [1]HVAC!$E$2, "")</f>
        <v/>
      </c>
      <c r="Y16" s="1271">
        <f>IF([1]HVAC!$G$2&gt;17, 1, 0)</f>
        <v>0</v>
      </c>
      <c r="Z16" s="2721" t="str">
        <f t="shared" ref="Z16:Z45" si="13">IF(OR(W16="",Y16=""),"",Y16*W16)</f>
        <v/>
      </c>
      <c r="AA16" s="1038" t="str">
        <f>IF([1]HVAC!$G$2&gt;17,
IF([1]HVAC!$D$2="Heat Pump", "ASHP", "AC Only"),
"")</f>
        <v/>
      </c>
      <c r="AB16" s="1038" t="str">
        <f>IF([1]HVAC!$G$2&gt;17, "&gt;17", "")</f>
        <v/>
      </c>
      <c r="AC16" s="2912" t="str">
        <f t="shared" ref="AC16:AC45" si="14">IF($AB16="","",VLOOKUP($AB16,EffGain,6,FALSE))</f>
        <v/>
      </c>
      <c r="AD16" s="2914"/>
      <c r="AE16" s="2915"/>
      <c r="AF16" s="2916" t="s">
        <v>2903</v>
      </c>
      <c r="AG16" s="2916" t="str">
        <f>IF(W16&gt;5,"Yes","No")</f>
        <v>Yes</v>
      </c>
      <c r="AH16" s="2917"/>
      <c r="AI16" s="2918">
        <v>4000</v>
      </c>
      <c r="AJ16" s="2919">
        <v>4000</v>
      </c>
      <c r="AK16" s="2913" t="str">
        <f>IF($CR16="","",VLOOKUP($CR16,Lookup_Table,12,FALSE))</f>
        <v/>
      </c>
      <c r="AL16" s="2920" t="str">
        <f t="shared" ref="AL16" si="15">IF($CR16="","",VLOOKUP($CR16,Lookup_Table,13,FALSE))</f>
        <v/>
      </c>
      <c r="AM16" s="2921" t="str">
        <f t="shared" ref="AM16" si="16">IF($CR16="","",VLOOKUP($CR16,Lookup_Table,14,FALSE))</f>
        <v/>
      </c>
      <c r="AN16" s="2922">
        <f t="shared" ref="AN16:AN45" si="17">IF($CR16="",0,VLOOKUP($CR16,Lookup_Table,6,FALSE)-VLOOKUP($CR16,Lookup_Table,6,FALSE)*AC16)</f>
        <v>0</v>
      </c>
      <c r="AO16" s="2923">
        <f t="shared" ref="AO16:AO45" si="18">IF($CR16="",0,VLOOKUP($CR16,Lookup_Table,7,FALSE)-VLOOKUP($CR16,Lookup_Table,7,FALSE)*AC16)</f>
        <v>0</v>
      </c>
      <c r="AP16" s="2924">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5" t="str">
        <f t="shared" ref="BA16:BA45" si="30">IF(AX16="","",IF(BonusToggle=0,0,AX16*BonusPercentage))</f>
        <v/>
      </c>
      <c r="BB16" s="2926"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27"/>
      <c r="BH16" s="2928"/>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29" t="str">
        <f>IF(OR(AA16="AC Only",AA16="ASHP"),IF(V16="","",IF(V16&lt;65000,1,IF(V16&lt;135000,2,IF(V16&lt;240000,3,IF(V16&lt;360000,4,IF(V16&lt;600000,5,IF(V16&lt;760000,6,IF(V16&gt;=760000,7,0)))))))),"")</f>
        <v/>
      </c>
      <c r="CN16" s="2930" t="str">
        <f t="shared" ref="CN16:CN45" si="59">IF(OR(AA16="WSHP",AA16="WCAC"),IF(V16="","",IF(V16&lt;65000,1,IF(V16&lt;135000,2,IF(V16&gt;=135000,3,0)))),"")</f>
        <v/>
      </c>
      <c r="CO16" s="2930" t="str">
        <f>IF(AA16="GHP",2,"")</f>
        <v/>
      </c>
      <c r="CP16" s="2930" t="str">
        <f t="shared" ref="CP16:CP45" si="60">IF(OR(AA16="PTAC",AA16="PTHP"),IF(W16="","",IF(W16&lt;0.75,1,IF(W16&lt;2,2,IF(W16&gt;=1,3,0)))),"")</f>
        <v/>
      </c>
      <c r="CQ16" s="2931" t="str">
        <f t="shared" ref="CQ16:CQ45" si="61">IF(AND(CM16="",CN16="",CO16="",CP16=""),"",SUM(CM16:CP16))</f>
        <v/>
      </c>
      <c r="CR16" s="2932" t="str">
        <f t="shared" ref="CR16:CR45" si="62">IF(AND(CQ16=1,OR(AA16="AC Only",AA16="ASHP")),AA16&amp;CQ16&amp;AF16,AA16&amp;CQ16)</f>
        <v/>
      </c>
      <c r="CS16" s="2913" t="str">
        <f t="shared" ref="CS16:CS45" si="63">IF($CR16="","",VLOOKUP($CR16,Lookup_Table,9,FALSE))</f>
        <v/>
      </c>
      <c r="CT16" s="2920" t="str">
        <f t="shared" ref="CT16:CT45" si="64">IF($CR16="","",VLOOKUP($CR16,Lookup_Table,10,FALSE))</f>
        <v/>
      </c>
      <c r="CU16" s="2921" t="str">
        <f t="shared" ref="CU16:CU45" si="65">IF($CR16="","",VLOOKUP($CR16,Lookup_Table,11,FALSE))</f>
        <v/>
      </c>
      <c r="CV16" s="2913" t="str">
        <f t="shared" ref="CV16:CV45" si="66">IF($CR16="","",VLOOKUP($CR16,Lookup_Table,12,FALSE))</f>
        <v/>
      </c>
      <c r="CW16" s="2920" t="str">
        <f t="shared" ref="CW16:CW45" si="67">IF($CR16="","",VLOOKUP($CR16,Lookup_Table,13,FALSE))</f>
        <v/>
      </c>
      <c r="CX16" s="2921" t="str">
        <f t="shared" ref="CX16:CX45" si="68">IF($CR16="","",VLOOKUP($CR16,Lookup_Table,14,FALSE))</f>
        <v/>
      </c>
      <c r="CY16" s="2933" t="str">
        <f t="shared" ref="CY16:CY45" si="69">IF(CW16="","",VLOOKUP($CR16,Lookup_Table,18,FALSE))</f>
        <v/>
      </c>
      <c r="CZ16" s="2934" t="str">
        <f t="shared" ref="CZ16:CZ45" si="70">IF(CW16="","",VLOOKUP($CR16,Lookup_Table,19,FALSE))</f>
        <v/>
      </c>
      <c r="DA16" s="2934" t="str">
        <f t="shared" ref="DA16:DA45" si="71">IF(CW16="","",VLOOKUP($CR16,Lookup_Table,20,FALSE))</f>
        <v/>
      </c>
      <c r="DB16" s="2935" t="str">
        <f t="shared" ref="DB16:DB45" si="72">IF(CY16="","",VLOOKUP($CR16,Lookup_Table,15,FALSE))</f>
        <v/>
      </c>
      <c r="DC16" s="2935" t="str">
        <f t="shared" ref="DC16:DC45" si="73">IF(DB16="","",VLOOKUP($CR16,Lookup_Table,16,FALSE))</f>
        <v/>
      </c>
      <c r="DD16" s="2936" t="str">
        <f t="shared" ref="DD16:DD45" si="74">IF($AA16="","",IF(OR($AA16="ASHP",$AA16="WSHP",$AA16="PTHP",$AA16="GHP"),1,0))</f>
        <v/>
      </c>
      <c r="DE16" s="2934" t="str">
        <f t="shared" ref="DE16:DE45" si="75">IF($AK16="","",IF($AK16&gt;=CV16,"Tier 2",IF($AK16&gt;=CS16,"Tier 1","No Tier")))</f>
        <v/>
      </c>
      <c r="DF16" s="2934" t="str">
        <f t="shared" ref="DF16:DF45" si="76">IF($AL16="","",IF($AL16&gt;=CW16,"Tier 2",IF($AL16&gt;=CT16,"Tier 1","No Tier")))</f>
        <v/>
      </c>
      <c r="DG16" s="2937" t="str">
        <f t="shared" ref="DG16:DG45" si="77">IF($DD16=0,"N/A",IF($AM16="","","Tier 2"))</f>
        <v/>
      </c>
      <c r="DH16" s="2938" t="str">
        <f>IF(OR(DE16="",DF16="",DG16=""),"No Tier",IF(OR(DE16="No Tier",DF16="No Tier",DG16="No Tier"),"Not Eligible",IF(OR(DE16="Tier 1",DF16="Tier 1",DE16=0,DF16=0),"Tier 1","Tier 2")))</f>
        <v>No Tier</v>
      </c>
      <c r="DI16" s="2938">
        <f t="shared" ref="DI16:DI45" si="78">IF(ISERROR(DH16),0,IF(DH16="Not Eligible",1,0))</f>
        <v>0</v>
      </c>
      <c r="DJ16" s="2938" t="str">
        <f t="shared" ref="DJ16:DJ45" si="79">IF(AA16="","",IF(OR(AA16="WSHP",AA16="PTHP"),COP_Conversion,1))</f>
        <v/>
      </c>
      <c r="DL16" s="691"/>
      <c r="DM16" s="1047"/>
      <c r="DN16" s="1047"/>
      <c r="DO16" s="1047"/>
    </row>
    <row r="17" spans="1:119" ht="15.6">
      <c r="A17" s="10"/>
      <c r="B17" s="2899" t="str">
        <f>IF(AA17="","",AA17)</f>
        <v/>
      </c>
      <c r="C17" s="3240" t="str">
        <f>IF(R17="","",R17)</f>
        <v/>
      </c>
      <c r="D17" s="3240"/>
      <c r="E17" s="1579">
        <f t="shared" si="5"/>
        <v>0</v>
      </c>
      <c r="F17" s="1579" t="str">
        <f t="shared" ref="F17:F45" si="80">X17</f>
        <v/>
      </c>
      <c r="G17" s="2827" t="str">
        <f t="shared" si="6"/>
        <v/>
      </c>
      <c r="H17" s="1580" t="str">
        <f>IF(G17="","",G17*'R1 Sum'!$E$36)</f>
        <v/>
      </c>
      <c r="I17" s="1581" t="str">
        <f t="shared" si="7"/>
        <v/>
      </c>
      <c r="J17" s="1581" t="str">
        <f t="shared" si="8"/>
        <v/>
      </c>
      <c r="K17" s="1581" t="str">
        <f>IF(I17="","",I17-J17)</f>
        <v/>
      </c>
      <c r="L17" s="21"/>
      <c r="M17" s="2857"/>
      <c r="N17" s="2806" t="str">
        <f t="shared" si="9"/>
        <v/>
      </c>
      <c r="O17" s="1044">
        <v>2</v>
      </c>
      <c r="P17" s="1043" t="str">
        <f t="shared" si="10"/>
        <v/>
      </c>
      <c r="Q17" s="1051" t="str">
        <f t="shared" si="11"/>
        <v/>
      </c>
      <c r="R17" s="1271" t="str">
        <f>IF([1]HVAC!$G$3&gt;17, [1]HVAC!$B$3, "")</f>
        <v/>
      </c>
      <c r="S17" s="1041"/>
      <c r="T17" s="1048"/>
      <c r="U17" s="1368"/>
      <c r="V17" s="1046" t="str">
        <f t="shared" ref="V17:V45" si="81">IF(W17="","",W17*12000)</f>
        <v/>
      </c>
      <c r="W17" s="2721" t="str">
        <f t="shared" si="12"/>
        <v/>
      </c>
      <c r="X17" s="1271" t="str">
        <f>IF([1]HVAC!$G$3&gt;17, [1]HVAC!$E$3, "")</f>
        <v/>
      </c>
      <c r="Y17" s="1271">
        <f>IF([1]HVAC!$G$3&gt;17, 1, 0)</f>
        <v>0</v>
      </c>
      <c r="Z17" s="2721" t="str">
        <f t="shared" si="13"/>
        <v/>
      </c>
      <c r="AA17" s="1038" t="str">
        <f>IF([1]HVAC!$G$3&gt;17,
IF([1]HVAC!$D$3="Heat Pump", "ASHP", "AC Only"), "")</f>
        <v/>
      </c>
      <c r="AB17" s="1038" t="str">
        <f>IF([1]HVAC!$G$3&gt;17, "&gt;17", "")</f>
        <v/>
      </c>
      <c r="AC17" s="2912" t="str">
        <f t="shared" si="14"/>
        <v/>
      </c>
      <c r="AD17" s="2939"/>
      <c r="AE17" s="2915"/>
      <c r="AF17" s="2916" t="s">
        <v>2903</v>
      </c>
      <c r="AG17" s="2916" t="str">
        <f t="shared" ref="AG17:AG45" si="82">IF(W17&gt;5,"Yes","No")</f>
        <v>Yes</v>
      </c>
      <c r="AH17" s="2917"/>
      <c r="AI17" s="2918">
        <v>4000</v>
      </c>
      <c r="AJ17" s="2919">
        <v>4000</v>
      </c>
      <c r="AK17" s="2913" t="str">
        <f t="shared" ref="AK17" si="83">IF($CR17="","",VLOOKUP($CR17,Lookup_Table,12,FALSE))</f>
        <v/>
      </c>
      <c r="AL17" s="2920" t="str">
        <f t="shared" ref="AL17" si="84">IF($CR17="","",VLOOKUP($CR17,Lookup_Table,13,FALSE))</f>
        <v/>
      </c>
      <c r="AM17" s="2921" t="str">
        <f t="shared" ref="AM17" si="85">IF($CR17="","",VLOOKUP($CR17,Lookup_Table,14,FALSE))</f>
        <v/>
      </c>
      <c r="AN17" s="2922">
        <f t="shared" si="17"/>
        <v>0</v>
      </c>
      <c r="AO17" s="2923">
        <f t="shared" si="18"/>
        <v>0</v>
      </c>
      <c r="AP17" s="2924">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6" t="e">
        <f t="shared" si="31"/>
        <v>#N/A</v>
      </c>
      <c r="BC17" s="1029" t="e">
        <f t="shared" si="32"/>
        <v>#N/A</v>
      </c>
      <c r="BD17" s="1029" t="str">
        <f t="shared" si="33"/>
        <v/>
      </c>
      <c r="BE17" s="1029" t="e">
        <f t="shared" si="34"/>
        <v>#N/A</v>
      </c>
      <c r="BF17" s="1029" t="e">
        <f t="shared" si="35"/>
        <v>#N/A</v>
      </c>
      <c r="BG17" s="2927"/>
      <c r="BH17" s="2928"/>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29" t="str">
        <f t="shared" ref="CM17:CM45" si="87">IF(OR(AA17="AC Only",AA17="ASHP"),IF(V17="","",IF(V17&lt;65000,1,IF(V17&lt;135000,2,IF(V17&lt;240000,3,IF(V17&lt;360000,4,IF(V17&lt;600000,5,IF(V17&lt;760000,6,IF(V17&gt;=760000,7,0)))))))),"")</f>
        <v/>
      </c>
      <c r="CN17" s="2930" t="str">
        <f t="shared" si="59"/>
        <v/>
      </c>
      <c r="CO17" s="2930" t="str">
        <f t="shared" ref="CO17:CO45" si="88">IF(AA17="GHP",2,"")</f>
        <v/>
      </c>
      <c r="CP17" s="2930" t="str">
        <f t="shared" si="60"/>
        <v/>
      </c>
      <c r="CQ17" s="2931" t="str">
        <f t="shared" si="61"/>
        <v/>
      </c>
      <c r="CR17" s="2932" t="str">
        <f t="shared" si="62"/>
        <v/>
      </c>
      <c r="CS17" s="2913" t="str">
        <f t="shared" si="63"/>
        <v/>
      </c>
      <c r="CT17" s="2920" t="str">
        <f t="shared" si="64"/>
        <v/>
      </c>
      <c r="CU17" s="2921" t="str">
        <f t="shared" si="65"/>
        <v/>
      </c>
      <c r="CV17" s="2913" t="str">
        <f t="shared" si="66"/>
        <v/>
      </c>
      <c r="CW17" s="2920" t="str">
        <f t="shared" si="67"/>
        <v/>
      </c>
      <c r="CX17" s="2921" t="str">
        <f t="shared" si="68"/>
        <v/>
      </c>
      <c r="CY17" s="2933" t="str">
        <f t="shared" si="69"/>
        <v/>
      </c>
      <c r="CZ17" s="2934" t="str">
        <f t="shared" si="70"/>
        <v/>
      </c>
      <c r="DA17" s="2934" t="str">
        <f t="shared" si="71"/>
        <v/>
      </c>
      <c r="DB17" s="2935" t="str">
        <f t="shared" si="72"/>
        <v/>
      </c>
      <c r="DC17" s="2935" t="str">
        <f t="shared" si="73"/>
        <v/>
      </c>
      <c r="DD17" s="2936" t="str">
        <f t="shared" si="74"/>
        <v/>
      </c>
      <c r="DE17" s="2934" t="str">
        <f t="shared" si="75"/>
        <v/>
      </c>
      <c r="DF17" s="2934" t="str">
        <f t="shared" si="76"/>
        <v/>
      </c>
      <c r="DG17" s="2937" t="str">
        <f t="shared" si="77"/>
        <v/>
      </c>
      <c r="DH17" s="2938" t="str">
        <f>IF(OR(DE17="",DF17="",DG17=""),"No Tier",IF(OR(DE17="No Tier",DF17="No Tier",DG17="No Tier"),"Not Eligible",IF(OR(DE17="Tier 1",DF17="Tier 1",DE17=0,DF17=0),"Tier 1","Tier 2")))</f>
        <v>No Tier</v>
      </c>
      <c r="DI17" s="2938">
        <f t="shared" si="78"/>
        <v>0</v>
      </c>
      <c r="DJ17" s="2938" t="str">
        <f t="shared" si="79"/>
        <v/>
      </c>
      <c r="DL17" s="691"/>
      <c r="DM17" s="1047"/>
      <c r="DN17" s="1047"/>
      <c r="DO17" s="1047"/>
    </row>
    <row r="18" spans="1:119" ht="16.2" thickBot="1">
      <c r="A18" s="10"/>
      <c r="B18" s="2899" t="str">
        <f t="shared" ref="B18:B45" si="89">IF(AA18="","",AA18)</f>
        <v/>
      </c>
      <c r="C18" s="3240" t="str">
        <f t="shared" ref="C18:C45" si="90">IF(R18="","",R18)</f>
        <v/>
      </c>
      <c r="D18" s="3240"/>
      <c r="E18" s="1579">
        <f t="shared" si="5"/>
        <v>0</v>
      </c>
      <c r="F18" s="1579" t="str">
        <f t="shared" si="80"/>
        <v/>
      </c>
      <c r="G18" s="2827" t="str">
        <f>AV18</f>
        <v/>
      </c>
      <c r="H18" s="1580" t="str">
        <f>IF(G18="","",G18*'R1 Sum'!$E$36)</f>
        <v/>
      </c>
      <c r="I18" s="1581" t="str">
        <f t="shared" si="7"/>
        <v/>
      </c>
      <c r="J18" s="1581" t="str">
        <f t="shared" si="8"/>
        <v/>
      </c>
      <c r="K18" s="1581" t="str">
        <f t="shared" ref="K18:K45" si="91">IF(I18="","",I18-J18)</f>
        <v/>
      </c>
      <c r="L18" s="21"/>
      <c r="M18" s="2857"/>
      <c r="N18" s="2806" t="str">
        <f t="shared" si="9"/>
        <v/>
      </c>
      <c r="O18" s="1044">
        <v>3</v>
      </c>
      <c r="P18" s="1043" t="str">
        <f t="shared" si="10"/>
        <v/>
      </c>
      <c r="Q18" s="1051" t="str">
        <f t="shared" si="11"/>
        <v/>
      </c>
      <c r="R18" s="1271" t="str">
        <f>IF([1]HVAC!$G$4&gt;17, [1]HVAC!$B$4, "")</f>
        <v/>
      </c>
      <c r="S18" s="1041"/>
      <c r="T18" s="1040"/>
      <c r="U18" s="1368"/>
      <c r="V18" s="1046" t="str">
        <f t="shared" si="81"/>
        <v/>
      </c>
      <c r="W18" s="2721" t="str">
        <f t="shared" si="12"/>
        <v/>
      </c>
      <c r="X18" s="1271" t="str">
        <f>IF([1]HVAC!$G$4&gt;17, [1]HVAC!$E$4, "")</f>
        <v/>
      </c>
      <c r="Y18" s="1271">
        <f>IF([1]HVAC!$G$4&gt;17, 1, 0)</f>
        <v>0</v>
      </c>
      <c r="Z18" s="2721" t="str">
        <f t="shared" si="13"/>
        <v/>
      </c>
      <c r="AA18" s="1038" t="str">
        <f>IF([1]HVAC!$G$4&gt;17,
IF([1]HVAC!$D$4="Heat Pump", "ASHP", "AC Only"), "")</f>
        <v/>
      </c>
      <c r="AB18" s="1038" t="str">
        <f>IF([1]HVAC!$G$4&gt;17, "&gt;17", "")</f>
        <v/>
      </c>
      <c r="AC18" s="2912" t="str">
        <f t="shared" si="14"/>
        <v/>
      </c>
      <c r="AD18" s="2939"/>
      <c r="AE18" s="2915"/>
      <c r="AF18" s="2916" t="s">
        <v>2903</v>
      </c>
      <c r="AG18" s="2916" t="str">
        <f t="shared" si="82"/>
        <v>Yes</v>
      </c>
      <c r="AH18" s="2917"/>
      <c r="AI18" s="2918">
        <v>4000</v>
      </c>
      <c r="AJ18" s="2919">
        <v>4000</v>
      </c>
      <c r="AK18" s="2913" t="str">
        <f t="shared" ref="AK18:AK20" si="92">IF($CR18="","",VLOOKUP($CR18,Lookup_Table,12,FALSE))</f>
        <v/>
      </c>
      <c r="AL18" s="2920" t="str">
        <f t="shared" ref="AL18:AL20" si="93">IF($CR18="","",VLOOKUP($CR18,Lookup_Table,13,FALSE))</f>
        <v/>
      </c>
      <c r="AM18" s="2921" t="str">
        <f t="shared" ref="AM18:AM20" si="94">IF($CR18="","",VLOOKUP($CR18,Lookup_Table,14,FALSE))</f>
        <v/>
      </c>
      <c r="AN18" s="2922">
        <f t="shared" si="17"/>
        <v>0</v>
      </c>
      <c r="AO18" s="2923">
        <f t="shared" si="18"/>
        <v>0</v>
      </c>
      <c r="AP18" s="2924">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6" t="e">
        <f t="shared" si="31"/>
        <v>#N/A</v>
      </c>
      <c r="BC18" s="1029" t="e">
        <f t="shared" si="32"/>
        <v>#N/A</v>
      </c>
      <c r="BD18" s="1029" t="str">
        <f t="shared" si="33"/>
        <v/>
      </c>
      <c r="BE18" s="1029" t="e">
        <f t="shared" si="34"/>
        <v>#N/A</v>
      </c>
      <c r="BF18" s="1029" t="e">
        <f t="shared" si="35"/>
        <v>#N/A</v>
      </c>
      <c r="BG18" s="2927"/>
      <c r="BH18" s="2928"/>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29" t="str">
        <f t="shared" si="87"/>
        <v/>
      </c>
      <c r="CN18" s="2930" t="str">
        <f t="shared" si="59"/>
        <v/>
      </c>
      <c r="CO18" s="2930" t="str">
        <f t="shared" si="88"/>
        <v/>
      </c>
      <c r="CP18" s="2930" t="str">
        <f t="shared" si="60"/>
        <v/>
      </c>
      <c r="CQ18" s="2931" t="str">
        <f t="shared" si="61"/>
        <v/>
      </c>
      <c r="CR18" s="2932" t="str">
        <f t="shared" si="62"/>
        <v/>
      </c>
      <c r="CS18" s="2913" t="str">
        <f t="shared" si="63"/>
        <v/>
      </c>
      <c r="CT18" s="2920" t="str">
        <f t="shared" si="64"/>
        <v/>
      </c>
      <c r="CU18" s="2921" t="str">
        <f t="shared" si="65"/>
        <v/>
      </c>
      <c r="CV18" s="2913" t="str">
        <f t="shared" si="66"/>
        <v/>
      </c>
      <c r="CW18" s="2920" t="str">
        <f t="shared" si="67"/>
        <v/>
      </c>
      <c r="CX18" s="2921" t="str">
        <f t="shared" si="68"/>
        <v/>
      </c>
      <c r="CY18" s="2933" t="str">
        <f t="shared" si="69"/>
        <v/>
      </c>
      <c r="CZ18" s="2934" t="str">
        <f t="shared" si="70"/>
        <v/>
      </c>
      <c r="DA18" s="2934" t="str">
        <f t="shared" si="71"/>
        <v/>
      </c>
      <c r="DB18" s="2935" t="str">
        <f t="shared" si="72"/>
        <v/>
      </c>
      <c r="DC18" s="2935" t="str">
        <f t="shared" si="73"/>
        <v/>
      </c>
      <c r="DD18" s="2936" t="str">
        <f t="shared" si="74"/>
        <v/>
      </c>
      <c r="DE18" s="2934" t="str">
        <f t="shared" si="75"/>
        <v/>
      </c>
      <c r="DF18" s="2934" t="str">
        <f t="shared" si="76"/>
        <v/>
      </c>
      <c r="DG18" s="2937" t="str">
        <f t="shared" si="77"/>
        <v/>
      </c>
      <c r="DH18" s="2938" t="str">
        <f>IF(OR(DE18="",DF18="",DG18=""),"No Tier",IF(OR(DE18="No Tier",DF18="No Tier",DG18="No Tier"),"Not Eligible",IF(OR(DE18="Tier 1",DF18="Tier 1",DE18=0,DF18=0),"Tier 1","Tier 2")))</f>
        <v>No Tier</v>
      </c>
      <c r="DI18" s="2938">
        <f t="shared" si="78"/>
        <v>0</v>
      </c>
      <c r="DJ18" s="2938" t="str">
        <f t="shared" si="79"/>
        <v/>
      </c>
      <c r="DL18" s="691"/>
      <c r="DM18" s="1047"/>
      <c r="DN18" s="1047"/>
      <c r="DO18" s="1047"/>
    </row>
    <row r="19" spans="1:119" ht="15.6" hidden="1">
      <c r="A19" s="10"/>
      <c r="B19" s="2899" t="str">
        <f t="shared" si="89"/>
        <v/>
      </c>
      <c r="C19" s="3240" t="str">
        <f t="shared" si="90"/>
        <v/>
      </c>
      <c r="D19" s="3240"/>
      <c r="E19" s="1579">
        <f t="shared" si="5"/>
        <v>0</v>
      </c>
      <c r="F19" s="1579">
        <f t="shared" si="80"/>
        <v>0</v>
      </c>
      <c r="G19" s="2827" t="str">
        <f t="shared" si="6"/>
        <v/>
      </c>
      <c r="H19" s="1580" t="str">
        <f>IF(G19="","",G19*'R1 Sum'!$E$36)</f>
        <v/>
      </c>
      <c r="I19" s="1581" t="str">
        <f t="shared" si="7"/>
        <v/>
      </c>
      <c r="J19" s="1581" t="str">
        <f t="shared" si="8"/>
        <v/>
      </c>
      <c r="K19" s="1581" t="str">
        <f t="shared" si="91"/>
        <v/>
      </c>
      <c r="L19" s="21"/>
      <c r="M19" s="2857"/>
      <c r="N19" s="2806" t="str">
        <f t="shared" si="9"/>
        <v/>
      </c>
      <c r="O19" s="1044">
        <v>4</v>
      </c>
      <c r="P19" s="1043" t="str">
        <f t="shared" si="10"/>
        <v/>
      </c>
      <c r="Q19" s="1051" t="str">
        <f t="shared" si="11"/>
        <v/>
      </c>
      <c r="R19" s="1042"/>
      <c r="S19" s="1041"/>
      <c r="T19" s="1040"/>
      <c r="U19" s="1368"/>
      <c r="V19" s="1046" t="str">
        <f t="shared" si="81"/>
        <v/>
      </c>
      <c r="W19" s="2721" t="str">
        <f t="shared" si="12"/>
        <v/>
      </c>
      <c r="X19" s="2721"/>
      <c r="Y19" s="1039"/>
      <c r="Z19" s="2721" t="str">
        <f t="shared" si="13"/>
        <v/>
      </c>
      <c r="AA19" s="1038"/>
      <c r="AB19" s="1049"/>
      <c r="AC19" s="2912" t="str">
        <f t="shared" si="14"/>
        <v/>
      </c>
      <c r="AD19" s="2939"/>
      <c r="AE19" s="2940"/>
      <c r="AF19" s="2916" t="s">
        <v>2903</v>
      </c>
      <c r="AG19" s="2916" t="str">
        <f t="shared" si="82"/>
        <v>Yes</v>
      </c>
      <c r="AH19" s="2917"/>
      <c r="AI19" s="2918">
        <v>4000</v>
      </c>
      <c r="AJ19" s="2919">
        <v>4000</v>
      </c>
      <c r="AK19" s="2913" t="str">
        <f t="shared" si="92"/>
        <v/>
      </c>
      <c r="AL19" s="2920" t="str">
        <f t="shared" si="93"/>
        <v/>
      </c>
      <c r="AM19" s="2921" t="str">
        <f t="shared" si="94"/>
        <v/>
      </c>
      <c r="AN19" s="2922">
        <f t="shared" si="17"/>
        <v>0</v>
      </c>
      <c r="AO19" s="2923">
        <f t="shared" si="18"/>
        <v>0</v>
      </c>
      <c r="AP19" s="2924">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6" t="e">
        <f t="shared" si="31"/>
        <v>#N/A</v>
      </c>
      <c r="BC19" s="1029" t="e">
        <f t="shared" si="32"/>
        <v>#N/A</v>
      </c>
      <c r="BD19" s="1029" t="str">
        <f t="shared" si="33"/>
        <v/>
      </c>
      <c r="BE19" s="1029" t="e">
        <f t="shared" si="34"/>
        <v>#N/A</v>
      </c>
      <c r="BF19" s="1029" t="e">
        <f t="shared" si="35"/>
        <v>#N/A</v>
      </c>
      <c r="BG19" s="2927"/>
      <c r="BH19" s="2928"/>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29" t="str">
        <f t="shared" si="87"/>
        <v/>
      </c>
      <c r="CN19" s="2930" t="str">
        <f t="shared" si="59"/>
        <v/>
      </c>
      <c r="CO19" s="2930" t="str">
        <f t="shared" si="88"/>
        <v/>
      </c>
      <c r="CP19" s="2930" t="str">
        <f t="shared" si="60"/>
        <v/>
      </c>
      <c r="CQ19" s="2931" t="str">
        <f t="shared" si="61"/>
        <v/>
      </c>
      <c r="CR19" s="2932" t="str">
        <f t="shared" si="62"/>
        <v/>
      </c>
      <c r="CS19" s="2913" t="str">
        <f t="shared" si="63"/>
        <v/>
      </c>
      <c r="CT19" s="2920" t="str">
        <f t="shared" si="64"/>
        <v/>
      </c>
      <c r="CU19" s="2921" t="str">
        <f t="shared" si="65"/>
        <v/>
      </c>
      <c r="CV19" s="2913" t="str">
        <f t="shared" si="66"/>
        <v/>
      </c>
      <c r="CW19" s="2920" t="str">
        <f t="shared" si="67"/>
        <v/>
      </c>
      <c r="CX19" s="2921" t="str">
        <f t="shared" si="68"/>
        <v/>
      </c>
      <c r="CY19" s="2933" t="str">
        <f t="shared" si="69"/>
        <v/>
      </c>
      <c r="CZ19" s="2934" t="str">
        <f t="shared" si="70"/>
        <v/>
      </c>
      <c r="DA19" s="2934" t="str">
        <f t="shared" si="71"/>
        <v/>
      </c>
      <c r="DB19" s="2935" t="str">
        <f t="shared" si="72"/>
        <v/>
      </c>
      <c r="DC19" s="2935" t="str">
        <f t="shared" si="73"/>
        <v/>
      </c>
      <c r="DD19" s="2936" t="str">
        <f t="shared" si="74"/>
        <v/>
      </c>
      <c r="DE19" s="2934" t="str">
        <f t="shared" si="75"/>
        <v/>
      </c>
      <c r="DF19" s="2934" t="str">
        <f t="shared" si="76"/>
        <v/>
      </c>
      <c r="DG19" s="2937" t="str">
        <f t="shared" si="77"/>
        <v/>
      </c>
      <c r="DH19" s="2938" t="str">
        <f>IF(OR(DE19="",DF19="",DG19=""),"No Tier",IF(OR(DE19="No Tier",DF19="No Tier",DG19="No Tier"),"Not Eligible",IF(OR(DE19="Tier 1",DF19="Tier 1",DE19=0,DF19=0),"Tier 1","Tier 2")))</f>
        <v>No Tier</v>
      </c>
      <c r="DI19" s="2938">
        <f t="shared" si="78"/>
        <v>0</v>
      </c>
      <c r="DJ19" s="2938" t="str">
        <f t="shared" si="79"/>
        <v/>
      </c>
      <c r="DL19" s="691"/>
      <c r="DM19" s="1047"/>
      <c r="DN19" s="1047"/>
      <c r="DO19" s="1047"/>
    </row>
    <row r="20" spans="1:119" ht="15.6" hidden="1">
      <c r="A20" s="10"/>
      <c r="B20" s="2899" t="str">
        <f t="shared" si="89"/>
        <v/>
      </c>
      <c r="C20" s="3240" t="str">
        <f t="shared" si="90"/>
        <v/>
      </c>
      <c r="D20" s="3240"/>
      <c r="E20" s="1579">
        <f t="shared" si="5"/>
        <v>0</v>
      </c>
      <c r="F20" s="1579">
        <f t="shared" si="80"/>
        <v>0</v>
      </c>
      <c r="G20" s="2827" t="str">
        <f t="shared" si="6"/>
        <v/>
      </c>
      <c r="H20" s="1580" t="str">
        <f>IF(G20="","",G20*'R1 Sum'!$E$36)</f>
        <v/>
      </c>
      <c r="I20" s="1581" t="str">
        <f t="shared" si="7"/>
        <v/>
      </c>
      <c r="J20" s="1581" t="str">
        <f t="shared" si="8"/>
        <v/>
      </c>
      <c r="K20" s="1581" t="str">
        <f t="shared" si="91"/>
        <v/>
      </c>
      <c r="L20" s="21"/>
      <c r="M20" s="2857"/>
      <c r="N20" s="2806" t="str">
        <f t="shared" si="9"/>
        <v/>
      </c>
      <c r="O20" s="1044">
        <v>5</v>
      </c>
      <c r="P20" s="1043" t="str">
        <f t="shared" si="10"/>
        <v/>
      </c>
      <c r="Q20" s="1051" t="str">
        <f t="shared" si="11"/>
        <v/>
      </c>
      <c r="R20" s="1042"/>
      <c r="S20" s="1041"/>
      <c r="T20" s="1040"/>
      <c r="U20" s="1368"/>
      <c r="V20" s="1046" t="str">
        <f t="shared" si="81"/>
        <v/>
      </c>
      <c r="W20" s="2721" t="str">
        <f t="shared" si="12"/>
        <v/>
      </c>
      <c r="X20" s="2721"/>
      <c r="Y20" s="1039"/>
      <c r="Z20" s="2721" t="str">
        <f t="shared" si="13"/>
        <v/>
      </c>
      <c r="AA20" s="1038"/>
      <c r="AB20" s="1049"/>
      <c r="AC20" s="2912" t="str">
        <f t="shared" si="14"/>
        <v/>
      </c>
      <c r="AD20" s="2939"/>
      <c r="AE20" s="2940"/>
      <c r="AF20" s="2916" t="s">
        <v>2903</v>
      </c>
      <c r="AG20" s="2916" t="str">
        <f t="shared" si="82"/>
        <v>Yes</v>
      </c>
      <c r="AH20" s="2917"/>
      <c r="AI20" s="2918">
        <v>4000</v>
      </c>
      <c r="AJ20" s="2919">
        <v>4000</v>
      </c>
      <c r="AK20" s="2913" t="str">
        <f t="shared" si="92"/>
        <v/>
      </c>
      <c r="AL20" s="2920" t="str">
        <f t="shared" si="93"/>
        <v/>
      </c>
      <c r="AM20" s="2921" t="str">
        <f t="shared" si="94"/>
        <v/>
      </c>
      <c r="AN20" s="2922">
        <f t="shared" si="17"/>
        <v>0</v>
      </c>
      <c r="AO20" s="2923">
        <f t="shared" si="18"/>
        <v>0</v>
      </c>
      <c r="AP20" s="2924">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6" t="e">
        <f t="shared" si="31"/>
        <v>#N/A</v>
      </c>
      <c r="BC20" s="1029" t="e">
        <f t="shared" si="32"/>
        <v>#N/A</v>
      </c>
      <c r="BD20" s="1029" t="str">
        <f t="shared" si="33"/>
        <v/>
      </c>
      <c r="BE20" s="1029" t="e">
        <f t="shared" si="34"/>
        <v>#N/A</v>
      </c>
      <c r="BF20" s="1029" t="e">
        <f t="shared" si="35"/>
        <v>#N/A</v>
      </c>
      <c r="BG20" s="2927"/>
      <c r="BH20" s="2928"/>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29" t="str">
        <f t="shared" si="87"/>
        <v/>
      </c>
      <c r="CN20" s="2930" t="str">
        <f t="shared" si="59"/>
        <v/>
      </c>
      <c r="CO20" s="2930" t="str">
        <f t="shared" si="88"/>
        <v/>
      </c>
      <c r="CP20" s="2930" t="str">
        <f t="shared" si="60"/>
        <v/>
      </c>
      <c r="CQ20" s="2931" t="str">
        <f t="shared" si="61"/>
        <v/>
      </c>
      <c r="CR20" s="2932" t="str">
        <f t="shared" si="62"/>
        <v/>
      </c>
      <c r="CS20" s="2913" t="str">
        <f t="shared" si="63"/>
        <v/>
      </c>
      <c r="CT20" s="2920" t="str">
        <f t="shared" si="64"/>
        <v/>
      </c>
      <c r="CU20" s="2921" t="str">
        <f t="shared" si="65"/>
        <v/>
      </c>
      <c r="CV20" s="2913" t="str">
        <f t="shared" si="66"/>
        <v/>
      </c>
      <c r="CW20" s="2920" t="str">
        <f t="shared" si="67"/>
        <v/>
      </c>
      <c r="CX20" s="2921" t="str">
        <f t="shared" si="68"/>
        <v/>
      </c>
      <c r="CY20" s="2933" t="str">
        <f t="shared" si="69"/>
        <v/>
      </c>
      <c r="CZ20" s="2934" t="str">
        <f t="shared" si="70"/>
        <v/>
      </c>
      <c r="DA20" s="2934" t="str">
        <f t="shared" si="71"/>
        <v/>
      </c>
      <c r="DB20" s="2935" t="str">
        <f t="shared" si="72"/>
        <v/>
      </c>
      <c r="DC20" s="2935" t="str">
        <f t="shared" si="73"/>
        <v/>
      </c>
      <c r="DD20" s="2936" t="str">
        <f t="shared" si="74"/>
        <v/>
      </c>
      <c r="DE20" s="2934" t="str">
        <f t="shared" si="75"/>
        <v/>
      </c>
      <c r="DF20" s="2934" t="str">
        <f t="shared" si="76"/>
        <v/>
      </c>
      <c r="DG20" s="2937" t="str">
        <f t="shared" si="77"/>
        <v/>
      </c>
      <c r="DH20" s="2938" t="str">
        <f t="shared" ref="DH20:DH45" si="95">IF(OR(DE20="",DF20=""),"No Tier",IF(OR(DE20="No Tier",DF20="No Tier"),"Not Eligible",IF(OR(DE20="Tier 1",DF20="Tier 1",DE20=0,DF20=0),"Tier 1","Tier 2")))</f>
        <v>No Tier</v>
      </c>
      <c r="DI20" s="2938">
        <f t="shared" si="78"/>
        <v>0</v>
      </c>
      <c r="DJ20" s="2938" t="str">
        <f t="shared" si="79"/>
        <v/>
      </c>
      <c r="DL20" s="691"/>
      <c r="DM20" s="1047"/>
      <c r="DN20" s="1047"/>
      <c r="DO20" s="1047"/>
    </row>
    <row r="21" spans="1:119" ht="15.6" hidden="1">
      <c r="A21" s="10"/>
      <c r="B21" s="2899" t="str">
        <f t="shared" si="89"/>
        <v/>
      </c>
      <c r="C21" s="3240" t="str">
        <f t="shared" si="90"/>
        <v/>
      </c>
      <c r="D21" s="3240"/>
      <c r="E21" s="1579">
        <f t="shared" si="5"/>
        <v>0</v>
      </c>
      <c r="F21" s="1579">
        <f t="shared" si="80"/>
        <v>0</v>
      </c>
      <c r="G21" s="2827" t="str">
        <f t="shared" si="6"/>
        <v/>
      </c>
      <c r="H21" s="1580" t="str">
        <f>IF(G21="","",G21*'R1 Sum'!$E$36)</f>
        <v/>
      </c>
      <c r="I21" s="1581" t="str">
        <f t="shared" si="7"/>
        <v/>
      </c>
      <c r="J21" s="1581" t="str">
        <f t="shared" si="8"/>
        <v/>
      </c>
      <c r="K21" s="1581" t="str">
        <f t="shared" si="91"/>
        <v/>
      </c>
      <c r="L21" s="21"/>
      <c r="M21" s="2857"/>
      <c r="N21" s="2806" t="str">
        <f t="shared" si="9"/>
        <v/>
      </c>
      <c r="O21" s="1044">
        <v>6</v>
      </c>
      <c r="P21" s="1043" t="str">
        <f t="shared" si="10"/>
        <v/>
      </c>
      <c r="Q21" s="1051" t="str">
        <f t="shared" si="11"/>
        <v/>
      </c>
      <c r="R21" s="1042"/>
      <c r="S21" s="1041"/>
      <c r="T21" s="1040"/>
      <c r="U21" s="1368"/>
      <c r="V21" s="1046" t="str">
        <f t="shared" si="81"/>
        <v/>
      </c>
      <c r="W21" s="2721" t="str">
        <f t="shared" si="12"/>
        <v/>
      </c>
      <c r="X21" s="2721"/>
      <c r="Y21" s="1039"/>
      <c r="Z21" s="2721" t="str">
        <f t="shared" si="13"/>
        <v/>
      </c>
      <c r="AA21" s="1038"/>
      <c r="AB21" s="1049"/>
      <c r="AC21" s="2912" t="str">
        <f t="shared" si="14"/>
        <v/>
      </c>
      <c r="AD21" s="2939"/>
      <c r="AE21" s="2940"/>
      <c r="AF21" s="2916" t="s">
        <v>2903</v>
      </c>
      <c r="AG21" s="2916" t="str">
        <f t="shared" si="82"/>
        <v>Yes</v>
      </c>
      <c r="AH21" s="2917"/>
      <c r="AI21" s="2918">
        <v>4000</v>
      </c>
      <c r="AJ21" s="2919">
        <v>4000</v>
      </c>
      <c r="AK21" s="2913" t="str">
        <f t="shared" ref="AK21:AK45" si="96">IF($CR21="","",VLOOKUP($CR21,Lookup_Table,12,FALSE))</f>
        <v/>
      </c>
      <c r="AL21" s="2920" t="str">
        <f t="shared" ref="AL21:AL45" si="97">IF($CR21="","",VLOOKUP($CR21,Lookup_Table,13,FALSE))</f>
        <v/>
      </c>
      <c r="AM21" s="2921" t="str">
        <f t="shared" ref="AM21:AM45" si="98">IF($CR21="","",VLOOKUP($CR21,Lookup_Table,14,FALSE))</f>
        <v/>
      </c>
      <c r="AN21" s="2922">
        <f t="shared" si="17"/>
        <v>0</v>
      </c>
      <c r="AO21" s="2923">
        <f t="shared" si="18"/>
        <v>0</v>
      </c>
      <c r="AP21" s="2924">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6" t="e">
        <f t="shared" si="31"/>
        <v>#N/A</v>
      </c>
      <c r="BC21" s="1029" t="e">
        <f t="shared" si="32"/>
        <v>#N/A</v>
      </c>
      <c r="BD21" s="1029" t="str">
        <f t="shared" si="33"/>
        <v/>
      </c>
      <c r="BE21" s="1029" t="e">
        <f t="shared" si="34"/>
        <v>#N/A</v>
      </c>
      <c r="BF21" s="1029" t="e">
        <f t="shared" si="35"/>
        <v>#N/A</v>
      </c>
      <c r="BG21" s="2927"/>
      <c r="BH21" s="2928"/>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29" t="str">
        <f t="shared" si="87"/>
        <v/>
      </c>
      <c r="CN21" s="2930" t="str">
        <f t="shared" si="59"/>
        <v/>
      </c>
      <c r="CO21" s="2930" t="str">
        <f t="shared" si="88"/>
        <v/>
      </c>
      <c r="CP21" s="2930" t="str">
        <f t="shared" si="60"/>
        <v/>
      </c>
      <c r="CQ21" s="2931" t="str">
        <f t="shared" si="61"/>
        <v/>
      </c>
      <c r="CR21" s="2932" t="str">
        <f t="shared" si="62"/>
        <v/>
      </c>
      <c r="CS21" s="2913" t="str">
        <f t="shared" si="63"/>
        <v/>
      </c>
      <c r="CT21" s="2920" t="str">
        <f t="shared" si="64"/>
        <v/>
      </c>
      <c r="CU21" s="2921" t="str">
        <f t="shared" si="65"/>
        <v/>
      </c>
      <c r="CV21" s="2913" t="str">
        <f t="shared" si="66"/>
        <v/>
      </c>
      <c r="CW21" s="2920" t="str">
        <f t="shared" si="67"/>
        <v/>
      </c>
      <c r="CX21" s="2921" t="str">
        <f t="shared" si="68"/>
        <v/>
      </c>
      <c r="CY21" s="2933" t="str">
        <f t="shared" si="69"/>
        <v/>
      </c>
      <c r="CZ21" s="2934" t="str">
        <f t="shared" si="70"/>
        <v/>
      </c>
      <c r="DA21" s="2934" t="str">
        <f t="shared" si="71"/>
        <v/>
      </c>
      <c r="DB21" s="2935" t="str">
        <f t="shared" si="72"/>
        <v/>
      </c>
      <c r="DC21" s="2935" t="str">
        <f t="shared" si="73"/>
        <v/>
      </c>
      <c r="DD21" s="2936" t="str">
        <f t="shared" si="74"/>
        <v/>
      </c>
      <c r="DE21" s="2934" t="str">
        <f t="shared" si="75"/>
        <v/>
      </c>
      <c r="DF21" s="2934" t="str">
        <f t="shared" si="76"/>
        <v/>
      </c>
      <c r="DG21" s="2937" t="str">
        <f t="shared" si="77"/>
        <v/>
      </c>
      <c r="DH21" s="2938" t="str">
        <f t="shared" si="95"/>
        <v>No Tier</v>
      </c>
      <c r="DI21" s="2938">
        <f t="shared" si="78"/>
        <v>0</v>
      </c>
      <c r="DJ21" s="2938" t="str">
        <f t="shared" si="79"/>
        <v/>
      </c>
      <c r="DL21" s="691"/>
      <c r="DM21" s="1047"/>
      <c r="DN21" s="1047"/>
      <c r="DO21" s="1047"/>
    </row>
    <row r="22" spans="1:119" ht="16.2" hidden="1" thickBot="1">
      <c r="A22" s="10"/>
      <c r="B22" s="2899" t="str">
        <f t="shared" si="89"/>
        <v/>
      </c>
      <c r="C22" s="3240" t="str">
        <f t="shared" si="90"/>
        <v/>
      </c>
      <c r="D22" s="3240"/>
      <c r="E22" s="1579">
        <f t="shared" si="5"/>
        <v>0</v>
      </c>
      <c r="F22" s="1579">
        <f t="shared" si="80"/>
        <v>0</v>
      </c>
      <c r="G22" s="2827" t="str">
        <f t="shared" si="6"/>
        <v/>
      </c>
      <c r="H22" s="1580" t="str">
        <f>IF(G22="","",G22*'R1 Sum'!$E$36)</f>
        <v/>
      </c>
      <c r="I22" s="1581" t="str">
        <f t="shared" si="7"/>
        <v/>
      </c>
      <c r="J22" s="1581" t="str">
        <f t="shared" si="8"/>
        <v/>
      </c>
      <c r="K22" s="1581" t="str">
        <f t="shared" si="91"/>
        <v/>
      </c>
      <c r="L22" s="21"/>
      <c r="M22" s="2857"/>
      <c r="N22" s="2806" t="str">
        <f t="shared" si="9"/>
        <v/>
      </c>
      <c r="O22" s="1044">
        <v>7</v>
      </c>
      <c r="P22" s="1043" t="str">
        <f t="shared" si="10"/>
        <v/>
      </c>
      <c r="Q22" s="1051" t="str">
        <f t="shared" si="11"/>
        <v/>
      </c>
      <c r="R22" s="1042"/>
      <c r="S22" s="1041"/>
      <c r="T22" s="1040"/>
      <c r="U22" s="1368"/>
      <c r="V22" s="1046" t="str">
        <f t="shared" si="81"/>
        <v/>
      </c>
      <c r="W22" s="2721" t="str">
        <f t="shared" si="12"/>
        <v/>
      </c>
      <c r="X22" s="2721"/>
      <c r="Y22" s="1039"/>
      <c r="Z22" s="2721" t="str">
        <f t="shared" si="13"/>
        <v/>
      </c>
      <c r="AA22" s="1038"/>
      <c r="AB22" s="1049"/>
      <c r="AC22" s="2912" t="str">
        <f t="shared" si="14"/>
        <v/>
      </c>
      <c r="AD22" s="2939"/>
      <c r="AE22" s="2940"/>
      <c r="AF22" s="2916" t="s">
        <v>2903</v>
      </c>
      <c r="AG22" s="2916" t="str">
        <f t="shared" si="82"/>
        <v>Yes</v>
      </c>
      <c r="AH22" s="2917"/>
      <c r="AI22" s="2918">
        <v>4000</v>
      </c>
      <c r="AJ22" s="2919">
        <v>4000</v>
      </c>
      <c r="AK22" s="2913" t="str">
        <f t="shared" si="96"/>
        <v/>
      </c>
      <c r="AL22" s="2920" t="str">
        <f t="shared" si="97"/>
        <v/>
      </c>
      <c r="AM22" s="2921" t="str">
        <f t="shared" si="98"/>
        <v/>
      </c>
      <c r="AN22" s="2922">
        <f t="shared" si="17"/>
        <v>0</v>
      </c>
      <c r="AO22" s="2923">
        <f t="shared" si="18"/>
        <v>0</v>
      </c>
      <c r="AP22" s="2924">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6" t="e">
        <f t="shared" si="31"/>
        <v>#N/A</v>
      </c>
      <c r="BC22" s="1029" t="e">
        <f t="shared" si="32"/>
        <v>#N/A</v>
      </c>
      <c r="BD22" s="1029" t="str">
        <f t="shared" si="33"/>
        <v/>
      </c>
      <c r="BE22" s="1029" t="e">
        <f t="shared" si="34"/>
        <v>#N/A</v>
      </c>
      <c r="BF22" s="1029" t="e">
        <f t="shared" si="35"/>
        <v>#N/A</v>
      </c>
      <c r="BG22" s="2927"/>
      <c r="BH22" s="2928"/>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29" t="str">
        <f t="shared" si="87"/>
        <v/>
      </c>
      <c r="CN22" s="2930" t="str">
        <f t="shared" si="59"/>
        <v/>
      </c>
      <c r="CO22" s="2930" t="str">
        <f t="shared" si="88"/>
        <v/>
      </c>
      <c r="CP22" s="2930" t="str">
        <f t="shared" si="60"/>
        <v/>
      </c>
      <c r="CQ22" s="2931" t="str">
        <f t="shared" si="61"/>
        <v/>
      </c>
      <c r="CR22" s="2932" t="str">
        <f t="shared" si="62"/>
        <v/>
      </c>
      <c r="CS22" s="2913" t="str">
        <f t="shared" si="63"/>
        <v/>
      </c>
      <c r="CT22" s="2920" t="str">
        <f t="shared" si="64"/>
        <v/>
      </c>
      <c r="CU22" s="2921" t="str">
        <f t="shared" si="65"/>
        <v/>
      </c>
      <c r="CV22" s="2913" t="str">
        <f t="shared" si="66"/>
        <v/>
      </c>
      <c r="CW22" s="2920" t="str">
        <f t="shared" si="67"/>
        <v/>
      </c>
      <c r="CX22" s="2921" t="str">
        <f t="shared" si="68"/>
        <v/>
      </c>
      <c r="CY22" s="2933" t="str">
        <f t="shared" si="69"/>
        <v/>
      </c>
      <c r="CZ22" s="2934" t="str">
        <f t="shared" si="70"/>
        <v/>
      </c>
      <c r="DA22" s="2934" t="str">
        <f t="shared" si="71"/>
        <v/>
      </c>
      <c r="DB22" s="2935" t="str">
        <f t="shared" si="72"/>
        <v/>
      </c>
      <c r="DC22" s="2935" t="str">
        <f t="shared" si="73"/>
        <v/>
      </c>
      <c r="DD22" s="2936" t="str">
        <f t="shared" si="74"/>
        <v/>
      </c>
      <c r="DE22" s="2934" t="str">
        <f t="shared" si="75"/>
        <v/>
      </c>
      <c r="DF22" s="2934" t="str">
        <f t="shared" si="76"/>
        <v/>
      </c>
      <c r="DG22" s="2937" t="str">
        <f t="shared" si="77"/>
        <v/>
      </c>
      <c r="DH22" s="2938" t="str">
        <f t="shared" si="95"/>
        <v>No Tier</v>
      </c>
      <c r="DI22" s="2938">
        <f t="shared" si="78"/>
        <v>0</v>
      </c>
      <c r="DJ22" s="2938" t="str">
        <f t="shared" si="79"/>
        <v/>
      </c>
      <c r="DL22" s="691"/>
    </row>
    <row r="23" spans="1:119" ht="15.6" hidden="1">
      <c r="A23" s="10"/>
      <c r="B23" s="2899" t="str">
        <f t="shared" si="89"/>
        <v/>
      </c>
      <c r="C23" s="3240" t="str">
        <f t="shared" si="90"/>
        <v/>
      </c>
      <c r="D23" s="3240"/>
      <c r="E23" s="1579">
        <f t="shared" si="5"/>
        <v>0</v>
      </c>
      <c r="F23" s="1579">
        <f t="shared" si="80"/>
        <v>0</v>
      </c>
      <c r="G23" s="2827" t="str">
        <f t="shared" si="6"/>
        <v/>
      </c>
      <c r="H23" s="1580" t="str">
        <f>IF(G23="","",G23*'R1 Sum'!$E$36)</f>
        <v/>
      </c>
      <c r="I23" s="1581" t="str">
        <f t="shared" si="7"/>
        <v/>
      </c>
      <c r="J23" s="1581" t="str">
        <f t="shared" si="8"/>
        <v/>
      </c>
      <c r="K23" s="1581" t="str">
        <f t="shared" si="91"/>
        <v/>
      </c>
      <c r="L23" s="21"/>
      <c r="M23" s="2857"/>
      <c r="N23" s="2806" t="str">
        <f t="shared" si="9"/>
        <v/>
      </c>
      <c r="O23" s="1044">
        <v>8</v>
      </c>
      <c r="P23" s="1043" t="str">
        <f t="shared" si="10"/>
        <v/>
      </c>
      <c r="Q23" s="1051" t="str">
        <f t="shared" si="11"/>
        <v/>
      </c>
      <c r="R23" s="1042"/>
      <c r="S23" s="1041"/>
      <c r="T23" s="1040"/>
      <c r="U23" s="1041"/>
      <c r="V23" s="1046" t="str">
        <f t="shared" si="81"/>
        <v/>
      </c>
      <c r="W23" s="2721" t="str">
        <f t="shared" si="12"/>
        <v/>
      </c>
      <c r="X23" s="2721"/>
      <c r="Y23" s="1039"/>
      <c r="Z23" s="2721" t="str">
        <f t="shared" si="13"/>
        <v/>
      </c>
      <c r="AA23" s="1038"/>
      <c r="AB23" s="1049"/>
      <c r="AC23" s="2912" t="str">
        <f t="shared" si="14"/>
        <v/>
      </c>
      <c r="AD23" s="2939"/>
      <c r="AE23" s="2940"/>
      <c r="AF23" s="2916" t="s">
        <v>2903</v>
      </c>
      <c r="AG23" s="2916" t="str">
        <f t="shared" si="82"/>
        <v>Yes</v>
      </c>
      <c r="AH23" s="2917"/>
      <c r="AI23" s="2918">
        <v>4000</v>
      </c>
      <c r="AJ23" s="2919">
        <v>4000</v>
      </c>
      <c r="AK23" s="2913" t="str">
        <f t="shared" si="96"/>
        <v/>
      </c>
      <c r="AL23" s="2920" t="str">
        <f t="shared" si="97"/>
        <v/>
      </c>
      <c r="AM23" s="2921" t="str">
        <f t="shared" si="98"/>
        <v/>
      </c>
      <c r="AN23" s="2922">
        <f t="shared" si="17"/>
        <v>0</v>
      </c>
      <c r="AO23" s="2923">
        <f t="shared" si="18"/>
        <v>0</v>
      </c>
      <c r="AP23" s="2924">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6" t="e">
        <f t="shared" si="31"/>
        <v>#N/A</v>
      </c>
      <c r="BC23" s="1029" t="e">
        <f t="shared" si="32"/>
        <v>#N/A</v>
      </c>
      <c r="BD23" s="1029" t="str">
        <f t="shared" si="33"/>
        <v/>
      </c>
      <c r="BE23" s="1029" t="e">
        <f t="shared" si="34"/>
        <v>#N/A</v>
      </c>
      <c r="BF23" s="1029" t="e">
        <f t="shared" si="35"/>
        <v>#N/A</v>
      </c>
      <c r="BG23" s="2927"/>
      <c r="BH23" s="2928"/>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29" t="str">
        <f t="shared" si="87"/>
        <v/>
      </c>
      <c r="CN23" s="2930" t="str">
        <f t="shared" si="59"/>
        <v/>
      </c>
      <c r="CO23" s="2930" t="str">
        <f t="shared" si="88"/>
        <v/>
      </c>
      <c r="CP23" s="2930" t="str">
        <f t="shared" si="60"/>
        <v/>
      </c>
      <c r="CQ23" s="2931" t="str">
        <f t="shared" si="61"/>
        <v/>
      </c>
      <c r="CR23" s="2932" t="str">
        <f t="shared" si="62"/>
        <v/>
      </c>
      <c r="CS23" s="2913" t="str">
        <f t="shared" si="63"/>
        <v/>
      </c>
      <c r="CT23" s="2920" t="str">
        <f t="shared" si="64"/>
        <v/>
      </c>
      <c r="CU23" s="2921" t="str">
        <f t="shared" si="65"/>
        <v/>
      </c>
      <c r="CV23" s="2913" t="str">
        <f t="shared" si="66"/>
        <v/>
      </c>
      <c r="CW23" s="2920" t="str">
        <f t="shared" si="67"/>
        <v/>
      </c>
      <c r="CX23" s="2921" t="str">
        <f t="shared" si="68"/>
        <v/>
      </c>
      <c r="CY23" s="2933" t="str">
        <f t="shared" si="69"/>
        <v/>
      </c>
      <c r="CZ23" s="2934" t="str">
        <f t="shared" si="70"/>
        <v/>
      </c>
      <c r="DA23" s="2934" t="str">
        <f t="shared" si="71"/>
        <v/>
      </c>
      <c r="DB23" s="2935" t="str">
        <f t="shared" si="72"/>
        <v/>
      </c>
      <c r="DC23" s="2935" t="str">
        <f t="shared" si="73"/>
        <v/>
      </c>
      <c r="DD23" s="2936" t="str">
        <f t="shared" si="74"/>
        <v/>
      </c>
      <c r="DE23" s="2934" t="str">
        <f t="shared" si="75"/>
        <v/>
      </c>
      <c r="DF23" s="2934" t="str">
        <f t="shared" si="76"/>
        <v/>
      </c>
      <c r="DG23" s="2937" t="str">
        <f t="shared" si="77"/>
        <v/>
      </c>
      <c r="DH23" s="2938" t="str">
        <f t="shared" si="95"/>
        <v>No Tier</v>
      </c>
      <c r="DI23" s="2938">
        <f t="shared" si="78"/>
        <v>0</v>
      </c>
      <c r="DJ23" s="2938" t="str">
        <f t="shared" si="79"/>
        <v/>
      </c>
      <c r="DL23" s="691"/>
    </row>
    <row r="24" spans="1:119" ht="15" hidden="1">
      <c r="A24" s="10"/>
      <c r="B24" s="2899" t="str">
        <f t="shared" si="89"/>
        <v/>
      </c>
      <c r="C24" s="3240" t="str">
        <f t="shared" si="90"/>
        <v/>
      </c>
      <c r="D24" s="3240"/>
      <c r="E24" s="1579">
        <f t="shared" si="5"/>
        <v>0</v>
      </c>
      <c r="F24" s="1579">
        <f t="shared" si="80"/>
        <v>0</v>
      </c>
      <c r="G24" s="2827" t="str">
        <f t="shared" si="6"/>
        <v/>
      </c>
      <c r="H24" s="1580" t="str">
        <f>IF(G24="","",G24*'R1 Sum'!$E$36)</f>
        <v/>
      </c>
      <c r="I24" s="1581" t="str">
        <f t="shared" si="7"/>
        <v/>
      </c>
      <c r="J24" s="1581" t="str">
        <f t="shared" si="8"/>
        <v/>
      </c>
      <c r="K24" s="1581" t="str">
        <f t="shared" si="91"/>
        <v/>
      </c>
      <c r="L24" s="21"/>
      <c r="M24" s="2857"/>
      <c r="N24" s="2806" t="str">
        <f t="shared" si="9"/>
        <v/>
      </c>
      <c r="O24" s="1044">
        <v>9</v>
      </c>
      <c r="P24" s="1043" t="str">
        <f t="shared" si="10"/>
        <v/>
      </c>
      <c r="Q24" s="1051" t="str">
        <f t="shared" si="11"/>
        <v/>
      </c>
      <c r="R24" s="1042"/>
      <c r="S24" s="1041"/>
      <c r="T24" s="1040"/>
      <c r="U24" s="1041"/>
      <c r="V24" s="1046" t="str">
        <f t="shared" si="81"/>
        <v/>
      </c>
      <c r="W24" s="2721" t="str">
        <f t="shared" si="12"/>
        <v/>
      </c>
      <c r="X24" s="2721"/>
      <c r="Y24" s="1039"/>
      <c r="Z24" s="2721" t="str">
        <f t="shared" si="13"/>
        <v/>
      </c>
      <c r="AA24" s="1038"/>
      <c r="AB24" s="1049"/>
      <c r="AC24" s="2912" t="str">
        <f t="shared" si="14"/>
        <v/>
      </c>
      <c r="AD24" s="2939"/>
      <c r="AE24" s="2940"/>
      <c r="AF24" s="2916" t="s">
        <v>2903</v>
      </c>
      <c r="AG24" s="2916" t="str">
        <f t="shared" si="82"/>
        <v>Yes</v>
      </c>
      <c r="AH24" s="2917"/>
      <c r="AI24" s="2918">
        <v>4000</v>
      </c>
      <c r="AJ24" s="2919">
        <v>4000</v>
      </c>
      <c r="AK24" s="2913" t="str">
        <f t="shared" si="96"/>
        <v/>
      </c>
      <c r="AL24" s="2920" t="str">
        <f t="shared" si="97"/>
        <v/>
      </c>
      <c r="AM24" s="2921" t="str">
        <f t="shared" si="98"/>
        <v/>
      </c>
      <c r="AN24" s="2922">
        <f t="shared" si="17"/>
        <v>0</v>
      </c>
      <c r="AO24" s="2923">
        <f t="shared" si="18"/>
        <v>0</v>
      </c>
      <c r="AP24" s="2924">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6" t="e">
        <f t="shared" si="31"/>
        <v>#N/A</v>
      </c>
      <c r="BC24" s="1029" t="e">
        <f t="shared" si="32"/>
        <v>#N/A</v>
      </c>
      <c r="BD24" s="1029" t="str">
        <f t="shared" si="33"/>
        <v/>
      </c>
      <c r="BE24" s="1029" t="e">
        <f t="shared" si="34"/>
        <v>#N/A</v>
      </c>
      <c r="BF24" s="1029" t="e">
        <f t="shared" si="35"/>
        <v>#N/A</v>
      </c>
      <c r="BG24" s="2927"/>
      <c r="BH24" s="2928"/>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29" t="str">
        <f t="shared" si="87"/>
        <v/>
      </c>
      <c r="CN24" s="2930" t="str">
        <f t="shared" si="59"/>
        <v/>
      </c>
      <c r="CO24" s="2930" t="str">
        <f t="shared" si="88"/>
        <v/>
      </c>
      <c r="CP24" s="2930" t="str">
        <f t="shared" si="60"/>
        <v/>
      </c>
      <c r="CQ24" s="2931" t="str">
        <f t="shared" si="61"/>
        <v/>
      </c>
      <c r="CR24" s="2932" t="str">
        <f t="shared" si="62"/>
        <v/>
      </c>
      <c r="CS24" s="2913" t="str">
        <f t="shared" si="63"/>
        <v/>
      </c>
      <c r="CT24" s="2920" t="str">
        <f t="shared" si="64"/>
        <v/>
      </c>
      <c r="CU24" s="2921" t="str">
        <f t="shared" si="65"/>
        <v/>
      </c>
      <c r="CV24" s="2913" t="str">
        <f t="shared" si="66"/>
        <v/>
      </c>
      <c r="CW24" s="2920" t="str">
        <f t="shared" si="67"/>
        <v/>
      </c>
      <c r="CX24" s="2921" t="str">
        <f t="shared" si="68"/>
        <v/>
      </c>
      <c r="CY24" s="2933" t="str">
        <f t="shared" si="69"/>
        <v/>
      </c>
      <c r="CZ24" s="2934" t="str">
        <f t="shared" si="70"/>
        <v/>
      </c>
      <c r="DA24" s="2934" t="str">
        <f t="shared" si="71"/>
        <v/>
      </c>
      <c r="DB24" s="2935" t="str">
        <f t="shared" si="72"/>
        <v/>
      </c>
      <c r="DC24" s="2935" t="str">
        <f t="shared" si="73"/>
        <v/>
      </c>
      <c r="DD24" s="2936" t="str">
        <f t="shared" si="74"/>
        <v/>
      </c>
      <c r="DE24" s="2934" t="str">
        <f t="shared" si="75"/>
        <v/>
      </c>
      <c r="DF24" s="2934" t="str">
        <f t="shared" si="76"/>
        <v/>
      </c>
      <c r="DG24" s="2937" t="str">
        <f t="shared" si="77"/>
        <v/>
      </c>
      <c r="DH24" s="2938" t="str">
        <f t="shared" si="95"/>
        <v>No Tier</v>
      </c>
      <c r="DI24" s="2938">
        <f t="shared" si="78"/>
        <v>0</v>
      </c>
      <c r="DJ24" s="2938" t="str">
        <f t="shared" si="79"/>
        <v/>
      </c>
      <c r="DK24" s="710"/>
    </row>
    <row r="25" spans="1:119" ht="15" hidden="1">
      <c r="A25" s="10"/>
      <c r="B25" s="2899" t="str">
        <f t="shared" si="89"/>
        <v/>
      </c>
      <c r="C25" s="3240" t="str">
        <f t="shared" si="90"/>
        <v/>
      </c>
      <c r="D25" s="3240"/>
      <c r="E25" s="1579">
        <f t="shared" si="5"/>
        <v>0</v>
      </c>
      <c r="F25" s="1579">
        <f t="shared" si="80"/>
        <v>0</v>
      </c>
      <c r="G25" s="2827" t="str">
        <f t="shared" si="6"/>
        <v/>
      </c>
      <c r="H25" s="1580" t="str">
        <f>IF(G25="","",G25*'R1 Sum'!$E$36)</f>
        <v/>
      </c>
      <c r="I25" s="1581" t="str">
        <f t="shared" si="7"/>
        <v/>
      </c>
      <c r="J25" s="1581" t="str">
        <f t="shared" si="8"/>
        <v/>
      </c>
      <c r="K25" s="1581" t="str">
        <f t="shared" si="91"/>
        <v/>
      </c>
      <c r="L25" s="21"/>
      <c r="M25" s="2857"/>
      <c r="N25" s="2806" t="str">
        <f t="shared" si="9"/>
        <v/>
      </c>
      <c r="O25" s="1044">
        <v>10</v>
      </c>
      <c r="P25" s="1043" t="str">
        <f t="shared" si="10"/>
        <v/>
      </c>
      <c r="Q25" s="1051" t="str">
        <f t="shared" si="11"/>
        <v/>
      </c>
      <c r="R25" s="1042"/>
      <c r="S25" s="1041"/>
      <c r="T25" s="1040"/>
      <c r="U25" s="1041"/>
      <c r="V25" s="1046" t="str">
        <f t="shared" si="81"/>
        <v/>
      </c>
      <c r="W25" s="2721" t="str">
        <f t="shared" si="12"/>
        <v/>
      </c>
      <c r="X25" s="2721"/>
      <c r="Y25" s="1039"/>
      <c r="Z25" s="2721" t="str">
        <f t="shared" si="13"/>
        <v/>
      </c>
      <c r="AA25" s="1038"/>
      <c r="AB25" s="1049"/>
      <c r="AC25" s="2912" t="str">
        <f t="shared" si="14"/>
        <v/>
      </c>
      <c r="AD25" s="2939"/>
      <c r="AE25" s="2940"/>
      <c r="AF25" s="2916" t="s">
        <v>2903</v>
      </c>
      <c r="AG25" s="2916" t="str">
        <f t="shared" si="82"/>
        <v>Yes</v>
      </c>
      <c r="AH25" s="2917"/>
      <c r="AI25" s="2918">
        <v>4000</v>
      </c>
      <c r="AJ25" s="2919">
        <v>4000</v>
      </c>
      <c r="AK25" s="2913" t="str">
        <f t="shared" si="96"/>
        <v/>
      </c>
      <c r="AL25" s="2920" t="str">
        <f t="shared" si="97"/>
        <v/>
      </c>
      <c r="AM25" s="2921" t="str">
        <f t="shared" si="98"/>
        <v/>
      </c>
      <c r="AN25" s="2922">
        <f t="shared" si="17"/>
        <v>0</v>
      </c>
      <c r="AO25" s="2923">
        <f t="shared" si="18"/>
        <v>0</v>
      </c>
      <c r="AP25" s="2924">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6" t="e">
        <f t="shared" si="31"/>
        <v>#N/A</v>
      </c>
      <c r="BC25" s="1029" t="e">
        <f t="shared" si="32"/>
        <v>#N/A</v>
      </c>
      <c r="BD25" s="1029" t="str">
        <f t="shared" si="33"/>
        <v/>
      </c>
      <c r="BE25" s="1029" t="e">
        <f t="shared" si="34"/>
        <v>#N/A</v>
      </c>
      <c r="BF25" s="1029" t="e">
        <f t="shared" si="35"/>
        <v>#N/A</v>
      </c>
      <c r="BG25" s="2927"/>
      <c r="BH25" s="2928"/>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29" t="str">
        <f t="shared" si="87"/>
        <v/>
      </c>
      <c r="CN25" s="2930" t="str">
        <f t="shared" si="59"/>
        <v/>
      </c>
      <c r="CO25" s="2930" t="str">
        <f t="shared" si="88"/>
        <v/>
      </c>
      <c r="CP25" s="2930" t="str">
        <f t="shared" si="60"/>
        <v/>
      </c>
      <c r="CQ25" s="2931" t="str">
        <f t="shared" si="61"/>
        <v/>
      </c>
      <c r="CR25" s="2932" t="str">
        <f t="shared" si="62"/>
        <v/>
      </c>
      <c r="CS25" s="2913" t="str">
        <f t="shared" si="63"/>
        <v/>
      </c>
      <c r="CT25" s="2920" t="str">
        <f t="shared" si="64"/>
        <v/>
      </c>
      <c r="CU25" s="2921" t="str">
        <f t="shared" si="65"/>
        <v/>
      </c>
      <c r="CV25" s="2913" t="str">
        <f t="shared" si="66"/>
        <v/>
      </c>
      <c r="CW25" s="2920" t="str">
        <f t="shared" si="67"/>
        <v/>
      </c>
      <c r="CX25" s="2921" t="str">
        <f t="shared" si="68"/>
        <v/>
      </c>
      <c r="CY25" s="2933" t="str">
        <f t="shared" si="69"/>
        <v/>
      </c>
      <c r="CZ25" s="2934" t="str">
        <f t="shared" si="70"/>
        <v/>
      </c>
      <c r="DA25" s="2934" t="str">
        <f t="shared" si="71"/>
        <v/>
      </c>
      <c r="DB25" s="2935" t="str">
        <f t="shared" si="72"/>
        <v/>
      </c>
      <c r="DC25" s="2935" t="str">
        <f t="shared" si="73"/>
        <v/>
      </c>
      <c r="DD25" s="2936" t="str">
        <f t="shared" si="74"/>
        <v/>
      </c>
      <c r="DE25" s="2934" t="str">
        <f t="shared" si="75"/>
        <v/>
      </c>
      <c r="DF25" s="2934" t="str">
        <f t="shared" si="76"/>
        <v/>
      </c>
      <c r="DG25" s="2937" t="str">
        <f t="shared" si="77"/>
        <v/>
      </c>
      <c r="DH25" s="2938" t="str">
        <f t="shared" si="95"/>
        <v>No Tier</v>
      </c>
      <c r="DI25" s="2938">
        <f t="shared" si="78"/>
        <v>0</v>
      </c>
      <c r="DJ25" s="2938" t="str">
        <f t="shared" si="79"/>
        <v/>
      </c>
      <c r="DK25" s="710"/>
    </row>
    <row r="26" spans="1:119" ht="15" hidden="1">
      <c r="A26" s="10"/>
      <c r="B26" s="2899" t="str">
        <f t="shared" si="89"/>
        <v/>
      </c>
      <c r="C26" s="3240" t="str">
        <f t="shared" si="90"/>
        <v/>
      </c>
      <c r="D26" s="3240"/>
      <c r="E26" s="1579">
        <f t="shared" si="5"/>
        <v>0</v>
      </c>
      <c r="F26" s="1579">
        <f t="shared" si="80"/>
        <v>0</v>
      </c>
      <c r="G26" s="2827" t="str">
        <f t="shared" si="6"/>
        <v/>
      </c>
      <c r="H26" s="1580" t="str">
        <f>IF(G26="","",G26*'R1 Sum'!$E$36)</f>
        <v/>
      </c>
      <c r="I26" s="1581" t="str">
        <f t="shared" si="7"/>
        <v/>
      </c>
      <c r="J26" s="1581" t="str">
        <f t="shared" si="8"/>
        <v/>
      </c>
      <c r="K26" s="1581" t="str">
        <f t="shared" si="91"/>
        <v/>
      </c>
      <c r="L26" s="21"/>
      <c r="M26" s="2857"/>
      <c r="N26" s="2806" t="str">
        <f t="shared" si="9"/>
        <v/>
      </c>
      <c r="O26" s="1044">
        <v>11</v>
      </c>
      <c r="P26" s="1043" t="str">
        <f t="shared" si="10"/>
        <v/>
      </c>
      <c r="Q26" s="1051" t="str">
        <f t="shared" si="11"/>
        <v/>
      </c>
      <c r="R26" s="1042"/>
      <c r="S26" s="1041"/>
      <c r="T26" s="1040"/>
      <c r="U26" s="1041"/>
      <c r="V26" s="1046" t="str">
        <f t="shared" si="81"/>
        <v/>
      </c>
      <c r="W26" s="2721" t="str">
        <f t="shared" si="12"/>
        <v/>
      </c>
      <c r="X26" s="2721"/>
      <c r="Y26" s="1039"/>
      <c r="Z26" s="2721" t="str">
        <f t="shared" si="13"/>
        <v/>
      </c>
      <c r="AA26" s="1038"/>
      <c r="AB26" s="1049"/>
      <c r="AC26" s="2912" t="str">
        <f t="shared" si="14"/>
        <v/>
      </c>
      <c r="AD26" s="2939"/>
      <c r="AE26" s="2940"/>
      <c r="AF26" s="2916" t="s">
        <v>2903</v>
      </c>
      <c r="AG26" s="2916" t="str">
        <f t="shared" si="82"/>
        <v>Yes</v>
      </c>
      <c r="AH26" s="2917"/>
      <c r="AI26" s="2918">
        <v>4000</v>
      </c>
      <c r="AJ26" s="2919">
        <v>4000</v>
      </c>
      <c r="AK26" s="2913" t="str">
        <f t="shared" si="96"/>
        <v/>
      </c>
      <c r="AL26" s="2920" t="str">
        <f t="shared" si="97"/>
        <v/>
      </c>
      <c r="AM26" s="2921" t="str">
        <f t="shared" si="98"/>
        <v/>
      </c>
      <c r="AN26" s="2922">
        <f t="shared" si="17"/>
        <v>0</v>
      </c>
      <c r="AO26" s="2923">
        <f t="shared" si="18"/>
        <v>0</v>
      </c>
      <c r="AP26" s="2924">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6" t="e">
        <f t="shared" si="31"/>
        <v>#N/A</v>
      </c>
      <c r="BC26" s="1029" t="e">
        <f t="shared" si="32"/>
        <v>#N/A</v>
      </c>
      <c r="BD26" s="1029" t="str">
        <f t="shared" si="33"/>
        <v/>
      </c>
      <c r="BE26" s="1029" t="e">
        <f t="shared" si="34"/>
        <v>#N/A</v>
      </c>
      <c r="BF26" s="1029" t="e">
        <f t="shared" si="35"/>
        <v>#N/A</v>
      </c>
      <c r="BG26" s="2927"/>
      <c r="BH26" s="2928"/>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29" t="str">
        <f t="shared" si="87"/>
        <v/>
      </c>
      <c r="CN26" s="2930" t="str">
        <f t="shared" si="59"/>
        <v/>
      </c>
      <c r="CO26" s="2930" t="str">
        <f t="shared" si="88"/>
        <v/>
      </c>
      <c r="CP26" s="2930" t="str">
        <f t="shared" si="60"/>
        <v/>
      </c>
      <c r="CQ26" s="2931" t="str">
        <f t="shared" si="61"/>
        <v/>
      </c>
      <c r="CR26" s="2932" t="str">
        <f t="shared" si="62"/>
        <v/>
      </c>
      <c r="CS26" s="2913" t="str">
        <f t="shared" si="63"/>
        <v/>
      </c>
      <c r="CT26" s="2920" t="str">
        <f t="shared" si="64"/>
        <v/>
      </c>
      <c r="CU26" s="2921" t="str">
        <f t="shared" si="65"/>
        <v/>
      </c>
      <c r="CV26" s="2913" t="str">
        <f t="shared" si="66"/>
        <v/>
      </c>
      <c r="CW26" s="2920" t="str">
        <f t="shared" si="67"/>
        <v/>
      </c>
      <c r="CX26" s="2921" t="str">
        <f t="shared" si="68"/>
        <v/>
      </c>
      <c r="CY26" s="2933" t="str">
        <f t="shared" si="69"/>
        <v/>
      </c>
      <c r="CZ26" s="2934" t="str">
        <f t="shared" si="70"/>
        <v/>
      </c>
      <c r="DA26" s="2934" t="str">
        <f t="shared" si="71"/>
        <v/>
      </c>
      <c r="DB26" s="2935" t="str">
        <f t="shared" si="72"/>
        <v/>
      </c>
      <c r="DC26" s="2935" t="str">
        <f t="shared" si="73"/>
        <v/>
      </c>
      <c r="DD26" s="2936" t="str">
        <f t="shared" si="74"/>
        <v/>
      </c>
      <c r="DE26" s="2934" t="str">
        <f t="shared" si="75"/>
        <v/>
      </c>
      <c r="DF26" s="2934" t="str">
        <f t="shared" si="76"/>
        <v/>
      </c>
      <c r="DG26" s="2937" t="str">
        <f t="shared" si="77"/>
        <v/>
      </c>
      <c r="DH26" s="2938" t="str">
        <f t="shared" si="95"/>
        <v>No Tier</v>
      </c>
      <c r="DI26" s="2938">
        <f t="shared" si="78"/>
        <v>0</v>
      </c>
      <c r="DJ26" s="2938" t="str">
        <f t="shared" si="79"/>
        <v/>
      </c>
      <c r="DK26" s="710"/>
    </row>
    <row r="27" spans="1:119" ht="15" hidden="1" customHeight="1">
      <c r="A27" s="10"/>
      <c r="B27" s="2899" t="str">
        <f t="shared" si="89"/>
        <v/>
      </c>
      <c r="C27" s="3240" t="str">
        <f t="shared" si="90"/>
        <v/>
      </c>
      <c r="D27" s="3240"/>
      <c r="E27" s="1579">
        <f t="shared" si="5"/>
        <v>0</v>
      </c>
      <c r="F27" s="1579">
        <f t="shared" si="80"/>
        <v>0</v>
      </c>
      <c r="G27" s="2827" t="str">
        <f t="shared" si="6"/>
        <v/>
      </c>
      <c r="H27" s="1580" t="str">
        <f>IF(G27="","",G27*'R1 Sum'!$E$36)</f>
        <v/>
      </c>
      <c r="I27" s="1581" t="str">
        <f t="shared" si="7"/>
        <v/>
      </c>
      <c r="J27" s="1581" t="str">
        <f t="shared" si="8"/>
        <v/>
      </c>
      <c r="K27" s="1581" t="str">
        <f t="shared" si="91"/>
        <v/>
      </c>
      <c r="L27" s="21"/>
      <c r="M27" s="2857"/>
      <c r="N27" s="2806" t="str">
        <f t="shared" si="9"/>
        <v/>
      </c>
      <c r="O27" s="1044">
        <v>12</v>
      </c>
      <c r="P27" s="1043" t="str">
        <f t="shared" si="10"/>
        <v/>
      </c>
      <c r="Q27" s="1051" t="str">
        <f t="shared" si="11"/>
        <v/>
      </c>
      <c r="R27" s="1042"/>
      <c r="S27" s="1041"/>
      <c r="T27" s="1040"/>
      <c r="U27" s="1041"/>
      <c r="V27" s="1046" t="str">
        <f t="shared" si="81"/>
        <v/>
      </c>
      <c r="W27" s="2721" t="str">
        <f t="shared" si="12"/>
        <v/>
      </c>
      <c r="X27" s="2721"/>
      <c r="Y27" s="1039"/>
      <c r="Z27" s="2721" t="str">
        <f t="shared" si="13"/>
        <v/>
      </c>
      <c r="AA27" s="1038"/>
      <c r="AB27" s="1049"/>
      <c r="AC27" s="2912" t="str">
        <f t="shared" si="14"/>
        <v/>
      </c>
      <c r="AD27" s="2939"/>
      <c r="AE27" s="2940"/>
      <c r="AF27" s="2916" t="s">
        <v>2903</v>
      </c>
      <c r="AG27" s="2916" t="str">
        <f t="shared" si="82"/>
        <v>Yes</v>
      </c>
      <c r="AH27" s="2917"/>
      <c r="AI27" s="2918">
        <v>4000</v>
      </c>
      <c r="AJ27" s="2919">
        <v>4000</v>
      </c>
      <c r="AK27" s="2913" t="str">
        <f t="shared" si="96"/>
        <v/>
      </c>
      <c r="AL27" s="2920" t="str">
        <f t="shared" si="97"/>
        <v/>
      </c>
      <c r="AM27" s="2921" t="str">
        <f t="shared" si="98"/>
        <v/>
      </c>
      <c r="AN27" s="2922">
        <f t="shared" si="17"/>
        <v>0</v>
      </c>
      <c r="AO27" s="2923">
        <f t="shared" si="18"/>
        <v>0</v>
      </c>
      <c r="AP27" s="2924">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6" t="e">
        <f t="shared" si="31"/>
        <v>#N/A</v>
      </c>
      <c r="BC27" s="1029" t="e">
        <f t="shared" si="32"/>
        <v>#N/A</v>
      </c>
      <c r="BD27" s="1029" t="str">
        <f t="shared" si="33"/>
        <v/>
      </c>
      <c r="BE27" s="1029" t="e">
        <f t="shared" si="34"/>
        <v>#N/A</v>
      </c>
      <c r="BF27" s="1029" t="e">
        <f t="shared" si="35"/>
        <v>#N/A</v>
      </c>
      <c r="BG27" s="2927"/>
      <c r="BH27" s="2928"/>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29" t="str">
        <f t="shared" si="87"/>
        <v/>
      </c>
      <c r="CN27" s="2930" t="str">
        <f t="shared" si="59"/>
        <v/>
      </c>
      <c r="CO27" s="2930" t="str">
        <f t="shared" si="88"/>
        <v/>
      </c>
      <c r="CP27" s="2930" t="str">
        <f t="shared" si="60"/>
        <v/>
      </c>
      <c r="CQ27" s="2931" t="str">
        <f t="shared" si="61"/>
        <v/>
      </c>
      <c r="CR27" s="2932" t="str">
        <f t="shared" si="62"/>
        <v/>
      </c>
      <c r="CS27" s="2913" t="str">
        <f t="shared" si="63"/>
        <v/>
      </c>
      <c r="CT27" s="2920" t="str">
        <f t="shared" si="64"/>
        <v/>
      </c>
      <c r="CU27" s="2921" t="str">
        <f t="shared" si="65"/>
        <v/>
      </c>
      <c r="CV27" s="2913" t="str">
        <f t="shared" si="66"/>
        <v/>
      </c>
      <c r="CW27" s="2920" t="str">
        <f t="shared" si="67"/>
        <v/>
      </c>
      <c r="CX27" s="2921" t="str">
        <f t="shared" si="68"/>
        <v/>
      </c>
      <c r="CY27" s="2933" t="str">
        <f t="shared" si="69"/>
        <v/>
      </c>
      <c r="CZ27" s="2934" t="str">
        <f t="shared" si="70"/>
        <v/>
      </c>
      <c r="DA27" s="2934" t="str">
        <f t="shared" si="71"/>
        <v/>
      </c>
      <c r="DB27" s="2935" t="str">
        <f t="shared" si="72"/>
        <v/>
      </c>
      <c r="DC27" s="2935" t="str">
        <f t="shared" si="73"/>
        <v/>
      </c>
      <c r="DD27" s="2936" t="str">
        <f t="shared" si="74"/>
        <v/>
      </c>
      <c r="DE27" s="2934" t="str">
        <f t="shared" si="75"/>
        <v/>
      </c>
      <c r="DF27" s="2934" t="str">
        <f t="shared" si="76"/>
        <v/>
      </c>
      <c r="DG27" s="2937" t="str">
        <f t="shared" si="77"/>
        <v/>
      </c>
      <c r="DH27" s="2938" t="str">
        <f t="shared" si="95"/>
        <v>No Tier</v>
      </c>
      <c r="DI27" s="2938">
        <f t="shared" si="78"/>
        <v>0</v>
      </c>
      <c r="DJ27" s="2938" t="str">
        <f t="shared" si="79"/>
        <v/>
      </c>
      <c r="DK27" s="710"/>
    </row>
    <row r="28" spans="1:119" ht="15" hidden="1">
      <c r="A28" s="10"/>
      <c r="B28" s="2899" t="str">
        <f t="shared" si="89"/>
        <v/>
      </c>
      <c r="C28" s="3240" t="str">
        <f t="shared" si="90"/>
        <v/>
      </c>
      <c r="D28" s="3240"/>
      <c r="E28" s="1579">
        <f t="shared" si="5"/>
        <v>0</v>
      </c>
      <c r="F28" s="1579">
        <f t="shared" si="80"/>
        <v>0</v>
      </c>
      <c r="G28" s="2827" t="str">
        <f t="shared" si="6"/>
        <v/>
      </c>
      <c r="H28" s="1580" t="str">
        <f>IF(G28="","",G28*'R1 Sum'!$E$36)</f>
        <v/>
      </c>
      <c r="I28" s="1581" t="str">
        <f t="shared" si="7"/>
        <v/>
      </c>
      <c r="J28" s="1581" t="str">
        <f t="shared" si="8"/>
        <v/>
      </c>
      <c r="K28" s="1581" t="str">
        <f t="shared" si="91"/>
        <v/>
      </c>
      <c r="L28" s="21"/>
      <c r="M28" s="2857"/>
      <c r="N28" s="2806" t="str">
        <f t="shared" si="9"/>
        <v/>
      </c>
      <c r="O28" s="1044">
        <v>13</v>
      </c>
      <c r="P28" s="1043" t="str">
        <f t="shared" si="10"/>
        <v/>
      </c>
      <c r="Q28" s="1051" t="str">
        <f t="shared" si="11"/>
        <v/>
      </c>
      <c r="R28" s="1042"/>
      <c r="S28" s="1041"/>
      <c r="T28" s="1040"/>
      <c r="U28" s="1041"/>
      <c r="V28" s="1046" t="str">
        <f t="shared" si="81"/>
        <v/>
      </c>
      <c r="W28" s="2721" t="str">
        <f t="shared" si="12"/>
        <v/>
      </c>
      <c r="X28" s="2721"/>
      <c r="Y28" s="1039"/>
      <c r="Z28" s="2721" t="str">
        <f t="shared" si="13"/>
        <v/>
      </c>
      <c r="AA28" s="1038"/>
      <c r="AB28" s="1049"/>
      <c r="AC28" s="2912" t="str">
        <f t="shared" si="14"/>
        <v/>
      </c>
      <c r="AD28" s="2939"/>
      <c r="AE28" s="2940"/>
      <c r="AF28" s="2916" t="s">
        <v>2903</v>
      </c>
      <c r="AG28" s="2916" t="str">
        <f t="shared" si="82"/>
        <v>Yes</v>
      </c>
      <c r="AH28" s="2917"/>
      <c r="AI28" s="2918">
        <v>4000</v>
      </c>
      <c r="AJ28" s="2919">
        <v>4000</v>
      </c>
      <c r="AK28" s="2913" t="str">
        <f t="shared" si="96"/>
        <v/>
      </c>
      <c r="AL28" s="2920" t="str">
        <f t="shared" si="97"/>
        <v/>
      </c>
      <c r="AM28" s="2921" t="str">
        <f t="shared" si="98"/>
        <v/>
      </c>
      <c r="AN28" s="2922">
        <f t="shared" si="17"/>
        <v>0</v>
      </c>
      <c r="AO28" s="2923">
        <f t="shared" si="18"/>
        <v>0</v>
      </c>
      <c r="AP28" s="2924">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6" t="e">
        <f t="shared" si="31"/>
        <v>#N/A</v>
      </c>
      <c r="BC28" s="1029" t="e">
        <f t="shared" si="32"/>
        <v>#N/A</v>
      </c>
      <c r="BD28" s="1029" t="str">
        <f t="shared" si="33"/>
        <v/>
      </c>
      <c r="BE28" s="1029" t="e">
        <f t="shared" si="34"/>
        <v>#N/A</v>
      </c>
      <c r="BF28" s="1029" t="e">
        <f t="shared" si="35"/>
        <v>#N/A</v>
      </c>
      <c r="BG28" s="2927"/>
      <c r="BH28" s="2928"/>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29" t="str">
        <f t="shared" si="87"/>
        <v/>
      </c>
      <c r="CN28" s="2930" t="str">
        <f t="shared" si="59"/>
        <v/>
      </c>
      <c r="CO28" s="2930" t="str">
        <f t="shared" si="88"/>
        <v/>
      </c>
      <c r="CP28" s="2930" t="str">
        <f t="shared" si="60"/>
        <v/>
      </c>
      <c r="CQ28" s="2931" t="str">
        <f t="shared" si="61"/>
        <v/>
      </c>
      <c r="CR28" s="2932" t="str">
        <f t="shared" si="62"/>
        <v/>
      </c>
      <c r="CS28" s="2913" t="str">
        <f t="shared" si="63"/>
        <v/>
      </c>
      <c r="CT28" s="2920" t="str">
        <f t="shared" si="64"/>
        <v/>
      </c>
      <c r="CU28" s="2921" t="str">
        <f t="shared" si="65"/>
        <v/>
      </c>
      <c r="CV28" s="2913" t="str">
        <f t="shared" si="66"/>
        <v/>
      </c>
      <c r="CW28" s="2920" t="str">
        <f t="shared" si="67"/>
        <v/>
      </c>
      <c r="CX28" s="2921" t="str">
        <f t="shared" si="68"/>
        <v/>
      </c>
      <c r="CY28" s="2933" t="str">
        <f t="shared" si="69"/>
        <v/>
      </c>
      <c r="CZ28" s="2934" t="str">
        <f t="shared" si="70"/>
        <v/>
      </c>
      <c r="DA28" s="2934" t="str">
        <f t="shared" si="71"/>
        <v/>
      </c>
      <c r="DB28" s="2935" t="str">
        <f t="shared" si="72"/>
        <v/>
      </c>
      <c r="DC28" s="2935" t="str">
        <f t="shared" si="73"/>
        <v/>
      </c>
      <c r="DD28" s="2936" t="str">
        <f t="shared" si="74"/>
        <v/>
      </c>
      <c r="DE28" s="2934" t="str">
        <f t="shared" si="75"/>
        <v/>
      </c>
      <c r="DF28" s="2934" t="str">
        <f t="shared" si="76"/>
        <v/>
      </c>
      <c r="DG28" s="2937" t="str">
        <f t="shared" si="77"/>
        <v/>
      </c>
      <c r="DH28" s="2938" t="str">
        <f t="shared" si="95"/>
        <v>No Tier</v>
      </c>
      <c r="DI28" s="2938">
        <f t="shared" si="78"/>
        <v>0</v>
      </c>
      <c r="DJ28" s="2938" t="str">
        <f t="shared" si="79"/>
        <v/>
      </c>
      <c r="DK28" s="710"/>
    </row>
    <row r="29" spans="1:119" ht="15" hidden="1">
      <c r="A29" s="10"/>
      <c r="B29" s="2899" t="str">
        <f t="shared" si="89"/>
        <v/>
      </c>
      <c r="C29" s="3240" t="str">
        <f t="shared" si="90"/>
        <v/>
      </c>
      <c r="D29" s="3240"/>
      <c r="E29" s="1579">
        <f t="shared" si="5"/>
        <v>0</v>
      </c>
      <c r="F29" s="1579">
        <f t="shared" si="80"/>
        <v>0</v>
      </c>
      <c r="G29" s="2827" t="str">
        <f t="shared" si="6"/>
        <v/>
      </c>
      <c r="H29" s="1580" t="str">
        <f>IF(G29="","",G29*'R1 Sum'!$E$36)</f>
        <v/>
      </c>
      <c r="I29" s="1581" t="str">
        <f t="shared" si="7"/>
        <v/>
      </c>
      <c r="J29" s="1581" t="str">
        <f t="shared" si="8"/>
        <v/>
      </c>
      <c r="K29" s="1581" t="str">
        <f t="shared" si="91"/>
        <v/>
      </c>
      <c r="L29" s="21"/>
      <c r="M29" s="2857"/>
      <c r="N29" s="2806" t="str">
        <f t="shared" si="9"/>
        <v/>
      </c>
      <c r="O29" s="1044">
        <v>14</v>
      </c>
      <c r="P29" s="1043" t="str">
        <f t="shared" si="10"/>
        <v/>
      </c>
      <c r="Q29" s="1051" t="str">
        <f t="shared" si="11"/>
        <v/>
      </c>
      <c r="R29" s="1042"/>
      <c r="S29" s="1041"/>
      <c r="T29" s="1040"/>
      <c r="U29" s="1041"/>
      <c r="V29" s="1046" t="str">
        <f t="shared" si="81"/>
        <v/>
      </c>
      <c r="W29" s="2721" t="str">
        <f t="shared" si="12"/>
        <v/>
      </c>
      <c r="X29" s="2721"/>
      <c r="Y29" s="1039"/>
      <c r="Z29" s="2721" t="str">
        <f t="shared" si="13"/>
        <v/>
      </c>
      <c r="AA29" s="1038"/>
      <c r="AB29" s="1049"/>
      <c r="AC29" s="2912" t="str">
        <f t="shared" si="14"/>
        <v/>
      </c>
      <c r="AD29" s="2939"/>
      <c r="AE29" s="2940"/>
      <c r="AF29" s="2916" t="s">
        <v>2903</v>
      </c>
      <c r="AG29" s="2916" t="str">
        <f t="shared" si="82"/>
        <v>Yes</v>
      </c>
      <c r="AH29" s="2917"/>
      <c r="AI29" s="2918">
        <v>4000</v>
      </c>
      <c r="AJ29" s="2919">
        <v>4000</v>
      </c>
      <c r="AK29" s="2913" t="str">
        <f t="shared" si="96"/>
        <v/>
      </c>
      <c r="AL29" s="2920" t="str">
        <f t="shared" si="97"/>
        <v/>
      </c>
      <c r="AM29" s="2921" t="str">
        <f t="shared" si="98"/>
        <v/>
      </c>
      <c r="AN29" s="2922">
        <f t="shared" si="17"/>
        <v>0</v>
      </c>
      <c r="AO29" s="2923">
        <f t="shared" si="18"/>
        <v>0</v>
      </c>
      <c r="AP29" s="2924">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6" t="e">
        <f t="shared" si="31"/>
        <v>#N/A</v>
      </c>
      <c r="BC29" s="1029" t="e">
        <f t="shared" si="32"/>
        <v>#N/A</v>
      </c>
      <c r="BD29" s="1029" t="str">
        <f t="shared" si="33"/>
        <v/>
      </c>
      <c r="BE29" s="1029" t="e">
        <f t="shared" si="34"/>
        <v>#N/A</v>
      </c>
      <c r="BF29" s="1029" t="e">
        <f t="shared" si="35"/>
        <v>#N/A</v>
      </c>
      <c r="BG29" s="2927"/>
      <c r="BH29" s="2928"/>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29" t="str">
        <f t="shared" si="87"/>
        <v/>
      </c>
      <c r="CN29" s="2930" t="str">
        <f t="shared" si="59"/>
        <v/>
      </c>
      <c r="CO29" s="2930" t="str">
        <f t="shared" si="88"/>
        <v/>
      </c>
      <c r="CP29" s="2930" t="str">
        <f t="shared" si="60"/>
        <v/>
      </c>
      <c r="CQ29" s="2931" t="str">
        <f t="shared" si="61"/>
        <v/>
      </c>
      <c r="CR29" s="2932" t="str">
        <f t="shared" si="62"/>
        <v/>
      </c>
      <c r="CS29" s="2913" t="str">
        <f t="shared" si="63"/>
        <v/>
      </c>
      <c r="CT29" s="2920" t="str">
        <f t="shared" si="64"/>
        <v/>
      </c>
      <c r="CU29" s="2921" t="str">
        <f t="shared" si="65"/>
        <v/>
      </c>
      <c r="CV29" s="2913" t="str">
        <f t="shared" si="66"/>
        <v/>
      </c>
      <c r="CW29" s="2920" t="str">
        <f t="shared" si="67"/>
        <v/>
      </c>
      <c r="CX29" s="2921" t="str">
        <f t="shared" si="68"/>
        <v/>
      </c>
      <c r="CY29" s="2933" t="str">
        <f t="shared" si="69"/>
        <v/>
      </c>
      <c r="CZ29" s="2934" t="str">
        <f t="shared" si="70"/>
        <v/>
      </c>
      <c r="DA29" s="2934" t="str">
        <f t="shared" si="71"/>
        <v/>
      </c>
      <c r="DB29" s="2935" t="str">
        <f t="shared" si="72"/>
        <v/>
      </c>
      <c r="DC29" s="2935" t="str">
        <f t="shared" si="73"/>
        <v/>
      </c>
      <c r="DD29" s="2936" t="str">
        <f t="shared" si="74"/>
        <v/>
      </c>
      <c r="DE29" s="2934" t="str">
        <f t="shared" si="75"/>
        <v/>
      </c>
      <c r="DF29" s="2934" t="str">
        <f t="shared" si="76"/>
        <v/>
      </c>
      <c r="DG29" s="2937" t="str">
        <f t="shared" si="77"/>
        <v/>
      </c>
      <c r="DH29" s="2938" t="str">
        <f t="shared" si="95"/>
        <v>No Tier</v>
      </c>
      <c r="DI29" s="2938">
        <f t="shared" si="78"/>
        <v>0</v>
      </c>
      <c r="DJ29" s="2938" t="str">
        <f t="shared" si="79"/>
        <v/>
      </c>
      <c r="DK29" s="710"/>
    </row>
    <row r="30" spans="1:119" ht="15" hidden="1">
      <c r="A30" s="10"/>
      <c r="B30" s="2899" t="str">
        <f t="shared" si="89"/>
        <v/>
      </c>
      <c r="C30" s="3240" t="str">
        <f t="shared" si="90"/>
        <v/>
      </c>
      <c r="D30" s="3240"/>
      <c r="E30" s="1579">
        <f t="shared" si="5"/>
        <v>0</v>
      </c>
      <c r="F30" s="1579">
        <f t="shared" si="80"/>
        <v>0</v>
      </c>
      <c r="G30" s="2827" t="str">
        <f t="shared" si="6"/>
        <v/>
      </c>
      <c r="H30" s="1580" t="str">
        <f>IF(G30="","",G30*'R1 Sum'!$E$36)</f>
        <v/>
      </c>
      <c r="I30" s="1581" t="str">
        <f t="shared" si="7"/>
        <v/>
      </c>
      <c r="J30" s="1581" t="str">
        <f t="shared" si="8"/>
        <v/>
      </c>
      <c r="K30" s="1581" t="str">
        <f t="shared" si="91"/>
        <v/>
      </c>
      <c r="L30" s="21"/>
      <c r="M30" s="2857"/>
      <c r="N30" s="2806" t="str">
        <f t="shared" si="9"/>
        <v/>
      </c>
      <c r="O30" s="1044">
        <v>15</v>
      </c>
      <c r="P30" s="1043" t="str">
        <f t="shared" si="10"/>
        <v/>
      </c>
      <c r="Q30" s="1051" t="str">
        <f t="shared" si="11"/>
        <v/>
      </c>
      <c r="R30" s="1042"/>
      <c r="S30" s="1041"/>
      <c r="T30" s="1040"/>
      <c r="U30" s="1041"/>
      <c r="V30" s="1046" t="str">
        <f t="shared" si="81"/>
        <v/>
      </c>
      <c r="W30" s="2721" t="str">
        <f t="shared" si="12"/>
        <v/>
      </c>
      <c r="X30" s="2721"/>
      <c r="Y30" s="1039"/>
      <c r="Z30" s="2721" t="str">
        <f t="shared" si="13"/>
        <v/>
      </c>
      <c r="AA30" s="1038"/>
      <c r="AB30" s="1049"/>
      <c r="AC30" s="2912" t="str">
        <f t="shared" si="14"/>
        <v/>
      </c>
      <c r="AD30" s="2939"/>
      <c r="AE30" s="2940"/>
      <c r="AF30" s="2916" t="s">
        <v>2903</v>
      </c>
      <c r="AG30" s="2916" t="str">
        <f t="shared" si="82"/>
        <v>Yes</v>
      </c>
      <c r="AH30" s="2917"/>
      <c r="AI30" s="2918">
        <v>4000</v>
      </c>
      <c r="AJ30" s="2919">
        <v>4000</v>
      </c>
      <c r="AK30" s="2913" t="str">
        <f t="shared" si="96"/>
        <v/>
      </c>
      <c r="AL30" s="2920" t="str">
        <f t="shared" si="97"/>
        <v/>
      </c>
      <c r="AM30" s="2921" t="str">
        <f t="shared" si="98"/>
        <v/>
      </c>
      <c r="AN30" s="2922">
        <f t="shared" si="17"/>
        <v>0</v>
      </c>
      <c r="AO30" s="2923">
        <f t="shared" si="18"/>
        <v>0</v>
      </c>
      <c r="AP30" s="2924">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6" t="e">
        <f t="shared" si="31"/>
        <v>#N/A</v>
      </c>
      <c r="BC30" s="1029" t="e">
        <f t="shared" si="32"/>
        <v>#N/A</v>
      </c>
      <c r="BD30" s="1029" t="str">
        <f t="shared" si="33"/>
        <v/>
      </c>
      <c r="BE30" s="1029" t="e">
        <f t="shared" si="34"/>
        <v>#N/A</v>
      </c>
      <c r="BF30" s="1029" t="e">
        <f t="shared" si="35"/>
        <v>#N/A</v>
      </c>
      <c r="BG30" s="2927"/>
      <c r="BH30" s="2928"/>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29" t="str">
        <f t="shared" si="87"/>
        <v/>
      </c>
      <c r="CN30" s="2930" t="str">
        <f t="shared" si="59"/>
        <v/>
      </c>
      <c r="CO30" s="2930" t="str">
        <f t="shared" si="88"/>
        <v/>
      </c>
      <c r="CP30" s="2930" t="str">
        <f t="shared" si="60"/>
        <v/>
      </c>
      <c r="CQ30" s="2931" t="str">
        <f t="shared" si="61"/>
        <v/>
      </c>
      <c r="CR30" s="2932" t="str">
        <f t="shared" si="62"/>
        <v/>
      </c>
      <c r="CS30" s="2913" t="str">
        <f t="shared" si="63"/>
        <v/>
      </c>
      <c r="CT30" s="2920" t="str">
        <f t="shared" si="64"/>
        <v/>
      </c>
      <c r="CU30" s="2921" t="str">
        <f t="shared" si="65"/>
        <v/>
      </c>
      <c r="CV30" s="2913" t="str">
        <f t="shared" si="66"/>
        <v/>
      </c>
      <c r="CW30" s="2920" t="str">
        <f t="shared" si="67"/>
        <v/>
      </c>
      <c r="CX30" s="2921" t="str">
        <f t="shared" si="68"/>
        <v/>
      </c>
      <c r="CY30" s="2933" t="str">
        <f t="shared" si="69"/>
        <v/>
      </c>
      <c r="CZ30" s="2934" t="str">
        <f t="shared" si="70"/>
        <v/>
      </c>
      <c r="DA30" s="2934" t="str">
        <f t="shared" si="71"/>
        <v/>
      </c>
      <c r="DB30" s="2935" t="str">
        <f t="shared" si="72"/>
        <v/>
      </c>
      <c r="DC30" s="2935" t="str">
        <f t="shared" si="73"/>
        <v/>
      </c>
      <c r="DD30" s="2936" t="str">
        <f t="shared" si="74"/>
        <v/>
      </c>
      <c r="DE30" s="2934" t="str">
        <f t="shared" si="75"/>
        <v/>
      </c>
      <c r="DF30" s="2934" t="str">
        <f t="shared" si="76"/>
        <v/>
      </c>
      <c r="DG30" s="2937" t="str">
        <f t="shared" si="77"/>
        <v/>
      </c>
      <c r="DH30" s="2938" t="str">
        <f t="shared" si="95"/>
        <v>No Tier</v>
      </c>
      <c r="DI30" s="2938">
        <f t="shared" si="78"/>
        <v>0</v>
      </c>
      <c r="DJ30" s="2938" t="str">
        <f t="shared" si="79"/>
        <v/>
      </c>
      <c r="DK30" s="710"/>
    </row>
    <row r="31" spans="1:119" ht="15" hidden="1">
      <c r="A31" s="10"/>
      <c r="B31" s="2899" t="str">
        <f t="shared" si="89"/>
        <v/>
      </c>
      <c r="C31" s="3240" t="str">
        <f t="shared" si="90"/>
        <v/>
      </c>
      <c r="D31" s="3240"/>
      <c r="E31" s="1579">
        <f t="shared" si="5"/>
        <v>0</v>
      </c>
      <c r="F31" s="1579">
        <f t="shared" si="80"/>
        <v>0</v>
      </c>
      <c r="G31" s="2827" t="str">
        <f t="shared" si="6"/>
        <v/>
      </c>
      <c r="H31" s="1580" t="str">
        <f>IF(G31="","",G31*'R1 Sum'!$E$36)</f>
        <v/>
      </c>
      <c r="I31" s="1581" t="str">
        <f t="shared" si="7"/>
        <v/>
      </c>
      <c r="J31" s="1581" t="str">
        <f t="shared" si="8"/>
        <v/>
      </c>
      <c r="K31" s="1581" t="str">
        <f t="shared" si="91"/>
        <v/>
      </c>
      <c r="L31" s="21"/>
      <c r="M31" s="2857"/>
      <c r="N31" s="2806" t="str">
        <f t="shared" si="9"/>
        <v/>
      </c>
      <c r="O31" s="1044">
        <v>16</v>
      </c>
      <c r="P31" s="1043" t="str">
        <f t="shared" si="10"/>
        <v/>
      </c>
      <c r="Q31" s="1051" t="str">
        <f t="shared" si="11"/>
        <v/>
      </c>
      <c r="R31" s="1042"/>
      <c r="S31" s="1041"/>
      <c r="T31" s="1040"/>
      <c r="U31" s="1041"/>
      <c r="V31" s="1046" t="str">
        <f t="shared" si="81"/>
        <v/>
      </c>
      <c r="W31" s="2721" t="str">
        <f t="shared" si="12"/>
        <v/>
      </c>
      <c r="X31" s="2721"/>
      <c r="Y31" s="1039"/>
      <c r="Z31" s="2721" t="str">
        <f t="shared" si="13"/>
        <v/>
      </c>
      <c r="AA31" s="1038"/>
      <c r="AB31" s="1049"/>
      <c r="AC31" s="2912" t="str">
        <f t="shared" si="14"/>
        <v/>
      </c>
      <c r="AD31" s="2939"/>
      <c r="AE31" s="2940"/>
      <c r="AF31" s="2916" t="s">
        <v>2903</v>
      </c>
      <c r="AG31" s="2916" t="str">
        <f t="shared" si="82"/>
        <v>Yes</v>
      </c>
      <c r="AH31" s="2917"/>
      <c r="AI31" s="2918">
        <v>4000</v>
      </c>
      <c r="AJ31" s="2919">
        <v>4000</v>
      </c>
      <c r="AK31" s="2913" t="str">
        <f t="shared" si="96"/>
        <v/>
      </c>
      <c r="AL31" s="2920" t="str">
        <f t="shared" si="97"/>
        <v/>
      </c>
      <c r="AM31" s="2921" t="str">
        <f t="shared" si="98"/>
        <v/>
      </c>
      <c r="AN31" s="2922">
        <f t="shared" si="17"/>
        <v>0</v>
      </c>
      <c r="AO31" s="2923">
        <f t="shared" si="18"/>
        <v>0</v>
      </c>
      <c r="AP31" s="2924">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6" t="e">
        <f t="shared" si="31"/>
        <v>#N/A</v>
      </c>
      <c r="BC31" s="1029" t="e">
        <f t="shared" si="32"/>
        <v>#N/A</v>
      </c>
      <c r="BD31" s="1029" t="str">
        <f t="shared" si="33"/>
        <v/>
      </c>
      <c r="BE31" s="1029" t="e">
        <f t="shared" si="34"/>
        <v>#N/A</v>
      </c>
      <c r="BF31" s="1029" t="e">
        <f t="shared" si="35"/>
        <v>#N/A</v>
      </c>
      <c r="BG31" s="2927"/>
      <c r="BH31" s="2928"/>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29" t="str">
        <f t="shared" si="87"/>
        <v/>
      </c>
      <c r="CN31" s="2930" t="str">
        <f t="shared" si="59"/>
        <v/>
      </c>
      <c r="CO31" s="2930" t="str">
        <f t="shared" si="88"/>
        <v/>
      </c>
      <c r="CP31" s="2930" t="str">
        <f t="shared" si="60"/>
        <v/>
      </c>
      <c r="CQ31" s="2931" t="str">
        <f t="shared" si="61"/>
        <v/>
      </c>
      <c r="CR31" s="2932" t="str">
        <f t="shared" si="62"/>
        <v/>
      </c>
      <c r="CS31" s="2913" t="str">
        <f t="shared" si="63"/>
        <v/>
      </c>
      <c r="CT31" s="2920" t="str">
        <f t="shared" si="64"/>
        <v/>
      </c>
      <c r="CU31" s="2921" t="str">
        <f t="shared" si="65"/>
        <v/>
      </c>
      <c r="CV31" s="2913" t="str">
        <f t="shared" si="66"/>
        <v/>
      </c>
      <c r="CW31" s="2920" t="str">
        <f t="shared" si="67"/>
        <v/>
      </c>
      <c r="CX31" s="2921" t="str">
        <f t="shared" si="68"/>
        <v/>
      </c>
      <c r="CY31" s="2933" t="str">
        <f t="shared" si="69"/>
        <v/>
      </c>
      <c r="CZ31" s="2934" t="str">
        <f t="shared" si="70"/>
        <v/>
      </c>
      <c r="DA31" s="2934" t="str">
        <f t="shared" si="71"/>
        <v/>
      </c>
      <c r="DB31" s="2935" t="str">
        <f t="shared" si="72"/>
        <v/>
      </c>
      <c r="DC31" s="2935" t="str">
        <f t="shared" si="73"/>
        <v/>
      </c>
      <c r="DD31" s="2936" t="str">
        <f t="shared" si="74"/>
        <v/>
      </c>
      <c r="DE31" s="2934" t="str">
        <f t="shared" si="75"/>
        <v/>
      </c>
      <c r="DF31" s="2934" t="str">
        <f t="shared" si="76"/>
        <v/>
      </c>
      <c r="DG31" s="2937" t="str">
        <f t="shared" si="77"/>
        <v/>
      </c>
      <c r="DH31" s="2938" t="str">
        <f t="shared" si="95"/>
        <v>No Tier</v>
      </c>
      <c r="DI31" s="2938">
        <f t="shared" si="78"/>
        <v>0</v>
      </c>
      <c r="DJ31" s="2938" t="str">
        <f t="shared" si="79"/>
        <v/>
      </c>
      <c r="DK31" s="710"/>
    </row>
    <row r="32" spans="1:119" ht="15" hidden="1" customHeight="1">
      <c r="A32" s="10"/>
      <c r="B32" s="2899" t="str">
        <f t="shared" si="89"/>
        <v/>
      </c>
      <c r="C32" s="3240" t="str">
        <f t="shared" si="90"/>
        <v/>
      </c>
      <c r="D32" s="3240"/>
      <c r="E32" s="1579">
        <f t="shared" si="5"/>
        <v>0</v>
      </c>
      <c r="F32" s="1579">
        <f t="shared" si="80"/>
        <v>0</v>
      </c>
      <c r="G32" s="2827" t="str">
        <f t="shared" si="6"/>
        <v/>
      </c>
      <c r="H32" s="1580" t="str">
        <f>IF(G32="","",G32*'R1 Sum'!$E$36)</f>
        <v/>
      </c>
      <c r="I32" s="1581" t="str">
        <f t="shared" si="7"/>
        <v/>
      </c>
      <c r="J32" s="1581" t="str">
        <f t="shared" si="8"/>
        <v/>
      </c>
      <c r="K32" s="1581" t="str">
        <f t="shared" si="91"/>
        <v/>
      </c>
      <c r="L32" s="21"/>
      <c r="M32" s="2857"/>
      <c r="N32" s="2806" t="str">
        <f t="shared" si="9"/>
        <v/>
      </c>
      <c r="O32" s="1044">
        <v>17</v>
      </c>
      <c r="P32" s="1043" t="str">
        <f t="shared" si="10"/>
        <v/>
      </c>
      <c r="Q32" s="1051" t="str">
        <f t="shared" si="11"/>
        <v/>
      </c>
      <c r="R32" s="1042"/>
      <c r="S32" s="1041"/>
      <c r="T32" s="1040"/>
      <c r="U32" s="1041"/>
      <c r="V32" s="1046" t="str">
        <f t="shared" si="81"/>
        <v/>
      </c>
      <c r="W32" s="2721" t="str">
        <f t="shared" si="12"/>
        <v/>
      </c>
      <c r="X32" s="2721"/>
      <c r="Y32" s="1039"/>
      <c r="Z32" s="2721" t="str">
        <f t="shared" si="13"/>
        <v/>
      </c>
      <c r="AA32" s="1038"/>
      <c r="AB32" s="1049"/>
      <c r="AC32" s="2912" t="str">
        <f t="shared" si="14"/>
        <v/>
      </c>
      <c r="AD32" s="2939"/>
      <c r="AE32" s="2940"/>
      <c r="AF32" s="2916" t="s">
        <v>2903</v>
      </c>
      <c r="AG32" s="2916" t="str">
        <f t="shared" si="82"/>
        <v>Yes</v>
      </c>
      <c r="AH32" s="2917"/>
      <c r="AI32" s="2918">
        <v>4000</v>
      </c>
      <c r="AJ32" s="2919">
        <v>4000</v>
      </c>
      <c r="AK32" s="2913" t="str">
        <f t="shared" si="96"/>
        <v/>
      </c>
      <c r="AL32" s="2920" t="str">
        <f t="shared" si="97"/>
        <v/>
      </c>
      <c r="AM32" s="2921" t="str">
        <f t="shared" si="98"/>
        <v/>
      </c>
      <c r="AN32" s="2922">
        <f t="shared" si="17"/>
        <v>0</v>
      </c>
      <c r="AO32" s="2923">
        <f t="shared" si="18"/>
        <v>0</v>
      </c>
      <c r="AP32" s="2924">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6" t="e">
        <f t="shared" si="31"/>
        <v>#N/A</v>
      </c>
      <c r="BC32" s="1029" t="e">
        <f t="shared" si="32"/>
        <v>#N/A</v>
      </c>
      <c r="BD32" s="1029" t="str">
        <f t="shared" si="33"/>
        <v/>
      </c>
      <c r="BE32" s="1029" t="e">
        <f t="shared" si="34"/>
        <v>#N/A</v>
      </c>
      <c r="BF32" s="1029" t="e">
        <f t="shared" si="35"/>
        <v>#N/A</v>
      </c>
      <c r="BG32" s="2927"/>
      <c r="BH32" s="2928"/>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29" t="str">
        <f t="shared" si="87"/>
        <v/>
      </c>
      <c r="CN32" s="2930" t="str">
        <f t="shared" si="59"/>
        <v/>
      </c>
      <c r="CO32" s="2930" t="str">
        <f t="shared" si="88"/>
        <v/>
      </c>
      <c r="CP32" s="2930" t="str">
        <f t="shared" si="60"/>
        <v/>
      </c>
      <c r="CQ32" s="2931" t="str">
        <f t="shared" si="61"/>
        <v/>
      </c>
      <c r="CR32" s="2932" t="str">
        <f t="shared" si="62"/>
        <v/>
      </c>
      <c r="CS32" s="2913" t="str">
        <f t="shared" si="63"/>
        <v/>
      </c>
      <c r="CT32" s="2920" t="str">
        <f t="shared" si="64"/>
        <v/>
      </c>
      <c r="CU32" s="2921" t="str">
        <f t="shared" si="65"/>
        <v/>
      </c>
      <c r="CV32" s="2913" t="str">
        <f t="shared" si="66"/>
        <v/>
      </c>
      <c r="CW32" s="2920" t="str">
        <f t="shared" si="67"/>
        <v/>
      </c>
      <c r="CX32" s="2921" t="str">
        <f t="shared" si="68"/>
        <v/>
      </c>
      <c r="CY32" s="2933" t="str">
        <f t="shared" si="69"/>
        <v/>
      </c>
      <c r="CZ32" s="2934" t="str">
        <f t="shared" si="70"/>
        <v/>
      </c>
      <c r="DA32" s="2934" t="str">
        <f t="shared" si="71"/>
        <v/>
      </c>
      <c r="DB32" s="2935" t="str">
        <f t="shared" si="72"/>
        <v/>
      </c>
      <c r="DC32" s="2935" t="str">
        <f t="shared" si="73"/>
        <v/>
      </c>
      <c r="DD32" s="2936" t="str">
        <f t="shared" si="74"/>
        <v/>
      </c>
      <c r="DE32" s="2934" t="str">
        <f t="shared" si="75"/>
        <v/>
      </c>
      <c r="DF32" s="2934" t="str">
        <f t="shared" si="76"/>
        <v/>
      </c>
      <c r="DG32" s="2937" t="str">
        <f t="shared" si="77"/>
        <v/>
      </c>
      <c r="DH32" s="2938" t="str">
        <f t="shared" si="95"/>
        <v>No Tier</v>
      </c>
      <c r="DI32" s="2938">
        <f t="shared" si="78"/>
        <v>0</v>
      </c>
      <c r="DJ32" s="2938" t="str">
        <f t="shared" si="79"/>
        <v/>
      </c>
      <c r="DK32" s="710"/>
    </row>
    <row r="33" spans="1:227" ht="15" hidden="1" customHeight="1">
      <c r="A33" s="10"/>
      <c r="B33" s="2899" t="str">
        <f t="shared" si="89"/>
        <v/>
      </c>
      <c r="C33" s="3240" t="str">
        <f t="shared" si="90"/>
        <v/>
      </c>
      <c r="D33" s="3240"/>
      <c r="E33" s="1579">
        <f t="shared" si="5"/>
        <v>0</v>
      </c>
      <c r="F33" s="1579">
        <f t="shared" si="80"/>
        <v>0</v>
      </c>
      <c r="G33" s="2827" t="str">
        <f t="shared" si="6"/>
        <v/>
      </c>
      <c r="H33" s="1580" t="str">
        <f>IF(G33="","",G33*'R1 Sum'!$E$36)</f>
        <v/>
      </c>
      <c r="I33" s="1581" t="str">
        <f t="shared" si="7"/>
        <v/>
      </c>
      <c r="J33" s="1581" t="str">
        <f t="shared" si="8"/>
        <v/>
      </c>
      <c r="K33" s="1581" t="str">
        <f t="shared" si="91"/>
        <v/>
      </c>
      <c r="L33" s="21"/>
      <c r="M33" s="2857"/>
      <c r="N33" s="2806" t="str">
        <f t="shared" si="9"/>
        <v/>
      </c>
      <c r="O33" s="1044">
        <v>18</v>
      </c>
      <c r="P33" s="1043" t="str">
        <f t="shared" si="10"/>
        <v/>
      </c>
      <c r="Q33" s="1051" t="str">
        <f t="shared" si="11"/>
        <v/>
      </c>
      <c r="R33" s="1042"/>
      <c r="S33" s="1041"/>
      <c r="T33" s="1040"/>
      <c r="U33" s="1041"/>
      <c r="V33" s="1046" t="str">
        <f t="shared" si="81"/>
        <v/>
      </c>
      <c r="W33" s="2721" t="str">
        <f t="shared" si="12"/>
        <v/>
      </c>
      <c r="X33" s="2721"/>
      <c r="Y33" s="1039"/>
      <c r="Z33" s="2721" t="str">
        <f t="shared" si="13"/>
        <v/>
      </c>
      <c r="AA33" s="1038"/>
      <c r="AB33" s="1049"/>
      <c r="AC33" s="2912" t="str">
        <f t="shared" si="14"/>
        <v/>
      </c>
      <c r="AD33" s="2939"/>
      <c r="AE33" s="2940"/>
      <c r="AF33" s="2916" t="s">
        <v>2903</v>
      </c>
      <c r="AG33" s="2916" t="str">
        <f t="shared" si="82"/>
        <v>Yes</v>
      </c>
      <c r="AH33" s="2917"/>
      <c r="AI33" s="2918">
        <v>4000</v>
      </c>
      <c r="AJ33" s="2919">
        <v>4000</v>
      </c>
      <c r="AK33" s="2913" t="str">
        <f t="shared" si="96"/>
        <v/>
      </c>
      <c r="AL33" s="2920" t="str">
        <f t="shared" si="97"/>
        <v/>
      </c>
      <c r="AM33" s="2921" t="str">
        <f t="shared" si="98"/>
        <v/>
      </c>
      <c r="AN33" s="2922">
        <f t="shared" si="17"/>
        <v>0</v>
      </c>
      <c r="AO33" s="2923">
        <f t="shared" si="18"/>
        <v>0</v>
      </c>
      <c r="AP33" s="2924">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6" t="e">
        <f t="shared" si="31"/>
        <v>#N/A</v>
      </c>
      <c r="BC33" s="1029" t="e">
        <f t="shared" si="32"/>
        <v>#N/A</v>
      </c>
      <c r="BD33" s="1029" t="str">
        <f t="shared" si="33"/>
        <v/>
      </c>
      <c r="BE33" s="1029" t="e">
        <f t="shared" si="34"/>
        <v>#N/A</v>
      </c>
      <c r="BF33" s="1029" t="e">
        <f t="shared" si="35"/>
        <v>#N/A</v>
      </c>
      <c r="BG33" s="2927"/>
      <c r="BH33" s="2928"/>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29" t="str">
        <f t="shared" si="87"/>
        <v/>
      </c>
      <c r="CN33" s="2930" t="str">
        <f t="shared" si="59"/>
        <v/>
      </c>
      <c r="CO33" s="2930" t="str">
        <f t="shared" si="88"/>
        <v/>
      </c>
      <c r="CP33" s="2930" t="str">
        <f t="shared" si="60"/>
        <v/>
      </c>
      <c r="CQ33" s="2931" t="str">
        <f t="shared" si="61"/>
        <v/>
      </c>
      <c r="CR33" s="2932" t="str">
        <f t="shared" si="62"/>
        <v/>
      </c>
      <c r="CS33" s="2913" t="str">
        <f t="shared" si="63"/>
        <v/>
      </c>
      <c r="CT33" s="2920" t="str">
        <f t="shared" si="64"/>
        <v/>
      </c>
      <c r="CU33" s="2921" t="str">
        <f t="shared" si="65"/>
        <v/>
      </c>
      <c r="CV33" s="2913" t="str">
        <f t="shared" si="66"/>
        <v/>
      </c>
      <c r="CW33" s="2920" t="str">
        <f t="shared" si="67"/>
        <v/>
      </c>
      <c r="CX33" s="2921" t="str">
        <f t="shared" si="68"/>
        <v/>
      </c>
      <c r="CY33" s="2933" t="str">
        <f t="shared" si="69"/>
        <v/>
      </c>
      <c r="CZ33" s="2934" t="str">
        <f t="shared" si="70"/>
        <v/>
      </c>
      <c r="DA33" s="2934" t="str">
        <f t="shared" si="71"/>
        <v/>
      </c>
      <c r="DB33" s="2935" t="str">
        <f t="shared" si="72"/>
        <v/>
      </c>
      <c r="DC33" s="2935" t="str">
        <f t="shared" si="73"/>
        <v/>
      </c>
      <c r="DD33" s="2936" t="str">
        <f t="shared" si="74"/>
        <v/>
      </c>
      <c r="DE33" s="2934" t="str">
        <f t="shared" si="75"/>
        <v/>
      </c>
      <c r="DF33" s="2934" t="str">
        <f t="shared" si="76"/>
        <v/>
      </c>
      <c r="DG33" s="2937" t="str">
        <f t="shared" si="77"/>
        <v/>
      </c>
      <c r="DH33" s="2938" t="str">
        <f t="shared" si="95"/>
        <v>No Tier</v>
      </c>
      <c r="DI33" s="2938">
        <f t="shared" si="78"/>
        <v>0</v>
      </c>
      <c r="DJ33" s="2938" t="str">
        <f t="shared" si="79"/>
        <v/>
      </c>
      <c r="DK33" s="710"/>
    </row>
    <row r="34" spans="1:227" ht="15" hidden="1" customHeight="1">
      <c r="A34" s="10"/>
      <c r="B34" s="2899" t="str">
        <f t="shared" si="89"/>
        <v/>
      </c>
      <c r="C34" s="3240" t="str">
        <f t="shared" si="90"/>
        <v/>
      </c>
      <c r="D34" s="3240"/>
      <c r="E34" s="1579">
        <f t="shared" si="5"/>
        <v>0</v>
      </c>
      <c r="F34" s="1579">
        <f t="shared" si="80"/>
        <v>0</v>
      </c>
      <c r="G34" s="2827" t="str">
        <f t="shared" si="6"/>
        <v/>
      </c>
      <c r="H34" s="1580" t="str">
        <f>IF(G34="","",G34*'R1 Sum'!$E$36)</f>
        <v/>
      </c>
      <c r="I34" s="1581" t="str">
        <f t="shared" si="7"/>
        <v/>
      </c>
      <c r="J34" s="1581" t="str">
        <f t="shared" si="8"/>
        <v/>
      </c>
      <c r="K34" s="1581" t="str">
        <f t="shared" si="91"/>
        <v/>
      </c>
      <c r="L34" s="21"/>
      <c r="M34" s="2857"/>
      <c r="N34" s="2806" t="str">
        <f t="shared" si="9"/>
        <v/>
      </c>
      <c r="O34" s="1044">
        <v>19</v>
      </c>
      <c r="P34" s="1043" t="str">
        <f t="shared" si="10"/>
        <v/>
      </c>
      <c r="Q34" s="1051" t="str">
        <f t="shared" si="11"/>
        <v/>
      </c>
      <c r="R34" s="1042"/>
      <c r="S34" s="1041"/>
      <c r="T34" s="1040"/>
      <c r="U34" s="1041"/>
      <c r="V34" s="1046" t="str">
        <f t="shared" si="81"/>
        <v/>
      </c>
      <c r="W34" s="2721" t="str">
        <f t="shared" si="12"/>
        <v/>
      </c>
      <c r="X34" s="2721"/>
      <c r="Y34" s="1039"/>
      <c r="Z34" s="2721" t="str">
        <f t="shared" si="13"/>
        <v/>
      </c>
      <c r="AA34" s="1038"/>
      <c r="AB34" s="1049"/>
      <c r="AC34" s="2912" t="str">
        <f t="shared" si="14"/>
        <v/>
      </c>
      <c r="AD34" s="2939"/>
      <c r="AE34" s="2940"/>
      <c r="AF34" s="2916" t="s">
        <v>2903</v>
      </c>
      <c r="AG34" s="2916" t="str">
        <f t="shared" si="82"/>
        <v>Yes</v>
      </c>
      <c r="AH34" s="2917"/>
      <c r="AI34" s="2918">
        <v>4000</v>
      </c>
      <c r="AJ34" s="2919">
        <v>4000</v>
      </c>
      <c r="AK34" s="2913" t="str">
        <f t="shared" si="96"/>
        <v/>
      </c>
      <c r="AL34" s="2920" t="str">
        <f t="shared" si="97"/>
        <v/>
      </c>
      <c r="AM34" s="2921" t="str">
        <f t="shared" si="98"/>
        <v/>
      </c>
      <c r="AN34" s="2922">
        <f t="shared" si="17"/>
        <v>0</v>
      </c>
      <c r="AO34" s="2923">
        <f t="shared" si="18"/>
        <v>0</v>
      </c>
      <c r="AP34" s="2924">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6" t="e">
        <f t="shared" si="31"/>
        <v>#N/A</v>
      </c>
      <c r="BC34" s="1029" t="e">
        <f t="shared" si="32"/>
        <v>#N/A</v>
      </c>
      <c r="BD34" s="1029" t="str">
        <f t="shared" si="33"/>
        <v/>
      </c>
      <c r="BE34" s="1029" t="e">
        <f t="shared" si="34"/>
        <v>#N/A</v>
      </c>
      <c r="BF34" s="1029" t="e">
        <f t="shared" si="35"/>
        <v>#N/A</v>
      </c>
      <c r="BG34" s="2927"/>
      <c r="BH34" s="2928"/>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29" t="str">
        <f t="shared" si="87"/>
        <v/>
      </c>
      <c r="CN34" s="2930" t="str">
        <f t="shared" si="59"/>
        <v/>
      </c>
      <c r="CO34" s="2930" t="str">
        <f t="shared" si="88"/>
        <v/>
      </c>
      <c r="CP34" s="2930" t="str">
        <f t="shared" si="60"/>
        <v/>
      </c>
      <c r="CQ34" s="2931" t="str">
        <f t="shared" si="61"/>
        <v/>
      </c>
      <c r="CR34" s="2932" t="str">
        <f t="shared" si="62"/>
        <v/>
      </c>
      <c r="CS34" s="2913" t="str">
        <f t="shared" si="63"/>
        <v/>
      </c>
      <c r="CT34" s="2920" t="str">
        <f t="shared" si="64"/>
        <v/>
      </c>
      <c r="CU34" s="2921" t="str">
        <f t="shared" si="65"/>
        <v/>
      </c>
      <c r="CV34" s="2913" t="str">
        <f t="shared" si="66"/>
        <v/>
      </c>
      <c r="CW34" s="2920" t="str">
        <f t="shared" si="67"/>
        <v/>
      </c>
      <c r="CX34" s="2921" t="str">
        <f t="shared" si="68"/>
        <v/>
      </c>
      <c r="CY34" s="2933" t="str">
        <f t="shared" si="69"/>
        <v/>
      </c>
      <c r="CZ34" s="2934" t="str">
        <f t="shared" si="70"/>
        <v/>
      </c>
      <c r="DA34" s="2934" t="str">
        <f t="shared" si="71"/>
        <v/>
      </c>
      <c r="DB34" s="2935" t="str">
        <f t="shared" si="72"/>
        <v/>
      </c>
      <c r="DC34" s="2935" t="str">
        <f t="shared" si="73"/>
        <v/>
      </c>
      <c r="DD34" s="2936" t="str">
        <f t="shared" si="74"/>
        <v/>
      </c>
      <c r="DE34" s="2934" t="str">
        <f t="shared" si="75"/>
        <v/>
      </c>
      <c r="DF34" s="2934" t="str">
        <f t="shared" si="76"/>
        <v/>
      </c>
      <c r="DG34" s="2937" t="str">
        <f t="shared" si="77"/>
        <v/>
      </c>
      <c r="DH34" s="2938" t="str">
        <f t="shared" si="95"/>
        <v>No Tier</v>
      </c>
      <c r="DI34" s="2938">
        <f t="shared" si="78"/>
        <v>0</v>
      </c>
      <c r="DJ34" s="2938" t="str">
        <f t="shared" si="79"/>
        <v/>
      </c>
      <c r="DK34" s="710"/>
    </row>
    <row r="35" spans="1:227" ht="15" hidden="1" customHeight="1">
      <c r="A35" s="10"/>
      <c r="B35" s="2899" t="str">
        <f t="shared" si="89"/>
        <v/>
      </c>
      <c r="C35" s="3240" t="str">
        <f t="shared" si="90"/>
        <v/>
      </c>
      <c r="D35" s="3240"/>
      <c r="E35" s="1579">
        <f t="shared" si="5"/>
        <v>0</v>
      </c>
      <c r="F35" s="1579">
        <f t="shared" si="80"/>
        <v>0</v>
      </c>
      <c r="G35" s="2827" t="str">
        <f t="shared" si="6"/>
        <v/>
      </c>
      <c r="H35" s="1580" t="str">
        <f>IF(G35="","",G35*'R1 Sum'!$E$36)</f>
        <v/>
      </c>
      <c r="I35" s="1581" t="str">
        <f t="shared" si="7"/>
        <v/>
      </c>
      <c r="J35" s="1581" t="str">
        <f t="shared" si="8"/>
        <v/>
      </c>
      <c r="K35" s="1581" t="str">
        <f t="shared" si="91"/>
        <v/>
      </c>
      <c r="L35" s="21"/>
      <c r="M35" s="2857"/>
      <c r="N35" s="2806" t="str">
        <f t="shared" si="9"/>
        <v/>
      </c>
      <c r="O35" s="1044">
        <v>20</v>
      </c>
      <c r="P35" s="1043" t="str">
        <f t="shared" si="10"/>
        <v/>
      </c>
      <c r="Q35" s="1051" t="str">
        <f t="shared" si="11"/>
        <v/>
      </c>
      <c r="R35" s="1042"/>
      <c r="S35" s="1041"/>
      <c r="T35" s="1040"/>
      <c r="U35" s="1041"/>
      <c r="V35" s="1046" t="str">
        <f t="shared" si="81"/>
        <v/>
      </c>
      <c r="W35" s="2721" t="str">
        <f t="shared" si="12"/>
        <v/>
      </c>
      <c r="X35" s="2721"/>
      <c r="Y35" s="1039"/>
      <c r="Z35" s="2721" t="str">
        <f t="shared" si="13"/>
        <v/>
      </c>
      <c r="AA35" s="1038"/>
      <c r="AB35" s="1049"/>
      <c r="AC35" s="2912" t="str">
        <f t="shared" si="14"/>
        <v/>
      </c>
      <c r="AD35" s="2939"/>
      <c r="AE35" s="2940"/>
      <c r="AF35" s="2916" t="s">
        <v>2903</v>
      </c>
      <c r="AG35" s="2916" t="str">
        <f t="shared" si="82"/>
        <v>Yes</v>
      </c>
      <c r="AH35" s="2917"/>
      <c r="AI35" s="2918">
        <v>4000</v>
      </c>
      <c r="AJ35" s="2919">
        <v>4000</v>
      </c>
      <c r="AK35" s="2913" t="str">
        <f t="shared" si="96"/>
        <v/>
      </c>
      <c r="AL35" s="2920" t="str">
        <f t="shared" si="97"/>
        <v/>
      </c>
      <c r="AM35" s="2921" t="str">
        <f t="shared" si="98"/>
        <v/>
      </c>
      <c r="AN35" s="2922">
        <f t="shared" si="17"/>
        <v>0</v>
      </c>
      <c r="AO35" s="2923">
        <f t="shared" si="18"/>
        <v>0</v>
      </c>
      <c r="AP35" s="2924">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6" t="e">
        <f t="shared" si="31"/>
        <v>#N/A</v>
      </c>
      <c r="BC35" s="1029" t="e">
        <f t="shared" si="32"/>
        <v>#N/A</v>
      </c>
      <c r="BD35" s="1029" t="str">
        <f t="shared" si="33"/>
        <v/>
      </c>
      <c r="BE35" s="1029" t="e">
        <f t="shared" si="34"/>
        <v>#N/A</v>
      </c>
      <c r="BF35" s="1029" t="e">
        <f t="shared" si="35"/>
        <v>#N/A</v>
      </c>
      <c r="BG35" s="2927"/>
      <c r="BH35" s="2928"/>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29" t="str">
        <f t="shared" si="87"/>
        <v/>
      </c>
      <c r="CN35" s="2930" t="str">
        <f t="shared" si="59"/>
        <v/>
      </c>
      <c r="CO35" s="2930" t="str">
        <f t="shared" si="88"/>
        <v/>
      </c>
      <c r="CP35" s="2930" t="str">
        <f t="shared" si="60"/>
        <v/>
      </c>
      <c r="CQ35" s="2931" t="str">
        <f t="shared" si="61"/>
        <v/>
      </c>
      <c r="CR35" s="2932" t="str">
        <f t="shared" si="62"/>
        <v/>
      </c>
      <c r="CS35" s="2913" t="str">
        <f t="shared" si="63"/>
        <v/>
      </c>
      <c r="CT35" s="2920" t="str">
        <f t="shared" si="64"/>
        <v/>
      </c>
      <c r="CU35" s="2921" t="str">
        <f t="shared" si="65"/>
        <v/>
      </c>
      <c r="CV35" s="2913" t="str">
        <f t="shared" si="66"/>
        <v/>
      </c>
      <c r="CW35" s="2920" t="str">
        <f t="shared" si="67"/>
        <v/>
      </c>
      <c r="CX35" s="2921" t="str">
        <f t="shared" si="68"/>
        <v/>
      </c>
      <c r="CY35" s="2933" t="str">
        <f t="shared" si="69"/>
        <v/>
      </c>
      <c r="CZ35" s="2934" t="str">
        <f t="shared" si="70"/>
        <v/>
      </c>
      <c r="DA35" s="2934" t="str">
        <f t="shared" si="71"/>
        <v/>
      </c>
      <c r="DB35" s="2935" t="str">
        <f t="shared" si="72"/>
        <v/>
      </c>
      <c r="DC35" s="2935" t="str">
        <f t="shared" si="73"/>
        <v/>
      </c>
      <c r="DD35" s="2936" t="str">
        <f t="shared" si="74"/>
        <v/>
      </c>
      <c r="DE35" s="2934" t="str">
        <f t="shared" si="75"/>
        <v/>
      </c>
      <c r="DF35" s="2934" t="str">
        <f t="shared" si="76"/>
        <v/>
      </c>
      <c r="DG35" s="2937" t="str">
        <f t="shared" si="77"/>
        <v/>
      </c>
      <c r="DH35" s="2938" t="str">
        <f t="shared" si="95"/>
        <v>No Tier</v>
      </c>
      <c r="DI35" s="2938">
        <f t="shared" si="78"/>
        <v>0</v>
      </c>
      <c r="DJ35" s="2938" t="str">
        <f t="shared" si="79"/>
        <v/>
      </c>
      <c r="DK35" s="710"/>
    </row>
    <row r="36" spans="1:227" ht="15" hidden="1" customHeight="1">
      <c r="A36" s="10"/>
      <c r="B36" s="2899" t="str">
        <f t="shared" si="89"/>
        <v/>
      </c>
      <c r="C36" s="3240" t="str">
        <f t="shared" si="90"/>
        <v/>
      </c>
      <c r="D36" s="3240"/>
      <c r="E36" s="1579">
        <f t="shared" si="5"/>
        <v>0</v>
      </c>
      <c r="F36" s="1579">
        <f t="shared" si="80"/>
        <v>0</v>
      </c>
      <c r="G36" s="2827" t="str">
        <f t="shared" si="6"/>
        <v/>
      </c>
      <c r="H36" s="1580" t="str">
        <f>IF(G36="","",G36*'R1 Sum'!$E$36)</f>
        <v/>
      </c>
      <c r="I36" s="1581" t="str">
        <f t="shared" si="7"/>
        <v/>
      </c>
      <c r="J36" s="1581" t="str">
        <f t="shared" si="8"/>
        <v/>
      </c>
      <c r="K36" s="1581" t="str">
        <f t="shared" si="91"/>
        <v/>
      </c>
      <c r="L36" s="21"/>
      <c r="M36" s="2857"/>
      <c r="N36" s="2806" t="str">
        <f t="shared" si="9"/>
        <v/>
      </c>
      <c r="O36" s="1044">
        <v>21</v>
      </c>
      <c r="P36" s="1043" t="str">
        <f t="shared" si="10"/>
        <v/>
      </c>
      <c r="Q36" s="1051" t="str">
        <f t="shared" si="11"/>
        <v/>
      </c>
      <c r="R36" s="1042"/>
      <c r="S36" s="1041"/>
      <c r="T36" s="1040"/>
      <c r="U36" s="1041"/>
      <c r="V36" s="1046" t="str">
        <f t="shared" si="81"/>
        <v/>
      </c>
      <c r="W36" s="2721" t="str">
        <f t="shared" si="12"/>
        <v/>
      </c>
      <c r="X36" s="2721"/>
      <c r="Y36" s="1039"/>
      <c r="Z36" s="2721" t="str">
        <f t="shared" si="13"/>
        <v/>
      </c>
      <c r="AA36" s="1038"/>
      <c r="AB36" s="1049"/>
      <c r="AC36" s="2912" t="str">
        <f t="shared" si="14"/>
        <v/>
      </c>
      <c r="AD36" s="2939"/>
      <c r="AE36" s="2940"/>
      <c r="AF36" s="2916" t="s">
        <v>2903</v>
      </c>
      <c r="AG36" s="2916" t="str">
        <f t="shared" si="82"/>
        <v>Yes</v>
      </c>
      <c r="AH36" s="2917"/>
      <c r="AI36" s="2918">
        <v>4000</v>
      </c>
      <c r="AJ36" s="2919">
        <v>4000</v>
      </c>
      <c r="AK36" s="2913" t="str">
        <f t="shared" si="96"/>
        <v/>
      </c>
      <c r="AL36" s="2920" t="str">
        <f t="shared" si="97"/>
        <v/>
      </c>
      <c r="AM36" s="2921" t="str">
        <f t="shared" si="98"/>
        <v/>
      </c>
      <c r="AN36" s="2922">
        <f t="shared" si="17"/>
        <v>0</v>
      </c>
      <c r="AO36" s="2923">
        <f t="shared" si="18"/>
        <v>0</v>
      </c>
      <c r="AP36" s="2924">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6" t="e">
        <f t="shared" si="31"/>
        <v>#N/A</v>
      </c>
      <c r="BC36" s="1029" t="e">
        <f t="shared" si="32"/>
        <v>#N/A</v>
      </c>
      <c r="BD36" s="1029" t="str">
        <f t="shared" si="33"/>
        <v/>
      </c>
      <c r="BE36" s="1029" t="e">
        <f t="shared" si="34"/>
        <v>#N/A</v>
      </c>
      <c r="BF36" s="1029" t="e">
        <f t="shared" si="35"/>
        <v>#N/A</v>
      </c>
      <c r="BG36" s="2927"/>
      <c r="BH36" s="2928"/>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29" t="str">
        <f t="shared" si="87"/>
        <v/>
      </c>
      <c r="CN36" s="2930" t="str">
        <f t="shared" si="59"/>
        <v/>
      </c>
      <c r="CO36" s="2930" t="str">
        <f t="shared" si="88"/>
        <v/>
      </c>
      <c r="CP36" s="2930" t="str">
        <f t="shared" si="60"/>
        <v/>
      </c>
      <c r="CQ36" s="2931" t="str">
        <f t="shared" si="61"/>
        <v/>
      </c>
      <c r="CR36" s="2932" t="str">
        <f t="shared" si="62"/>
        <v/>
      </c>
      <c r="CS36" s="2913" t="str">
        <f t="shared" si="63"/>
        <v/>
      </c>
      <c r="CT36" s="2920" t="str">
        <f t="shared" si="64"/>
        <v/>
      </c>
      <c r="CU36" s="2921" t="str">
        <f t="shared" si="65"/>
        <v/>
      </c>
      <c r="CV36" s="2913" t="str">
        <f t="shared" si="66"/>
        <v/>
      </c>
      <c r="CW36" s="2920" t="str">
        <f t="shared" si="67"/>
        <v/>
      </c>
      <c r="CX36" s="2921" t="str">
        <f t="shared" si="68"/>
        <v/>
      </c>
      <c r="CY36" s="2933" t="str">
        <f t="shared" si="69"/>
        <v/>
      </c>
      <c r="CZ36" s="2934" t="str">
        <f t="shared" si="70"/>
        <v/>
      </c>
      <c r="DA36" s="2934" t="str">
        <f t="shared" si="71"/>
        <v/>
      </c>
      <c r="DB36" s="2935" t="str">
        <f t="shared" si="72"/>
        <v/>
      </c>
      <c r="DC36" s="2935" t="str">
        <f t="shared" si="73"/>
        <v/>
      </c>
      <c r="DD36" s="2936" t="str">
        <f t="shared" si="74"/>
        <v/>
      </c>
      <c r="DE36" s="2934" t="str">
        <f t="shared" si="75"/>
        <v/>
      </c>
      <c r="DF36" s="2934" t="str">
        <f t="shared" si="76"/>
        <v/>
      </c>
      <c r="DG36" s="2937" t="str">
        <f t="shared" si="77"/>
        <v/>
      </c>
      <c r="DH36" s="2938" t="str">
        <f t="shared" si="95"/>
        <v>No Tier</v>
      </c>
      <c r="DI36" s="2938">
        <f t="shared" si="78"/>
        <v>0</v>
      </c>
      <c r="DJ36" s="2938" t="str">
        <f t="shared" si="79"/>
        <v/>
      </c>
      <c r="DK36" s="710"/>
    </row>
    <row r="37" spans="1:227" ht="15" hidden="1" customHeight="1">
      <c r="A37" s="10"/>
      <c r="B37" s="2899" t="str">
        <f t="shared" si="89"/>
        <v/>
      </c>
      <c r="C37" s="3240" t="str">
        <f t="shared" si="90"/>
        <v/>
      </c>
      <c r="D37" s="3240"/>
      <c r="E37" s="1579">
        <f t="shared" si="5"/>
        <v>0</v>
      </c>
      <c r="F37" s="1579">
        <f t="shared" si="80"/>
        <v>0</v>
      </c>
      <c r="G37" s="2827" t="str">
        <f t="shared" si="6"/>
        <v/>
      </c>
      <c r="H37" s="1580" t="str">
        <f>IF(G37="","",G37*'R1 Sum'!$E$36)</f>
        <v/>
      </c>
      <c r="I37" s="1581" t="str">
        <f t="shared" si="7"/>
        <v/>
      </c>
      <c r="J37" s="1581" t="str">
        <f t="shared" si="8"/>
        <v/>
      </c>
      <c r="K37" s="1581" t="str">
        <f t="shared" si="91"/>
        <v/>
      </c>
      <c r="L37" s="21"/>
      <c r="M37" s="2857"/>
      <c r="N37" s="2806" t="str">
        <f t="shared" si="9"/>
        <v/>
      </c>
      <c r="O37" s="1044">
        <v>22</v>
      </c>
      <c r="P37" s="1043" t="str">
        <f t="shared" si="10"/>
        <v/>
      </c>
      <c r="Q37" s="1051" t="str">
        <f t="shared" si="11"/>
        <v/>
      </c>
      <c r="R37" s="1042"/>
      <c r="S37" s="1041"/>
      <c r="T37" s="1040"/>
      <c r="U37" s="1041"/>
      <c r="V37" s="1046" t="str">
        <f t="shared" si="81"/>
        <v/>
      </c>
      <c r="W37" s="2721" t="str">
        <f t="shared" si="12"/>
        <v/>
      </c>
      <c r="X37" s="2721"/>
      <c r="Y37" s="1039"/>
      <c r="Z37" s="2721" t="str">
        <f t="shared" si="13"/>
        <v/>
      </c>
      <c r="AA37" s="1038"/>
      <c r="AB37" s="1049"/>
      <c r="AC37" s="2912" t="str">
        <f t="shared" si="14"/>
        <v/>
      </c>
      <c r="AD37" s="2939"/>
      <c r="AE37" s="2940"/>
      <c r="AF37" s="2916" t="s">
        <v>2903</v>
      </c>
      <c r="AG37" s="2916" t="str">
        <f t="shared" si="82"/>
        <v>Yes</v>
      </c>
      <c r="AH37" s="2917"/>
      <c r="AI37" s="2918">
        <v>4000</v>
      </c>
      <c r="AJ37" s="2919">
        <v>4000</v>
      </c>
      <c r="AK37" s="2913" t="str">
        <f t="shared" si="96"/>
        <v/>
      </c>
      <c r="AL37" s="2920" t="str">
        <f t="shared" si="97"/>
        <v/>
      </c>
      <c r="AM37" s="2921" t="str">
        <f t="shared" si="98"/>
        <v/>
      </c>
      <c r="AN37" s="2922">
        <f t="shared" si="17"/>
        <v>0</v>
      </c>
      <c r="AO37" s="2923">
        <f t="shared" si="18"/>
        <v>0</v>
      </c>
      <c r="AP37" s="2924">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6" t="e">
        <f t="shared" si="31"/>
        <v>#N/A</v>
      </c>
      <c r="BC37" s="1029" t="e">
        <f t="shared" si="32"/>
        <v>#N/A</v>
      </c>
      <c r="BD37" s="1029" t="str">
        <f t="shared" si="33"/>
        <v/>
      </c>
      <c r="BE37" s="1029" t="e">
        <f t="shared" si="34"/>
        <v>#N/A</v>
      </c>
      <c r="BF37" s="1029" t="e">
        <f t="shared" si="35"/>
        <v>#N/A</v>
      </c>
      <c r="BG37" s="2927"/>
      <c r="BH37" s="2928"/>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29" t="str">
        <f t="shared" si="87"/>
        <v/>
      </c>
      <c r="CN37" s="2930" t="str">
        <f t="shared" si="59"/>
        <v/>
      </c>
      <c r="CO37" s="2930" t="str">
        <f t="shared" si="88"/>
        <v/>
      </c>
      <c r="CP37" s="2930" t="str">
        <f t="shared" si="60"/>
        <v/>
      </c>
      <c r="CQ37" s="2931" t="str">
        <f t="shared" si="61"/>
        <v/>
      </c>
      <c r="CR37" s="2932" t="str">
        <f t="shared" si="62"/>
        <v/>
      </c>
      <c r="CS37" s="2913" t="str">
        <f t="shared" si="63"/>
        <v/>
      </c>
      <c r="CT37" s="2920" t="str">
        <f t="shared" si="64"/>
        <v/>
      </c>
      <c r="CU37" s="2921" t="str">
        <f t="shared" si="65"/>
        <v/>
      </c>
      <c r="CV37" s="2913" t="str">
        <f t="shared" si="66"/>
        <v/>
      </c>
      <c r="CW37" s="2920" t="str">
        <f t="shared" si="67"/>
        <v/>
      </c>
      <c r="CX37" s="2921" t="str">
        <f t="shared" si="68"/>
        <v/>
      </c>
      <c r="CY37" s="2933" t="str">
        <f t="shared" si="69"/>
        <v/>
      </c>
      <c r="CZ37" s="2934" t="str">
        <f t="shared" si="70"/>
        <v/>
      </c>
      <c r="DA37" s="2934" t="str">
        <f t="shared" si="71"/>
        <v/>
      </c>
      <c r="DB37" s="2935" t="str">
        <f t="shared" si="72"/>
        <v/>
      </c>
      <c r="DC37" s="2935" t="str">
        <f t="shared" si="73"/>
        <v/>
      </c>
      <c r="DD37" s="2936" t="str">
        <f t="shared" si="74"/>
        <v/>
      </c>
      <c r="DE37" s="2934" t="str">
        <f t="shared" si="75"/>
        <v/>
      </c>
      <c r="DF37" s="2934" t="str">
        <f t="shared" si="76"/>
        <v/>
      </c>
      <c r="DG37" s="2937" t="str">
        <f t="shared" si="77"/>
        <v/>
      </c>
      <c r="DH37" s="2938" t="str">
        <f t="shared" si="95"/>
        <v>No Tier</v>
      </c>
      <c r="DI37" s="2938">
        <f t="shared" si="78"/>
        <v>0</v>
      </c>
      <c r="DJ37" s="2938" t="str">
        <f t="shared" si="79"/>
        <v/>
      </c>
      <c r="DK37" s="710"/>
    </row>
    <row r="38" spans="1:227" s="1053" customFormat="1" ht="15" hidden="1" customHeight="1">
      <c r="A38" s="10"/>
      <c r="B38" s="2899" t="str">
        <f t="shared" si="89"/>
        <v/>
      </c>
      <c r="C38" s="3240" t="str">
        <f t="shared" si="90"/>
        <v/>
      </c>
      <c r="D38" s="3240"/>
      <c r="E38" s="1579">
        <f t="shared" si="5"/>
        <v>0</v>
      </c>
      <c r="F38" s="1579">
        <f t="shared" si="80"/>
        <v>0</v>
      </c>
      <c r="G38" s="2827" t="str">
        <f t="shared" si="6"/>
        <v/>
      </c>
      <c r="H38" s="1580" t="str">
        <f>IF(G38="","",G38*'R1 Sum'!$E$36)</f>
        <v/>
      </c>
      <c r="I38" s="1581" t="str">
        <f t="shared" si="7"/>
        <v/>
      </c>
      <c r="J38" s="1581" t="str">
        <f t="shared" si="8"/>
        <v/>
      </c>
      <c r="K38" s="1581" t="str">
        <f t="shared" si="91"/>
        <v/>
      </c>
      <c r="L38" s="21"/>
      <c r="M38" s="2857"/>
      <c r="N38" s="2806" t="str">
        <f t="shared" si="9"/>
        <v/>
      </c>
      <c r="O38" s="1044">
        <v>23</v>
      </c>
      <c r="P38" s="1043" t="str">
        <f t="shared" si="10"/>
        <v/>
      </c>
      <c r="Q38" s="1051" t="str">
        <f t="shared" si="11"/>
        <v/>
      </c>
      <c r="R38" s="1042"/>
      <c r="S38" s="1041"/>
      <c r="T38" s="1040"/>
      <c r="U38" s="1041"/>
      <c r="V38" s="1046" t="str">
        <f t="shared" si="81"/>
        <v/>
      </c>
      <c r="W38" s="2721" t="str">
        <f t="shared" si="12"/>
        <v/>
      </c>
      <c r="X38" s="2721"/>
      <c r="Y38" s="1039"/>
      <c r="Z38" s="2721" t="str">
        <f t="shared" si="13"/>
        <v/>
      </c>
      <c r="AA38" s="1038"/>
      <c r="AB38" s="1049"/>
      <c r="AC38" s="2912" t="str">
        <f t="shared" si="14"/>
        <v/>
      </c>
      <c r="AD38" s="2939"/>
      <c r="AE38" s="2940"/>
      <c r="AF38" s="2916" t="s">
        <v>2903</v>
      </c>
      <c r="AG38" s="2916" t="str">
        <f t="shared" si="82"/>
        <v>Yes</v>
      </c>
      <c r="AH38" s="2917"/>
      <c r="AI38" s="2918">
        <v>4000</v>
      </c>
      <c r="AJ38" s="2919">
        <v>4000</v>
      </c>
      <c r="AK38" s="2913" t="str">
        <f t="shared" si="96"/>
        <v/>
      </c>
      <c r="AL38" s="2920" t="str">
        <f t="shared" si="97"/>
        <v/>
      </c>
      <c r="AM38" s="2921" t="str">
        <f t="shared" si="98"/>
        <v/>
      </c>
      <c r="AN38" s="2922">
        <f t="shared" si="17"/>
        <v>0</v>
      </c>
      <c r="AO38" s="2923">
        <f t="shared" si="18"/>
        <v>0</v>
      </c>
      <c r="AP38" s="2924">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6" t="e">
        <f t="shared" si="31"/>
        <v>#N/A</v>
      </c>
      <c r="BC38" s="1029" t="e">
        <f t="shared" si="32"/>
        <v>#N/A</v>
      </c>
      <c r="BD38" s="1029" t="str">
        <f t="shared" si="33"/>
        <v/>
      </c>
      <c r="BE38" s="1029" t="e">
        <f t="shared" si="34"/>
        <v>#N/A</v>
      </c>
      <c r="BF38" s="1029" t="e">
        <f t="shared" si="35"/>
        <v>#N/A</v>
      </c>
      <c r="BG38" s="2927"/>
      <c r="BH38" s="2928"/>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29" t="str">
        <f t="shared" si="87"/>
        <v/>
      </c>
      <c r="CN38" s="2930" t="str">
        <f t="shared" si="59"/>
        <v/>
      </c>
      <c r="CO38" s="2930" t="str">
        <f t="shared" si="88"/>
        <v/>
      </c>
      <c r="CP38" s="2930" t="str">
        <f t="shared" si="60"/>
        <v/>
      </c>
      <c r="CQ38" s="2931" t="str">
        <f t="shared" si="61"/>
        <v/>
      </c>
      <c r="CR38" s="2932" t="str">
        <f t="shared" si="62"/>
        <v/>
      </c>
      <c r="CS38" s="2913" t="str">
        <f t="shared" si="63"/>
        <v/>
      </c>
      <c r="CT38" s="2920" t="str">
        <f t="shared" si="64"/>
        <v/>
      </c>
      <c r="CU38" s="2921" t="str">
        <f t="shared" si="65"/>
        <v/>
      </c>
      <c r="CV38" s="2913" t="str">
        <f t="shared" si="66"/>
        <v/>
      </c>
      <c r="CW38" s="2920" t="str">
        <f t="shared" si="67"/>
        <v/>
      </c>
      <c r="CX38" s="2921" t="str">
        <f t="shared" si="68"/>
        <v/>
      </c>
      <c r="CY38" s="2933" t="str">
        <f t="shared" si="69"/>
        <v/>
      </c>
      <c r="CZ38" s="2934" t="str">
        <f t="shared" si="70"/>
        <v/>
      </c>
      <c r="DA38" s="2934" t="str">
        <f t="shared" si="71"/>
        <v/>
      </c>
      <c r="DB38" s="2935" t="str">
        <f t="shared" si="72"/>
        <v/>
      </c>
      <c r="DC38" s="2935" t="str">
        <f t="shared" si="73"/>
        <v/>
      </c>
      <c r="DD38" s="2936" t="str">
        <f t="shared" si="74"/>
        <v/>
      </c>
      <c r="DE38" s="2934" t="str">
        <f t="shared" si="75"/>
        <v/>
      </c>
      <c r="DF38" s="2934" t="str">
        <f t="shared" si="76"/>
        <v/>
      </c>
      <c r="DG38" s="2937" t="str">
        <f t="shared" si="77"/>
        <v/>
      </c>
      <c r="DH38" s="2938" t="str">
        <f t="shared" si="95"/>
        <v>No Tier</v>
      </c>
      <c r="DI38" s="2938">
        <f t="shared" si="78"/>
        <v>0</v>
      </c>
      <c r="DJ38" s="2938"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899" t="str">
        <f t="shared" si="89"/>
        <v/>
      </c>
      <c r="C39" s="3240" t="str">
        <f t="shared" si="90"/>
        <v/>
      </c>
      <c r="D39" s="3240"/>
      <c r="E39" s="1579">
        <f t="shared" si="5"/>
        <v>0</v>
      </c>
      <c r="F39" s="1579">
        <f t="shared" si="80"/>
        <v>0</v>
      </c>
      <c r="G39" s="2827" t="str">
        <f t="shared" si="6"/>
        <v/>
      </c>
      <c r="H39" s="1580" t="str">
        <f>IF(G39="","",G39*'R1 Sum'!$E$36)</f>
        <v/>
      </c>
      <c r="I39" s="1581" t="str">
        <f t="shared" si="7"/>
        <v/>
      </c>
      <c r="J39" s="1581" t="str">
        <f t="shared" si="8"/>
        <v/>
      </c>
      <c r="K39" s="1581" t="str">
        <f t="shared" si="91"/>
        <v/>
      </c>
      <c r="L39" s="822"/>
      <c r="M39" s="1050"/>
      <c r="N39" s="2806" t="str">
        <f t="shared" si="9"/>
        <v/>
      </c>
      <c r="O39" s="1044">
        <v>24</v>
      </c>
      <c r="P39" s="1043" t="str">
        <f t="shared" si="10"/>
        <v/>
      </c>
      <c r="Q39" s="1051" t="str">
        <f t="shared" si="11"/>
        <v/>
      </c>
      <c r="R39" s="1042"/>
      <c r="S39" s="1041"/>
      <c r="T39" s="1040"/>
      <c r="U39" s="1041"/>
      <c r="V39" s="1046" t="str">
        <f t="shared" si="81"/>
        <v/>
      </c>
      <c r="W39" s="2721" t="str">
        <f t="shared" si="12"/>
        <v/>
      </c>
      <c r="X39" s="2721"/>
      <c r="Y39" s="1039"/>
      <c r="Z39" s="2721" t="str">
        <f t="shared" si="13"/>
        <v/>
      </c>
      <c r="AA39" s="1038"/>
      <c r="AB39" s="1049"/>
      <c r="AC39" s="2912" t="str">
        <f t="shared" si="14"/>
        <v/>
      </c>
      <c r="AD39" s="2939"/>
      <c r="AE39" s="2940"/>
      <c r="AF39" s="2916" t="s">
        <v>2903</v>
      </c>
      <c r="AG39" s="2916" t="str">
        <f t="shared" si="82"/>
        <v>Yes</v>
      </c>
      <c r="AH39" s="2917"/>
      <c r="AI39" s="2918">
        <v>4000</v>
      </c>
      <c r="AJ39" s="2919">
        <v>4000</v>
      </c>
      <c r="AK39" s="2913" t="str">
        <f t="shared" si="96"/>
        <v/>
      </c>
      <c r="AL39" s="2920" t="str">
        <f t="shared" si="97"/>
        <v/>
      </c>
      <c r="AM39" s="2921" t="str">
        <f t="shared" si="98"/>
        <v/>
      </c>
      <c r="AN39" s="2922">
        <f t="shared" si="17"/>
        <v>0</v>
      </c>
      <c r="AO39" s="2923">
        <f t="shared" si="18"/>
        <v>0</v>
      </c>
      <c r="AP39" s="2924">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6" t="e">
        <f t="shared" si="31"/>
        <v>#N/A</v>
      </c>
      <c r="BC39" s="1029" t="e">
        <f t="shared" si="32"/>
        <v>#N/A</v>
      </c>
      <c r="BD39" s="1029" t="str">
        <f t="shared" si="33"/>
        <v/>
      </c>
      <c r="BE39" s="1029" t="e">
        <f t="shared" si="34"/>
        <v>#N/A</v>
      </c>
      <c r="BF39" s="1029" t="e">
        <f t="shared" si="35"/>
        <v>#N/A</v>
      </c>
      <c r="BG39" s="2927"/>
      <c r="BH39" s="2928"/>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29" t="str">
        <f t="shared" si="87"/>
        <v/>
      </c>
      <c r="CN39" s="2930" t="str">
        <f t="shared" si="59"/>
        <v/>
      </c>
      <c r="CO39" s="2930" t="str">
        <f t="shared" si="88"/>
        <v/>
      </c>
      <c r="CP39" s="2930" t="str">
        <f t="shared" si="60"/>
        <v/>
      </c>
      <c r="CQ39" s="2931" t="str">
        <f t="shared" si="61"/>
        <v/>
      </c>
      <c r="CR39" s="2932" t="str">
        <f t="shared" si="62"/>
        <v/>
      </c>
      <c r="CS39" s="2913" t="str">
        <f t="shared" si="63"/>
        <v/>
      </c>
      <c r="CT39" s="2920" t="str">
        <f t="shared" si="64"/>
        <v/>
      </c>
      <c r="CU39" s="2921" t="str">
        <f t="shared" si="65"/>
        <v/>
      </c>
      <c r="CV39" s="2913" t="str">
        <f t="shared" si="66"/>
        <v/>
      </c>
      <c r="CW39" s="2920" t="str">
        <f t="shared" si="67"/>
        <v/>
      </c>
      <c r="CX39" s="2921" t="str">
        <f t="shared" si="68"/>
        <v/>
      </c>
      <c r="CY39" s="2933" t="str">
        <f t="shared" si="69"/>
        <v/>
      </c>
      <c r="CZ39" s="2934" t="str">
        <f t="shared" si="70"/>
        <v/>
      </c>
      <c r="DA39" s="2934" t="str">
        <f t="shared" si="71"/>
        <v/>
      </c>
      <c r="DB39" s="2935" t="str">
        <f t="shared" si="72"/>
        <v/>
      </c>
      <c r="DC39" s="2935" t="str">
        <f t="shared" si="73"/>
        <v/>
      </c>
      <c r="DD39" s="2936" t="str">
        <f t="shared" si="74"/>
        <v/>
      </c>
      <c r="DE39" s="2934" t="str">
        <f t="shared" si="75"/>
        <v/>
      </c>
      <c r="DF39" s="2934" t="str">
        <f t="shared" si="76"/>
        <v/>
      </c>
      <c r="DG39" s="2937" t="str">
        <f t="shared" si="77"/>
        <v/>
      </c>
      <c r="DH39" s="2938" t="str">
        <f t="shared" si="95"/>
        <v>No Tier</v>
      </c>
      <c r="DI39" s="2938">
        <f t="shared" si="78"/>
        <v>0</v>
      </c>
      <c r="DJ39" s="2938" t="str">
        <f t="shared" si="79"/>
        <v/>
      </c>
      <c r="DK39" s="710"/>
    </row>
    <row r="40" spans="1:227" s="1120" customFormat="1" ht="15" hidden="1" customHeight="1">
      <c r="A40" s="10"/>
      <c r="B40" s="2899" t="str">
        <f t="shared" si="89"/>
        <v/>
      </c>
      <c r="C40" s="3240" t="str">
        <f t="shared" si="90"/>
        <v/>
      </c>
      <c r="D40" s="3240"/>
      <c r="E40" s="1579">
        <f t="shared" si="5"/>
        <v>0</v>
      </c>
      <c r="F40" s="1579">
        <f t="shared" si="80"/>
        <v>0</v>
      </c>
      <c r="G40" s="2827" t="str">
        <f t="shared" si="6"/>
        <v/>
      </c>
      <c r="H40" s="1580" t="str">
        <f>IF(G40="","",G40*'R1 Sum'!$E$36)</f>
        <v/>
      </c>
      <c r="I40" s="1581" t="str">
        <f t="shared" si="7"/>
        <v/>
      </c>
      <c r="J40" s="1581" t="str">
        <f t="shared" si="8"/>
        <v/>
      </c>
      <c r="K40" s="1581" t="str">
        <f t="shared" si="91"/>
        <v/>
      </c>
      <c r="L40" s="822"/>
      <c r="M40" s="1050"/>
      <c r="N40" s="2806" t="str">
        <f t="shared" si="9"/>
        <v/>
      </c>
      <c r="O40" s="1044">
        <v>25</v>
      </c>
      <c r="P40" s="1043" t="str">
        <f t="shared" si="10"/>
        <v/>
      </c>
      <c r="Q40" s="1051" t="str">
        <f t="shared" si="11"/>
        <v/>
      </c>
      <c r="R40" s="1042"/>
      <c r="S40" s="1041"/>
      <c r="T40" s="1040"/>
      <c r="U40" s="1041"/>
      <c r="V40" s="1046" t="str">
        <f t="shared" si="81"/>
        <v/>
      </c>
      <c r="W40" s="2721" t="str">
        <f t="shared" si="12"/>
        <v/>
      </c>
      <c r="X40" s="2721"/>
      <c r="Y40" s="1039"/>
      <c r="Z40" s="2721" t="str">
        <f t="shared" si="13"/>
        <v/>
      </c>
      <c r="AA40" s="1038"/>
      <c r="AB40" s="1049"/>
      <c r="AC40" s="2912" t="str">
        <f t="shared" si="14"/>
        <v/>
      </c>
      <c r="AD40" s="2939"/>
      <c r="AE40" s="2940"/>
      <c r="AF40" s="2916" t="s">
        <v>2903</v>
      </c>
      <c r="AG40" s="2916" t="str">
        <f t="shared" si="82"/>
        <v>Yes</v>
      </c>
      <c r="AH40" s="2917"/>
      <c r="AI40" s="2918">
        <v>4000</v>
      </c>
      <c r="AJ40" s="2919">
        <v>4000</v>
      </c>
      <c r="AK40" s="2913" t="str">
        <f t="shared" si="96"/>
        <v/>
      </c>
      <c r="AL40" s="2920" t="str">
        <f t="shared" si="97"/>
        <v/>
      </c>
      <c r="AM40" s="2921" t="str">
        <f t="shared" si="98"/>
        <v/>
      </c>
      <c r="AN40" s="2922">
        <f t="shared" si="17"/>
        <v>0</v>
      </c>
      <c r="AO40" s="2923">
        <f t="shared" si="18"/>
        <v>0</v>
      </c>
      <c r="AP40" s="2924">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6" t="e">
        <f t="shared" si="31"/>
        <v>#N/A</v>
      </c>
      <c r="BC40" s="1029" t="e">
        <f t="shared" si="32"/>
        <v>#N/A</v>
      </c>
      <c r="BD40" s="1029" t="str">
        <f t="shared" si="33"/>
        <v/>
      </c>
      <c r="BE40" s="1029" t="e">
        <f t="shared" si="34"/>
        <v>#N/A</v>
      </c>
      <c r="BF40" s="1029" t="e">
        <f t="shared" si="35"/>
        <v>#N/A</v>
      </c>
      <c r="BG40" s="2927"/>
      <c r="BH40" s="2928"/>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29" t="str">
        <f t="shared" si="87"/>
        <v/>
      </c>
      <c r="CN40" s="2930" t="str">
        <f t="shared" si="59"/>
        <v/>
      </c>
      <c r="CO40" s="2930" t="str">
        <f t="shared" si="88"/>
        <v/>
      </c>
      <c r="CP40" s="2930" t="str">
        <f t="shared" si="60"/>
        <v/>
      </c>
      <c r="CQ40" s="2931" t="str">
        <f t="shared" si="61"/>
        <v/>
      </c>
      <c r="CR40" s="2932" t="str">
        <f t="shared" si="62"/>
        <v/>
      </c>
      <c r="CS40" s="2913" t="str">
        <f t="shared" si="63"/>
        <v/>
      </c>
      <c r="CT40" s="2920" t="str">
        <f t="shared" si="64"/>
        <v/>
      </c>
      <c r="CU40" s="2921" t="str">
        <f t="shared" si="65"/>
        <v/>
      </c>
      <c r="CV40" s="2913" t="str">
        <f t="shared" si="66"/>
        <v/>
      </c>
      <c r="CW40" s="2920" t="str">
        <f t="shared" si="67"/>
        <v/>
      </c>
      <c r="CX40" s="2921" t="str">
        <f t="shared" si="68"/>
        <v/>
      </c>
      <c r="CY40" s="2933" t="str">
        <f t="shared" si="69"/>
        <v/>
      </c>
      <c r="CZ40" s="2934" t="str">
        <f t="shared" si="70"/>
        <v/>
      </c>
      <c r="DA40" s="2934" t="str">
        <f t="shared" si="71"/>
        <v/>
      </c>
      <c r="DB40" s="2935" t="str">
        <f t="shared" si="72"/>
        <v/>
      </c>
      <c r="DC40" s="2935" t="str">
        <f t="shared" si="73"/>
        <v/>
      </c>
      <c r="DD40" s="2936" t="str">
        <f t="shared" si="74"/>
        <v/>
      </c>
      <c r="DE40" s="2934" t="str">
        <f t="shared" si="75"/>
        <v/>
      </c>
      <c r="DF40" s="2934" t="str">
        <f t="shared" si="76"/>
        <v/>
      </c>
      <c r="DG40" s="2937" t="str">
        <f t="shared" si="77"/>
        <v/>
      </c>
      <c r="DH40" s="2938" t="str">
        <f t="shared" si="95"/>
        <v>No Tier</v>
      </c>
      <c r="DI40" s="2938">
        <f t="shared" si="78"/>
        <v>0</v>
      </c>
      <c r="DJ40" s="2938"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899" t="str">
        <f t="shared" si="89"/>
        <v/>
      </c>
      <c r="C41" s="3240" t="str">
        <f t="shared" si="90"/>
        <v/>
      </c>
      <c r="D41" s="3240"/>
      <c r="E41" s="1579">
        <f t="shared" si="5"/>
        <v>0</v>
      </c>
      <c r="F41" s="1579">
        <f t="shared" si="80"/>
        <v>0</v>
      </c>
      <c r="G41" s="2827" t="str">
        <f t="shared" si="6"/>
        <v/>
      </c>
      <c r="H41" s="1580" t="str">
        <f>IF(G41="","",G41*'R1 Sum'!$E$36)</f>
        <v/>
      </c>
      <c r="I41" s="1581" t="str">
        <f t="shared" si="7"/>
        <v/>
      </c>
      <c r="J41" s="1581" t="str">
        <f t="shared" si="8"/>
        <v/>
      </c>
      <c r="K41" s="1581" t="str">
        <f t="shared" si="91"/>
        <v/>
      </c>
      <c r="L41" s="822"/>
      <c r="M41" s="1050"/>
      <c r="N41" s="2806" t="str">
        <f t="shared" si="9"/>
        <v/>
      </c>
      <c r="O41" s="1044">
        <v>26</v>
      </c>
      <c r="P41" s="1043" t="str">
        <f t="shared" si="10"/>
        <v/>
      </c>
      <c r="Q41" s="1051" t="str">
        <f t="shared" si="11"/>
        <v/>
      </c>
      <c r="R41" s="1042"/>
      <c r="S41" s="1041"/>
      <c r="T41" s="1040"/>
      <c r="U41" s="1041"/>
      <c r="V41" s="1046" t="str">
        <f t="shared" si="81"/>
        <v/>
      </c>
      <c r="W41" s="2721" t="str">
        <f t="shared" si="12"/>
        <v/>
      </c>
      <c r="X41" s="2721"/>
      <c r="Y41" s="1039"/>
      <c r="Z41" s="2721" t="str">
        <f t="shared" si="13"/>
        <v/>
      </c>
      <c r="AA41" s="1038"/>
      <c r="AB41" s="1049"/>
      <c r="AC41" s="2912" t="str">
        <f t="shared" si="14"/>
        <v/>
      </c>
      <c r="AD41" s="2939"/>
      <c r="AE41" s="2940"/>
      <c r="AF41" s="2916" t="s">
        <v>2903</v>
      </c>
      <c r="AG41" s="2916" t="str">
        <f t="shared" si="82"/>
        <v>Yes</v>
      </c>
      <c r="AH41" s="2917"/>
      <c r="AI41" s="2918">
        <v>4000</v>
      </c>
      <c r="AJ41" s="2919">
        <v>4000</v>
      </c>
      <c r="AK41" s="2913" t="str">
        <f t="shared" si="96"/>
        <v/>
      </c>
      <c r="AL41" s="2920" t="str">
        <f t="shared" si="97"/>
        <v/>
      </c>
      <c r="AM41" s="2921" t="str">
        <f t="shared" si="98"/>
        <v/>
      </c>
      <c r="AN41" s="2922">
        <f t="shared" si="17"/>
        <v>0</v>
      </c>
      <c r="AO41" s="2923">
        <f t="shared" si="18"/>
        <v>0</v>
      </c>
      <c r="AP41" s="2924">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6" t="e">
        <f t="shared" si="31"/>
        <v>#N/A</v>
      </c>
      <c r="BC41" s="1029" t="e">
        <f t="shared" si="32"/>
        <v>#N/A</v>
      </c>
      <c r="BD41" s="1029" t="str">
        <f t="shared" si="33"/>
        <v/>
      </c>
      <c r="BE41" s="1029" t="e">
        <f t="shared" si="34"/>
        <v>#N/A</v>
      </c>
      <c r="BF41" s="1029" t="e">
        <f t="shared" si="35"/>
        <v>#N/A</v>
      </c>
      <c r="BG41" s="2927"/>
      <c r="BH41" s="2928"/>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29" t="str">
        <f t="shared" si="87"/>
        <v/>
      </c>
      <c r="CN41" s="2930" t="str">
        <f t="shared" si="59"/>
        <v/>
      </c>
      <c r="CO41" s="2930" t="str">
        <f t="shared" si="88"/>
        <v/>
      </c>
      <c r="CP41" s="2930" t="str">
        <f t="shared" si="60"/>
        <v/>
      </c>
      <c r="CQ41" s="2931" t="str">
        <f t="shared" si="61"/>
        <v/>
      </c>
      <c r="CR41" s="2932" t="str">
        <f t="shared" si="62"/>
        <v/>
      </c>
      <c r="CS41" s="2913" t="str">
        <f t="shared" si="63"/>
        <v/>
      </c>
      <c r="CT41" s="2920" t="str">
        <f t="shared" si="64"/>
        <v/>
      </c>
      <c r="CU41" s="2921" t="str">
        <f t="shared" si="65"/>
        <v/>
      </c>
      <c r="CV41" s="2913" t="str">
        <f t="shared" si="66"/>
        <v/>
      </c>
      <c r="CW41" s="2920" t="str">
        <f t="shared" si="67"/>
        <v/>
      </c>
      <c r="CX41" s="2921" t="str">
        <f t="shared" si="68"/>
        <v/>
      </c>
      <c r="CY41" s="2933" t="str">
        <f t="shared" si="69"/>
        <v/>
      </c>
      <c r="CZ41" s="2934" t="str">
        <f t="shared" si="70"/>
        <v/>
      </c>
      <c r="DA41" s="2934" t="str">
        <f t="shared" si="71"/>
        <v/>
      </c>
      <c r="DB41" s="2935" t="str">
        <f t="shared" si="72"/>
        <v/>
      </c>
      <c r="DC41" s="2935" t="str">
        <f t="shared" si="73"/>
        <v/>
      </c>
      <c r="DD41" s="2936" t="str">
        <f t="shared" si="74"/>
        <v/>
      </c>
      <c r="DE41" s="2934" t="str">
        <f t="shared" si="75"/>
        <v/>
      </c>
      <c r="DF41" s="2934" t="str">
        <f t="shared" si="76"/>
        <v/>
      </c>
      <c r="DG41" s="2937" t="str">
        <f t="shared" si="77"/>
        <v/>
      </c>
      <c r="DH41" s="2938" t="str">
        <f t="shared" si="95"/>
        <v>No Tier</v>
      </c>
      <c r="DI41" s="2938">
        <f t="shared" si="78"/>
        <v>0</v>
      </c>
      <c r="DJ41" s="2938"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899" t="str">
        <f t="shared" si="89"/>
        <v/>
      </c>
      <c r="C42" s="3240" t="str">
        <f t="shared" si="90"/>
        <v/>
      </c>
      <c r="D42" s="3240"/>
      <c r="E42" s="1579">
        <f t="shared" si="5"/>
        <v>0</v>
      </c>
      <c r="F42" s="1579">
        <f t="shared" si="80"/>
        <v>0</v>
      </c>
      <c r="G42" s="2827" t="str">
        <f t="shared" si="6"/>
        <v/>
      </c>
      <c r="H42" s="1580" t="str">
        <f>IF(G42="","",G42*'R1 Sum'!$E$36)</f>
        <v/>
      </c>
      <c r="I42" s="1581" t="str">
        <f t="shared" si="7"/>
        <v/>
      </c>
      <c r="J42" s="1581" t="str">
        <f t="shared" si="8"/>
        <v/>
      </c>
      <c r="K42" s="1581" t="str">
        <f t="shared" si="91"/>
        <v/>
      </c>
      <c r="L42" s="822"/>
      <c r="M42" s="1050"/>
      <c r="N42" s="2806" t="str">
        <f t="shared" si="9"/>
        <v/>
      </c>
      <c r="O42" s="1044">
        <v>27</v>
      </c>
      <c r="P42" s="1043" t="str">
        <f t="shared" si="10"/>
        <v/>
      </c>
      <c r="Q42" s="1051" t="str">
        <f t="shared" si="11"/>
        <v/>
      </c>
      <c r="R42" s="1042"/>
      <c r="S42" s="1041"/>
      <c r="T42" s="1040"/>
      <c r="U42" s="1041"/>
      <c r="V42" s="1046" t="str">
        <f t="shared" si="81"/>
        <v/>
      </c>
      <c r="W42" s="2721" t="str">
        <f t="shared" si="12"/>
        <v/>
      </c>
      <c r="X42" s="2721"/>
      <c r="Y42" s="1039"/>
      <c r="Z42" s="2721" t="str">
        <f t="shared" si="13"/>
        <v/>
      </c>
      <c r="AA42" s="1038"/>
      <c r="AB42" s="1049"/>
      <c r="AC42" s="2912" t="str">
        <f t="shared" si="14"/>
        <v/>
      </c>
      <c r="AD42" s="2939"/>
      <c r="AE42" s="2940"/>
      <c r="AF42" s="2916" t="s">
        <v>2903</v>
      </c>
      <c r="AG42" s="2916" t="str">
        <f t="shared" si="82"/>
        <v>Yes</v>
      </c>
      <c r="AH42" s="2917"/>
      <c r="AI42" s="2918">
        <v>4000</v>
      </c>
      <c r="AJ42" s="2919">
        <v>4000</v>
      </c>
      <c r="AK42" s="2913" t="str">
        <f t="shared" si="96"/>
        <v/>
      </c>
      <c r="AL42" s="2920" t="str">
        <f t="shared" si="97"/>
        <v/>
      </c>
      <c r="AM42" s="2921" t="str">
        <f t="shared" si="98"/>
        <v/>
      </c>
      <c r="AN42" s="2922">
        <f t="shared" si="17"/>
        <v>0</v>
      </c>
      <c r="AO42" s="2923">
        <f t="shared" si="18"/>
        <v>0</v>
      </c>
      <c r="AP42" s="2924">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6" t="e">
        <f t="shared" si="31"/>
        <v>#N/A</v>
      </c>
      <c r="BC42" s="1029" t="e">
        <f t="shared" si="32"/>
        <v>#N/A</v>
      </c>
      <c r="BD42" s="1029" t="str">
        <f t="shared" si="33"/>
        <v/>
      </c>
      <c r="BE42" s="1029" t="e">
        <f t="shared" si="34"/>
        <v>#N/A</v>
      </c>
      <c r="BF42" s="1029" t="e">
        <f t="shared" si="35"/>
        <v>#N/A</v>
      </c>
      <c r="BG42" s="2927"/>
      <c r="BH42" s="2928"/>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29" t="str">
        <f t="shared" si="87"/>
        <v/>
      </c>
      <c r="CN42" s="2930" t="str">
        <f t="shared" si="59"/>
        <v/>
      </c>
      <c r="CO42" s="2930" t="str">
        <f t="shared" si="88"/>
        <v/>
      </c>
      <c r="CP42" s="2930" t="str">
        <f t="shared" si="60"/>
        <v/>
      </c>
      <c r="CQ42" s="2931" t="str">
        <f t="shared" si="61"/>
        <v/>
      </c>
      <c r="CR42" s="2932" t="str">
        <f t="shared" si="62"/>
        <v/>
      </c>
      <c r="CS42" s="2913" t="str">
        <f t="shared" si="63"/>
        <v/>
      </c>
      <c r="CT42" s="2920" t="str">
        <f t="shared" si="64"/>
        <v/>
      </c>
      <c r="CU42" s="2921" t="str">
        <f t="shared" si="65"/>
        <v/>
      </c>
      <c r="CV42" s="2913" t="str">
        <f t="shared" si="66"/>
        <v/>
      </c>
      <c r="CW42" s="2920" t="str">
        <f t="shared" si="67"/>
        <v/>
      </c>
      <c r="CX42" s="2921" t="str">
        <f t="shared" si="68"/>
        <v/>
      </c>
      <c r="CY42" s="2933" t="str">
        <f t="shared" si="69"/>
        <v/>
      </c>
      <c r="CZ42" s="2934" t="str">
        <f t="shared" si="70"/>
        <v/>
      </c>
      <c r="DA42" s="2934" t="str">
        <f t="shared" si="71"/>
        <v/>
      </c>
      <c r="DB42" s="2935" t="str">
        <f t="shared" si="72"/>
        <v/>
      </c>
      <c r="DC42" s="2935" t="str">
        <f t="shared" si="73"/>
        <v/>
      </c>
      <c r="DD42" s="2936" t="str">
        <f t="shared" si="74"/>
        <v/>
      </c>
      <c r="DE42" s="2934" t="str">
        <f t="shared" si="75"/>
        <v/>
      </c>
      <c r="DF42" s="2934" t="str">
        <f t="shared" si="76"/>
        <v/>
      </c>
      <c r="DG42" s="2937" t="str">
        <f t="shared" si="77"/>
        <v/>
      </c>
      <c r="DH42" s="2938" t="str">
        <f t="shared" si="95"/>
        <v>No Tier</v>
      </c>
      <c r="DI42" s="2938">
        <f t="shared" si="78"/>
        <v>0</v>
      </c>
      <c r="DJ42" s="2938" t="str">
        <f t="shared" si="79"/>
        <v/>
      </c>
      <c r="DK42" s="710"/>
    </row>
    <row r="43" spans="1:227" s="1053" customFormat="1" ht="15" hidden="1" customHeight="1">
      <c r="A43" s="10"/>
      <c r="B43" s="2899" t="str">
        <f t="shared" si="89"/>
        <v/>
      </c>
      <c r="C43" s="3240" t="str">
        <f t="shared" si="90"/>
        <v/>
      </c>
      <c r="D43" s="3240"/>
      <c r="E43" s="1579">
        <f t="shared" si="5"/>
        <v>0</v>
      </c>
      <c r="F43" s="1579">
        <f t="shared" si="80"/>
        <v>0</v>
      </c>
      <c r="G43" s="2827" t="str">
        <f t="shared" si="6"/>
        <v/>
      </c>
      <c r="H43" s="1580" t="str">
        <f>IF(G43="","",G43*'R1 Sum'!$E$36)</f>
        <v/>
      </c>
      <c r="I43" s="1581" t="str">
        <f t="shared" si="7"/>
        <v/>
      </c>
      <c r="J43" s="1581" t="str">
        <f t="shared" si="8"/>
        <v/>
      </c>
      <c r="K43" s="1581" t="str">
        <f t="shared" si="91"/>
        <v/>
      </c>
      <c r="L43" s="1582"/>
      <c r="M43" s="2858"/>
      <c r="N43" s="2806" t="str">
        <f t="shared" si="9"/>
        <v/>
      </c>
      <c r="O43" s="1044">
        <v>28</v>
      </c>
      <c r="P43" s="1043" t="str">
        <f t="shared" si="10"/>
        <v/>
      </c>
      <c r="Q43" s="1051" t="str">
        <f t="shared" si="11"/>
        <v/>
      </c>
      <c r="R43" s="1042"/>
      <c r="S43" s="1041"/>
      <c r="T43" s="1040"/>
      <c r="U43" s="1041"/>
      <c r="V43" s="1046" t="str">
        <f t="shared" si="81"/>
        <v/>
      </c>
      <c r="W43" s="2721" t="str">
        <f t="shared" si="12"/>
        <v/>
      </c>
      <c r="X43" s="2721"/>
      <c r="Y43" s="1039"/>
      <c r="Z43" s="2721" t="str">
        <f t="shared" si="13"/>
        <v/>
      </c>
      <c r="AA43" s="1038"/>
      <c r="AB43" s="1049"/>
      <c r="AC43" s="2912" t="str">
        <f t="shared" si="14"/>
        <v/>
      </c>
      <c r="AD43" s="2939"/>
      <c r="AE43" s="2940"/>
      <c r="AF43" s="2916" t="s">
        <v>2903</v>
      </c>
      <c r="AG43" s="2916" t="str">
        <f t="shared" si="82"/>
        <v>Yes</v>
      </c>
      <c r="AH43" s="2917"/>
      <c r="AI43" s="2918">
        <v>4000</v>
      </c>
      <c r="AJ43" s="2919">
        <v>4000</v>
      </c>
      <c r="AK43" s="2913" t="str">
        <f t="shared" si="96"/>
        <v/>
      </c>
      <c r="AL43" s="2920" t="str">
        <f t="shared" si="97"/>
        <v/>
      </c>
      <c r="AM43" s="2921" t="str">
        <f t="shared" si="98"/>
        <v/>
      </c>
      <c r="AN43" s="2922">
        <f t="shared" si="17"/>
        <v>0</v>
      </c>
      <c r="AO43" s="2923">
        <f t="shared" si="18"/>
        <v>0</v>
      </c>
      <c r="AP43" s="2924">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6" t="e">
        <f t="shared" si="31"/>
        <v>#N/A</v>
      </c>
      <c r="BC43" s="1029" t="e">
        <f t="shared" si="32"/>
        <v>#N/A</v>
      </c>
      <c r="BD43" s="1029" t="str">
        <f t="shared" si="33"/>
        <v/>
      </c>
      <c r="BE43" s="1029" t="e">
        <f t="shared" si="34"/>
        <v>#N/A</v>
      </c>
      <c r="BF43" s="1029" t="e">
        <f t="shared" si="35"/>
        <v>#N/A</v>
      </c>
      <c r="BG43" s="2927"/>
      <c r="BH43" s="2928"/>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29" t="str">
        <f t="shared" si="87"/>
        <v/>
      </c>
      <c r="CN43" s="2930" t="str">
        <f t="shared" si="59"/>
        <v/>
      </c>
      <c r="CO43" s="2930" t="str">
        <f t="shared" si="88"/>
        <v/>
      </c>
      <c r="CP43" s="2930" t="str">
        <f t="shared" si="60"/>
        <v/>
      </c>
      <c r="CQ43" s="2931" t="str">
        <f t="shared" si="61"/>
        <v/>
      </c>
      <c r="CR43" s="2932" t="str">
        <f t="shared" si="62"/>
        <v/>
      </c>
      <c r="CS43" s="2913" t="str">
        <f t="shared" si="63"/>
        <v/>
      </c>
      <c r="CT43" s="2920" t="str">
        <f t="shared" si="64"/>
        <v/>
      </c>
      <c r="CU43" s="2921" t="str">
        <f t="shared" si="65"/>
        <v/>
      </c>
      <c r="CV43" s="2913" t="str">
        <f t="shared" si="66"/>
        <v/>
      </c>
      <c r="CW43" s="2920" t="str">
        <f t="shared" si="67"/>
        <v/>
      </c>
      <c r="CX43" s="2921" t="str">
        <f t="shared" si="68"/>
        <v/>
      </c>
      <c r="CY43" s="2933" t="str">
        <f t="shared" si="69"/>
        <v/>
      </c>
      <c r="CZ43" s="2934" t="str">
        <f t="shared" si="70"/>
        <v/>
      </c>
      <c r="DA43" s="2934" t="str">
        <f t="shared" si="71"/>
        <v/>
      </c>
      <c r="DB43" s="2935" t="str">
        <f t="shared" si="72"/>
        <v/>
      </c>
      <c r="DC43" s="2935" t="str">
        <f t="shared" si="73"/>
        <v/>
      </c>
      <c r="DD43" s="2936" t="str">
        <f t="shared" si="74"/>
        <v/>
      </c>
      <c r="DE43" s="2934" t="str">
        <f t="shared" si="75"/>
        <v/>
      </c>
      <c r="DF43" s="2934" t="str">
        <f t="shared" si="76"/>
        <v/>
      </c>
      <c r="DG43" s="2937" t="str">
        <f t="shared" si="77"/>
        <v/>
      </c>
      <c r="DH43" s="2938" t="str">
        <f t="shared" si="95"/>
        <v>No Tier</v>
      </c>
      <c r="DI43" s="2938">
        <f t="shared" si="78"/>
        <v>0</v>
      </c>
      <c r="DJ43" s="2938"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899" t="str">
        <f t="shared" si="89"/>
        <v/>
      </c>
      <c r="C44" s="3240" t="str">
        <f t="shared" si="90"/>
        <v/>
      </c>
      <c r="D44" s="3240"/>
      <c r="E44" s="1579">
        <f t="shared" si="5"/>
        <v>0</v>
      </c>
      <c r="F44" s="1579">
        <f t="shared" si="80"/>
        <v>0</v>
      </c>
      <c r="G44" s="2827" t="str">
        <f t="shared" si="6"/>
        <v/>
      </c>
      <c r="H44" s="1580" t="str">
        <f>IF(G44="","",G44*'R1 Sum'!$E$36)</f>
        <v/>
      </c>
      <c r="I44" s="1581" t="str">
        <f t="shared" si="7"/>
        <v/>
      </c>
      <c r="J44" s="1581" t="str">
        <f t="shared" si="8"/>
        <v/>
      </c>
      <c r="K44" s="1581" t="str">
        <f t="shared" si="91"/>
        <v/>
      </c>
      <c r="L44" s="822"/>
      <c r="M44" s="1050"/>
      <c r="N44" s="2806" t="str">
        <f t="shared" si="9"/>
        <v/>
      </c>
      <c r="O44" s="1044">
        <v>29</v>
      </c>
      <c r="P44" s="1043" t="str">
        <f t="shared" si="10"/>
        <v/>
      </c>
      <c r="Q44" s="1051" t="str">
        <f t="shared" si="11"/>
        <v/>
      </c>
      <c r="R44" s="1042"/>
      <c r="S44" s="1041"/>
      <c r="T44" s="1040"/>
      <c r="U44" s="1041"/>
      <c r="V44" s="1046" t="str">
        <f t="shared" si="81"/>
        <v/>
      </c>
      <c r="W44" s="2721" t="str">
        <f t="shared" si="12"/>
        <v/>
      </c>
      <c r="X44" s="2721"/>
      <c r="Y44" s="1039"/>
      <c r="Z44" s="2721" t="str">
        <f t="shared" si="13"/>
        <v/>
      </c>
      <c r="AA44" s="1038"/>
      <c r="AB44" s="1049"/>
      <c r="AC44" s="2912" t="str">
        <f t="shared" si="14"/>
        <v/>
      </c>
      <c r="AD44" s="2939"/>
      <c r="AE44" s="2940"/>
      <c r="AF44" s="2916" t="s">
        <v>2903</v>
      </c>
      <c r="AG44" s="2916" t="str">
        <f t="shared" si="82"/>
        <v>Yes</v>
      </c>
      <c r="AH44" s="2917"/>
      <c r="AI44" s="2918">
        <v>4000</v>
      </c>
      <c r="AJ44" s="2919">
        <v>4000</v>
      </c>
      <c r="AK44" s="2913" t="str">
        <f t="shared" si="96"/>
        <v/>
      </c>
      <c r="AL44" s="2920" t="str">
        <f t="shared" si="97"/>
        <v/>
      </c>
      <c r="AM44" s="2921" t="str">
        <f t="shared" si="98"/>
        <v/>
      </c>
      <c r="AN44" s="2922">
        <f t="shared" si="17"/>
        <v>0</v>
      </c>
      <c r="AO44" s="2923">
        <f t="shared" si="18"/>
        <v>0</v>
      </c>
      <c r="AP44" s="2924">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6" t="e">
        <f t="shared" si="31"/>
        <v>#N/A</v>
      </c>
      <c r="BC44" s="1029" t="e">
        <f t="shared" si="32"/>
        <v>#N/A</v>
      </c>
      <c r="BD44" s="1029" t="str">
        <f t="shared" si="33"/>
        <v/>
      </c>
      <c r="BE44" s="1029" t="e">
        <f t="shared" si="34"/>
        <v>#N/A</v>
      </c>
      <c r="BF44" s="1029" t="e">
        <f t="shared" si="35"/>
        <v>#N/A</v>
      </c>
      <c r="BG44" s="2927"/>
      <c r="BH44" s="2928"/>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29" t="str">
        <f t="shared" si="87"/>
        <v/>
      </c>
      <c r="CN44" s="2930" t="str">
        <f t="shared" si="59"/>
        <v/>
      </c>
      <c r="CO44" s="2930" t="str">
        <f t="shared" si="88"/>
        <v/>
      </c>
      <c r="CP44" s="2930" t="str">
        <f t="shared" si="60"/>
        <v/>
      </c>
      <c r="CQ44" s="2931" t="str">
        <f t="shared" si="61"/>
        <v/>
      </c>
      <c r="CR44" s="2932" t="str">
        <f t="shared" si="62"/>
        <v/>
      </c>
      <c r="CS44" s="2913" t="str">
        <f t="shared" si="63"/>
        <v/>
      </c>
      <c r="CT44" s="2920" t="str">
        <f t="shared" si="64"/>
        <v/>
      </c>
      <c r="CU44" s="2921" t="str">
        <f t="shared" si="65"/>
        <v/>
      </c>
      <c r="CV44" s="2913" t="str">
        <f t="shared" si="66"/>
        <v/>
      </c>
      <c r="CW44" s="2920" t="str">
        <f t="shared" si="67"/>
        <v/>
      </c>
      <c r="CX44" s="2921" t="str">
        <f t="shared" si="68"/>
        <v/>
      </c>
      <c r="CY44" s="2933" t="str">
        <f t="shared" si="69"/>
        <v/>
      </c>
      <c r="CZ44" s="2934" t="str">
        <f t="shared" si="70"/>
        <v/>
      </c>
      <c r="DA44" s="2934" t="str">
        <f t="shared" si="71"/>
        <v/>
      </c>
      <c r="DB44" s="2935" t="str">
        <f t="shared" si="72"/>
        <v/>
      </c>
      <c r="DC44" s="2935" t="str">
        <f t="shared" si="73"/>
        <v/>
      </c>
      <c r="DD44" s="2936" t="str">
        <f t="shared" si="74"/>
        <v/>
      </c>
      <c r="DE44" s="2934" t="str">
        <f t="shared" si="75"/>
        <v/>
      </c>
      <c r="DF44" s="2934" t="str">
        <f t="shared" si="76"/>
        <v/>
      </c>
      <c r="DG44" s="2937" t="str">
        <f t="shared" si="77"/>
        <v/>
      </c>
      <c r="DH44" s="2938" t="str">
        <f t="shared" si="95"/>
        <v>No Tier</v>
      </c>
      <c r="DI44" s="2938">
        <f t="shared" si="78"/>
        <v>0</v>
      </c>
      <c r="DJ44" s="2938" t="str">
        <f t="shared" si="79"/>
        <v/>
      </c>
      <c r="DK44" s="710"/>
    </row>
    <row r="45" spans="1:227" ht="15" hidden="1" customHeight="1" thickBot="1">
      <c r="A45" s="10"/>
      <c r="B45" s="2899" t="str">
        <f t="shared" si="89"/>
        <v/>
      </c>
      <c r="C45" s="3240" t="str">
        <f t="shared" si="90"/>
        <v/>
      </c>
      <c r="D45" s="3240"/>
      <c r="E45" s="1579">
        <f t="shared" si="5"/>
        <v>0</v>
      </c>
      <c r="F45" s="1579">
        <f t="shared" si="80"/>
        <v>0</v>
      </c>
      <c r="G45" s="2827" t="str">
        <f t="shared" si="6"/>
        <v/>
      </c>
      <c r="H45" s="1580" t="str">
        <f>IF(G45="","",G45*'R1 Sum'!$E$36)</f>
        <v/>
      </c>
      <c r="I45" s="1581" t="str">
        <f t="shared" si="7"/>
        <v/>
      </c>
      <c r="J45" s="1581" t="str">
        <f t="shared" si="8"/>
        <v/>
      </c>
      <c r="K45" s="1581" t="str">
        <f t="shared" si="91"/>
        <v/>
      </c>
      <c r="L45" s="1583"/>
      <c r="M45" s="2859"/>
      <c r="N45" s="2806" t="str">
        <f t="shared" si="9"/>
        <v/>
      </c>
      <c r="O45" s="1044">
        <v>30</v>
      </c>
      <c r="P45" s="1043" t="str">
        <f t="shared" si="10"/>
        <v/>
      </c>
      <c r="Q45" s="1051" t="str">
        <f t="shared" si="11"/>
        <v/>
      </c>
      <c r="R45" s="1042"/>
      <c r="S45" s="1041"/>
      <c r="T45" s="1040"/>
      <c r="U45" s="1041"/>
      <c r="V45" s="1046" t="str">
        <f t="shared" si="81"/>
        <v/>
      </c>
      <c r="W45" s="2721" t="str">
        <f t="shared" si="12"/>
        <v/>
      </c>
      <c r="X45" s="2721"/>
      <c r="Y45" s="1039"/>
      <c r="Z45" s="2721" t="str">
        <f t="shared" si="13"/>
        <v/>
      </c>
      <c r="AA45" s="1038"/>
      <c r="AB45" s="1049"/>
      <c r="AC45" s="2912" t="str">
        <f t="shared" si="14"/>
        <v/>
      </c>
      <c r="AD45" s="2939"/>
      <c r="AE45" s="2940"/>
      <c r="AF45" s="2916" t="s">
        <v>2903</v>
      </c>
      <c r="AG45" s="2916" t="str">
        <f t="shared" si="82"/>
        <v>Yes</v>
      </c>
      <c r="AH45" s="2917"/>
      <c r="AI45" s="2918">
        <v>4000</v>
      </c>
      <c r="AJ45" s="2919">
        <v>4000</v>
      </c>
      <c r="AK45" s="2913" t="str">
        <f t="shared" si="96"/>
        <v/>
      </c>
      <c r="AL45" s="2920" t="str">
        <f t="shared" si="97"/>
        <v/>
      </c>
      <c r="AM45" s="2921" t="str">
        <f t="shared" si="98"/>
        <v/>
      </c>
      <c r="AN45" s="2922">
        <f t="shared" si="17"/>
        <v>0</v>
      </c>
      <c r="AO45" s="2923">
        <f t="shared" si="18"/>
        <v>0</v>
      </c>
      <c r="AP45" s="2924">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6" t="e">
        <f t="shared" si="31"/>
        <v>#N/A</v>
      </c>
      <c r="BC45" s="1029" t="e">
        <f t="shared" si="32"/>
        <v>#N/A</v>
      </c>
      <c r="BD45" s="1029" t="str">
        <f t="shared" si="33"/>
        <v/>
      </c>
      <c r="BE45" s="1029" t="e">
        <f t="shared" si="34"/>
        <v>#N/A</v>
      </c>
      <c r="BF45" s="1029" t="e">
        <f t="shared" si="35"/>
        <v>#N/A</v>
      </c>
      <c r="BG45" s="2927"/>
      <c r="BH45" s="2928"/>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29" t="str">
        <f t="shared" si="87"/>
        <v/>
      </c>
      <c r="CN45" s="2930" t="str">
        <f t="shared" si="59"/>
        <v/>
      </c>
      <c r="CO45" s="2930" t="str">
        <f t="shared" si="88"/>
        <v/>
      </c>
      <c r="CP45" s="2930" t="str">
        <f t="shared" si="60"/>
        <v/>
      </c>
      <c r="CQ45" s="2931" t="str">
        <f t="shared" si="61"/>
        <v/>
      </c>
      <c r="CR45" s="2932" t="str">
        <f t="shared" si="62"/>
        <v/>
      </c>
      <c r="CS45" s="2913" t="str">
        <f t="shared" si="63"/>
        <v/>
      </c>
      <c r="CT45" s="2920" t="str">
        <f t="shared" si="64"/>
        <v/>
      </c>
      <c r="CU45" s="2921" t="str">
        <f t="shared" si="65"/>
        <v/>
      </c>
      <c r="CV45" s="2913" t="str">
        <f t="shared" si="66"/>
        <v/>
      </c>
      <c r="CW45" s="2920" t="str">
        <f t="shared" si="67"/>
        <v/>
      </c>
      <c r="CX45" s="2921" t="str">
        <f t="shared" si="68"/>
        <v/>
      </c>
      <c r="CY45" s="2933" t="str">
        <f t="shared" si="69"/>
        <v/>
      </c>
      <c r="CZ45" s="2934" t="str">
        <f t="shared" si="70"/>
        <v/>
      </c>
      <c r="DA45" s="2934" t="str">
        <f t="shared" si="71"/>
        <v/>
      </c>
      <c r="DB45" s="2935" t="str">
        <f t="shared" si="72"/>
        <v/>
      </c>
      <c r="DC45" s="2935" t="str">
        <f t="shared" si="73"/>
        <v/>
      </c>
      <c r="DD45" s="2936" t="str">
        <f t="shared" si="74"/>
        <v/>
      </c>
      <c r="DE45" s="2934" t="str">
        <f t="shared" si="75"/>
        <v/>
      </c>
      <c r="DF45" s="2934" t="str">
        <f t="shared" si="76"/>
        <v/>
      </c>
      <c r="DG45" s="2937" t="str">
        <f t="shared" si="77"/>
        <v/>
      </c>
      <c r="DH45" s="2938" t="str">
        <f t="shared" si="95"/>
        <v>No Tier</v>
      </c>
      <c r="DI45" s="2938">
        <f t="shared" si="78"/>
        <v>0</v>
      </c>
      <c r="DJ45" s="2938"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1" t="s">
        <v>2988</v>
      </c>
      <c r="AG51" s="3262"/>
      <c r="AH51" s="3262"/>
      <c r="AI51" s="998" t="s">
        <v>2987</v>
      </c>
      <c r="AJ51" s="997"/>
      <c r="AK51" s="996"/>
      <c r="AL51" s="993" t="s">
        <v>2986</v>
      </c>
      <c r="AM51" s="995"/>
      <c r="AN51" s="994"/>
      <c r="AO51" s="993" t="s">
        <v>2040</v>
      </c>
      <c r="AP51" s="992"/>
      <c r="AQ51" s="992"/>
      <c r="AR51" s="3263" t="s">
        <v>2985</v>
      </c>
      <c r="AS51" s="3264"/>
      <c r="AT51" s="3265"/>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39" t="s">
        <v>3289</v>
      </c>
      <c r="BL52" s="3239"/>
      <c r="BM52" s="3239"/>
      <c r="BN52" s="3239"/>
      <c r="BO52" s="3239"/>
      <c r="BP52" s="3239"/>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66" t="s">
        <v>2913</v>
      </c>
      <c r="AG92" s="3267"/>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68" t="s">
        <v>2780</v>
      </c>
      <c r="AC224" s="3269"/>
      <c r="AD224" s="3269"/>
      <c r="AE224" s="3269"/>
      <c r="AF224" s="3270"/>
      <c r="AG224" s="3271" t="s">
        <v>2779</v>
      </c>
      <c r="AH224" s="3272"/>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55"/>
      <c r="AB233" s="3256"/>
      <c r="AC233" s="3257"/>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58">
        <f ca="1">NOW()</f>
        <v>41229.40168333333</v>
      </c>
      <c r="AB234" s="3259"/>
      <c r="AC234" s="3260"/>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4" t="s">
        <v>3735</v>
      </c>
      <c r="C2" s="3294"/>
      <c r="D2" s="3294"/>
      <c r="E2" s="3294"/>
      <c r="F2" s="3294"/>
      <c r="G2" s="3294"/>
      <c r="H2" s="3068" t="s">
        <v>3450</v>
      </c>
      <c r="I2" s="3068"/>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3" t="str">
        <f>Utility_Copyrite</f>
        <v>Copyright © 2012 Potomac Electric Power Company</v>
      </c>
      <c r="J3" s="1886"/>
      <c r="M3" s="3291" t="s">
        <v>3830</v>
      </c>
      <c r="N3" s="3291"/>
      <c r="O3" s="3291"/>
      <c r="P3" s="2903"/>
      <c r="Q3" s="3215"/>
      <c r="R3" s="3215"/>
      <c r="S3" s="3215"/>
      <c r="T3" s="3215"/>
      <c r="U3" s="3215"/>
      <c r="V3" s="3215"/>
      <c r="W3" s="3215"/>
      <c r="X3" s="3215"/>
      <c r="Y3" s="3215"/>
      <c r="Z3" s="3215"/>
      <c r="AA3" s="3215"/>
      <c r="AB3" s="3215"/>
      <c r="BJ3" s="1591" t="s">
        <v>305</v>
      </c>
      <c r="BK3" s="1592">
        <v>576</v>
      </c>
      <c r="BL3" s="1593">
        <v>1</v>
      </c>
      <c r="BM3" s="1593">
        <v>0.7</v>
      </c>
      <c r="BN3" s="1212" t="s">
        <v>473</v>
      </c>
      <c r="BO3" s="2892" t="s">
        <v>3864</v>
      </c>
      <c r="BP3" s="1212"/>
      <c r="BQ3" s="1212"/>
      <c r="BR3" s="1212"/>
      <c r="BS3" s="1231"/>
      <c r="BT3" s="1231"/>
      <c r="BU3" s="578"/>
      <c r="BV3" s="578"/>
      <c r="BW3" s="578"/>
      <c r="BX3" s="578"/>
    </row>
    <row r="4" spans="1:76" ht="12.9" customHeight="1">
      <c r="A4" s="1685"/>
      <c r="B4" s="1726"/>
      <c r="C4" s="1685"/>
      <c r="D4" s="1685"/>
      <c r="E4" s="1884"/>
      <c r="F4" s="1885"/>
      <c r="G4" s="1886"/>
      <c r="H4" s="1886"/>
      <c r="I4" s="2893" t="str">
        <f>Utility_Rights</f>
        <v>All Rights Reserved</v>
      </c>
      <c r="J4" s="1886"/>
      <c r="M4" s="3291"/>
      <c r="N4" s="3291"/>
      <c r="O4" s="3291"/>
      <c r="P4" s="2903"/>
      <c r="Q4" s="2889"/>
      <c r="R4" s="2889"/>
      <c r="S4" s="2889"/>
      <c r="T4" s="2889"/>
      <c r="U4" s="2889"/>
      <c r="V4" s="2889"/>
      <c r="W4" s="2889"/>
      <c r="X4" s="2889"/>
      <c r="Y4" s="2889"/>
      <c r="Z4" s="2889"/>
      <c r="AA4" s="2889"/>
      <c r="AB4" s="2889"/>
      <c r="BJ4" s="1591" t="s">
        <v>2523</v>
      </c>
      <c r="BK4" s="1592">
        <v>3300</v>
      </c>
      <c r="BL4" s="1593">
        <v>1</v>
      </c>
      <c r="BM4" s="1593">
        <v>0.8</v>
      </c>
      <c r="BN4" s="1212" t="s">
        <v>473</v>
      </c>
      <c r="BO4" s="2892" t="s">
        <v>3864</v>
      </c>
      <c r="BP4" s="1212"/>
      <c r="BQ4" s="1212"/>
      <c r="BR4" s="1212"/>
      <c r="BS4" s="1231"/>
      <c r="BT4" s="1231"/>
      <c r="BU4" s="578"/>
      <c r="BV4" s="578"/>
      <c r="BW4" s="578"/>
      <c r="BX4" s="578"/>
    </row>
    <row r="5" spans="1:76" ht="103.5" customHeight="1">
      <c r="A5" s="1685"/>
      <c r="B5" s="1726"/>
      <c r="C5" s="1685"/>
      <c r="D5" s="1685"/>
      <c r="E5" s="1884"/>
      <c r="F5" s="1885"/>
      <c r="G5" s="1886"/>
      <c r="H5" s="1886"/>
      <c r="I5" s="2798"/>
      <c r="J5" s="1886"/>
      <c r="M5" s="3291"/>
      <c r="N5" s="3291"/>
      <c r="O5" s="3291"/>
      <c r="P5" s="2903"/>
      <c r="Q5" s="2889"/>
      <c r="R5" s="2889"/>
      <c r="S5" s="2889"/>
      <c r="T5" s="2889"/>
      <c r="U5" s="2889"/>
      <c r="V5" s="2889"/>
      <c r="W5" s="2889"/>
      <c r="X5" s="2889"/>
      <c r="Y5" s="2889"/>
      <c r="Z5" s="2889"/>
      <c r="AA5" s="2889"/>
      <c r="AB5" s="2889"/>
      <c r="BJ5" s="2416" t="s">
        <v>2064</v>
      </c>
      <c r="BK5" s="2417">
        <v>3300</v>
      </c>
      <c r="BL5" s="2418">
        <v>1</v>
      </c>
      <c r="BM5" s="2418">
        <v>0.8</v>
      </c>
      <c r="BN5" s="2419" t="s">
        <v>2066</v>
      </c>
      <c r="BO5" s="2419" t="s">
        <v>2067</v>
      </c>
      <c r="BP5" s="2419" t="s">
        <v>2522</v>
      </c>
      <c r="BQ5" s="2420">
        <v>0.47499999999999998</v>
      </c>
      <c r="BR5" s="2420">
        <v>0.34899999999999998</v>
      </c>
      <c r="BS5" s="1231"/>
      <c r="BT5" s="1231"/>
      <c r="BU5" s="578"/>
      <c r="BV5" s="578"/>
      <c r="BW5" s="578"/>
      <c r="BX5" s="578"/>
    </row>
    <row r="6" spans="1:76" ht="20.100000000000001" customHeight="1">
      <c r="A6" s="1685"/>
      <c r="B6" s="3317" t="s">
        <v>3144</v>
      </c>
      <c r="C6" s="3317"/>
      <c r="D6" s="3317"/>
      <c r="E6" s="3317"/>
      <c r="F6" s="3317"/>
      <c r="G6" s="3317"/>
      <c r="H6" s="3317"/>
      <c r="I6" s="3317"/>
      <c r="J6" s="1886"/>
      <c r="M6" s="1254"/>
      <c r="N6" s="1254"/>
      <c r="O6" s="1254"/>
      <c r="P6" s="1254"/>
      <c r="Q6" s="1254"/>
      <c r="R6" s="1254"/>
      <c r="S6" s="1254"/>
      <c r="T6" s="1254"/>
      <c r="U6" s="1254"/>
      <c r="V6" s="1254"/>
      <c r="W6" s="1254"/>
      <c r="X6" s="1254"/>
      <c r="Y6" s="1254"/>
      <c r="Z6" s="1254"/>
      <c r="AA6" s="1254"/>
      <c r="AB6" s="1254"/>
      <c r="BJ6" s="2416" t="s">
        <v>2047</v>
      </c>
      <c r="BK6" s="2417">
        <v>3844</v>
      </c>
      <c r="BL6" s="2418">
        <v>1</v>
      </c>
      <c r="BM6" s="2418">
        <v>0.8</v>
      </c>
      <c r="BN6" s="2419" t="s">
        <v>2065</v>
      </c>
      <c r="BO6" s="2419" t="s">
        <v>2067</v>
      </c>
      <c r="BP6" s="2419"/>
      <c r="BQ6" s="2423">
        <v>0.64600000000000002</v>
      </c>
      <c r="BR6" s="2423">
        <v>0</v>
      </c>
      <c r="BS6" s="1231"/>
      <c r="BT6" s="1231"/>
      <c r="BU6" s="578"/>
      <c r="BV6" s="578"/>
      <c r="BW6" s="578"/>
      <c r="BX6" s="578"/>
    </row>
    <row r="7" spans="1:76" ht="60" customHeight="1">
      <c r="A7" s="1685"/>
      <c r="B7" s="3111" t="s">
        <v>3148</v>
      </c>
      <c r="C7" s="3111"/>
      <c r="D7" s="3111"/>
      <c r="E7" s="3111"/>
      <c r="F7" s="3111"/>
      <c r="G7" s="3111"/>
      <c r="H7" s="3111"/>
      <c r="I7" s="3111"/>
      <c r="J7" s="1886"/>
      <c r="M7" s="2415"/>
      <c r="N7" s="2415"/>
      <c r="O7" s="2415"/>
      <c r="P7" s="2415"/>
      <c r="Q7" s="2415"/>
      <c r="R7" s="2415"/>
      <c r="S7" s="2415"/>
      <c r="T7" s="2415"/>
      <c r="U7" s="2415"/>
      <c r="V7" s="2415"/>
      <c r="W7" s="2415"/>
      <c r="X7" s="2415"/>
      <c r="Y7" s="2415"/>
      <c r="Z7" s="2415"/>
      <c r="AA7" s="2415"/>
      <c r="AB7" s="2415"/>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6" t="s">
        <v>2062</v>
      </c>
      <c r="BK7" s="2417">
        <v>3300</v>
      </c>
      <c r="BL7" s="2418">
        <v>1</v>
      </c>
      <c r="BM7" s="2418">
        <v>0.8</v>
      </c>
      <c r="BN7" s="2419" t="s">
        <v>2066</v>
      </c>
      <c r="BO7" s="2892" t="s">
        <v>3864</v>
      </c>
      <c r="BP7" s="2419" t="s">
        <v>2522</v>
      </c>
      <c r="BQ7" s="2419"/>
      <c r="BR7" s="2419"/>
      <c r="BS7" s="2421"/>
      <c r="BT7" s="2421"/>
      <c r="BU7" s="2422"/>
      <c r="BV7" s="2422"/>
      <c r="BW7" s="578"/>
      <c r="BX7" s="578"/>
    </row>
    <row r="8" spans="1:76" ht="20.100000000000001" customHeight="1">
      <c r="A8" s="1685"/>
      <c r="B8" s="3317" t="s">
        <v>0</v>
      </c>
      <c r="C8" s="3317"/>
      <c r="D8" s="3317"/>
      <c r="E8" s="3317"/>
      <c r="F8" s="3317"/>
      <c r="G8" s="3317"/>
      <c r="H8" s="3317"/>
      <c r="I8" s="3317"/>
      <c r="J8" s="1886"/>
      <c r="M8" s="3290" t="s">
        <v>3866</v>
      </c>
      <c r="N8" s="3290"/>
      <c r="O8" s="3290"/>
      <c r="P8" s="3290"/>
      <c r="Q8" s="3290"/>
      <c r="R8" s="3290"/>
      <c r="S8" s="2415"/>
      <c r="T8" s="2833" t="b">
        <v>0</v>
      </c>
      <c r="U8" s="2415"/>
      <c r="V8" s="2415"/>
      <c r="W8" s="2415"/>
      <c r="X8" s="2415"/>
      <c r="Y8" s="2415"/>
      <c r="Z8" s="2415"/>
      <c r="AA8" s="2415"/>
      <c r="AB8" s="2415"/>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6" t="s">
        <v>2517</v>
      </c>
      <c r="BK8" s="2417">
        <v>3844</v>
      </c>
      <c r="BL8" s="2418">
        <v>1</v>
      </c>
      <c r="BM8" s="2418">
        <v>0.8</v>
      </c>
      <c r="BN8" s="2419" t="s">
        <v>2065</v>
      </c>
      <c r="BO8" s="2419" t="s">
        <v>2067</v>
      </c>
      <c r="BP8" s="2419"/>
      <c r="BQ8" s="2423">
        <f>BK$44</f>
        <v>0.57999999999999996</v>
      </c>
      <c r="BR8" s="2423">
        <f>BL$44</f>
        <v>0.40100000000000002</v>
      </c>
      <c r="BS8" s="2421"/>
      <c r="BT8" s="2421"/>
      <c r="BU8" s="2422"/>
      <c r="BV8" s="2422"/>
      <c r="BW8" s="578"/>
      <c r="BX8" s="578"/>
    </row>
    <row r="9" spans="1:76" ht="39" customHeight="1" thickBot="1">
      <c r="A9" s="1685"/>
      <c r="B9" s="3318"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8"/>
      <c r="D9" s="3318"/>
      <c r="E9" s="3318"/>
      <c r="F9" s="3318"/>
      <c r="G9" s="3318"/>
      <c r="H9" s="3318"/>
      <c r="I9" s="3318"/>
      <c r="J9" s="1886"/>
      <c r="M9" s="3290"/>
      <c r="N9" s="3290"/>
      <c r="O9" s="3290"/>
      <c r="P9" s="3290"/>
      <c r="Q9" s="3290"/>
      <c r="R9" s="3290"/>
      <c r="S9" s="2415"/>
      <c r="T9" s="2415"/>
      <c r="U9" s="2415"/>
      <c r="V9" s="2415"/>
      <c r="W9" s="2415"/>
      <c r="X9" s="2415"/>
      <c r="Y9" s="2415"/>
      <c r="Z9" s="2415"/>
      <c r="AA9" s="2415"/>
      <c r="AB9" s="2415"/>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6" t="s">
        <v>2048</v>
      </c>
      <c r="BK9" s="2417">
        <v>3844</v>
      </c>
      <c r="BL9" s="2418">
        <v>1</v>
      </c>
      <c r="BM9" s="2418">
        <v>0.8</v>
      </c>
      <c r="BN9" s="2419" t="s">
        <v>2065</v>
      </c>
      <c r="BO9" s="2419" t="s">
        <v>2067</v>
      </c>
      <c r="BP9" s="2419"/>
      <c r="BQ9" s="2423">
        <v>0.2</v>
      </c>
      <c r="BR9" s="2423">
        <v>1</v>
      </c>
      <c r="BS9" s="2421"/>
      <c r="BT9" s="2421"/>
      <c r="BU9" s="2422"/>
      <c r="BV9" s="2422"/>
      <c r="BW9" s="578"/>
      <c r="BX9" s="578"/>
    </row>
    <row r="10" spans="1:76" ht="56.25" customHeight="1" thickBot="1">
      <c r="A10" s="1685"/>
      <c r="B10" s="3315" t="s">
        <v>3099</v>
      </c>
      <c r="C10" s="1887" t="s">
        <v>332</v>
      </c>
      <c r="D10" s="1888" t="s">
        <v>397</v>
      </c>
      <c r="E10" s="1888" t="s">
        <v>3084</v>
      </c>
      <c r="F10" s="1888" t="s">
        <v>3145</v>
      </c>
      <c r="G10" s="2823" t="str">
        <f>IF($T$8=TRUE,"Trade Ally Proposed Cost", "Utility Estimated Cost")</f>
        <v>Utility Estimated Cost</v>
      </c>
      <c r="H10" s="2754"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6" t="s">
        <v>433</v>
      </c>
      <c r="AF10" s="3307"/>
      <c r="AG10" s="3307"/>
      <c r="AH10" s="3308"/>
      <c r="AI10" s="572"/>
      <c r="AJ10" s="572"/>
      <c r="AK10" s="2424" t="s">
        <v>430</v>
      </c>
      <c r="AL10" s="500" t="s">
        <v>451</v>
      </c>
      <c r="AM10" s="572"/>
      <c r="AN10" s="572"/>
      <c r="AO10" s="572"/>
      <c r="AP10" s="572"/>
      <c r="AQ10" s="572"/>
      <c r="AR10" s="572"/>
      <c r="AS10" s="500" t="s">
        <v>328</v>
      </c>
      <c r="AT10" s="572"/>
      <c r="AU10" s="572"/>
      <c r="AV10" s="572"/>
      <c r="AW10" s="572"/>
      <c r="AX10" s="572"/>
      <c r="AY10" s="572"/>
      <c r="AZ10" s="3302" t="s">
        <v>400</v>
      </c>
      <c r="BA10" s="3303"/>
      <c r="BB10" s="3303"/>
      <c r="BC10" s="3303"/>
      <c r="BD10" s="3303"/>
      <c r="BE10" s="3303"/>
      <c r="BF10" s="3303"/>
      <c r="BG10" s="572"/>
      <c r="BH10" s="572"/>
      <c r="BI10" s="572"/>
      <c r="BJ10" s="2416" t="s">
        <v>2521</v>
      </c>
      <c r="BK10" s="2417">
        <v>3844</v>
      </c>
      <c r="BL10" s="2418">
        <v>1</v>
      </c>
      <c r="BM10" s="2418">
        <v>0.8</v>
      </c>
      <c r="BN10" s="2419" t="s">
        <v>2065</v>
      </c>
      <c r="BO10" s="2419" t="s">
        <v>2067</v>
      </c>
      <c r="BP10" s="2419"/>
      <c r="BQ10" s="2447">
        <f>BK$45</f>
        <v>0.64600000000000002</v>
      </c>
      <c r="BR10" s="2447">
        <f>BL$45</f>
        <v>0</v>
      </c>
      <c r="BS10" s="2421"/>
      <c r="BT10" s="2421"/>
      <c r="BU10" s="2422"/>
      <c r="BV10" s="2422"/>
      <c r="BW10" s="578"/>
      <c r="BX10" s="578"/>
    </row>
    <row r="11" spans="1:76" ht="15.6" thickTop="1" thickBot="1">
      <c r="A11" s="1685"/>
      <c r="B11" s="3316"/>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5"/>
      <c r="O11" s="572"/>
      <c r="P11" s="572"/>
      <c r="Q11" s="572"/>
      <c r="R11" s="2425"/>
      <c r="S11" s="2425" t="s">
        <v>3093</v>
      </c>
      <c r="T11" s="2425" t="s">
        <v>3094</v>
      </c>
      <c r="U11" s="2425"/>
      <c r="V11" s="2425"/>
      <c r="W11" s="2425"/>
      <c r="X11" s="2425"/>
      <c r="Y11" s="2425"/>
      <c r="Z11" s="2425"/>
      <c r="AA11" s="3300" t="s">
        <v>399</v>
      </c>
      <c r="AB11" s="3301"/>
      <c r="AC11" s="1553"/>
      <c r="AD11" s="2426" t="s">
        <v>2661</v>
      </c>
      <c r="AE11" s="2427" t="s">
        <v>427</v>
      </c>
      <c r="AF11" s="1380"/>
      <c r="AG11" s="2428" t="s">
        <v>428</v>
      </c>
      <c r="AH11" s="2429" t="s">
        <v>428</v>
      </c>
      <c r="AI11" s="2428" t="s">
        <v>432</v>
      </c>
      <c r="AJ11" s="1553"/>
      <c r="AK11" s="2428" t="s">
        <v>431</v>
      </c>
      <c r="AL11" s="2428" t="s">
        <v>452</v>
      </c>
      <c r="AM11" s="2428" t="s">
        <v>454</v>
      </c>
      <c r="AN11" s="2428" t="s">
        <v>484</v>
      </c>
      <c r="AO11" s="1553"/>
      <c r="AP11" s="2428" t="s">
        <v>455</v>
      </c>
      <c r="AQ11" s="1553"/>
      <c r="AR11" s="572"/>
      <c r="AS11" s="2430"/>
      <c r="AT11" s="2160"/>
      <c r="AU11" s="2431" t="s">
        <v>447</v>
      </c>
      <c r="AV11" s="2432" t="s">
        <v>448</v>
      </c>
      <c r="AW11" s="572"/>
      <c r="AX11" s="572"/>
      <c r="AY11" s="572"/>
      <c r="AZ11" s="3303"/>
      <c r="BA11" s="3303"/>
      <c r="BB11" s="3303"/>
      <c r="BC11" s="3303"/>
      <c r="BD11" s="3303"/>
      <c r="BE11" s="3303"/>
      <c r="BF11" s="3303"/>
      <c r="BG11" s="572"/>
      <c r="BH11" s="572"/>
      <c r="BI11" s="572"/>
      <c r="BJ11" s="2416" t="s">
        <v>2045</v>
      </c>
      <c r="BK11" s="2417">
        <v>3844</v>
      </c>
      <c r="BL11" s="2418">
        <v>1</v>
      </c>
      <c r="BM11" s="2418">
        <v>0.8</v>
      </c>
      <c r="BN11" s="2419" t="s">
        <v>2065</v>
      </c>
      <c r="BO11" s="2419" t="s">
        <v>2067</v>
      </c>
      <c r="BP11" s="2419"/>
      <c r="BQ11" s="2423">
        <f>BK$44</f>
        <v>0.57999999999999996</v>
      </c>
      <c r="BR11" s="2423">
        <f>BL$44</f>
        <v>0.40100000000000002</v>
      </c>
      <c r="BS11" s="2421"/>
      <c r="BT11" s="2421"/>
      <c r="BU11" s="2422"/>
      <c r="BV11" s="2422"/>
      <c r="BW11" s="578"/>
      <c r="BX11" s="578"/>
    </row>
    <row r="12" spans="1:76" ht="15" customHeight="1" thickBot="1">
      <c r="A12" s="1685"/>
      <c r="B12" s="1896"/>
      <c r="C12" s="1897"/>
      <c r="D12" s="1884"/>
      <c r="E12" s="1884"/>
      <c r="F12" s="1885"/>
      <c r="G12" s="1886"/>
      <c r="H12" s="1890"/>
      <c r="I12" s="1886"/>
      <c r="J12" s="1890"/>
      <c r="M12" s="2433" t="s">
        <v>2659</v>
      </c>
      <c r="N12" s="2434"/>
      <c r="O12" s="3292" t="s">
        <v>3865</v>
      </c>
      <c r="P12" s="3293"/>
      <c r="Q12" s="2435" t="s">
        <v>102</v>
      </c>
      <c r="R12" s="2436" t="s">
        <v>332</v>
      </c>
      <c r="S12" s="2437" t="s">
        <v>3096</v>
      </c>
      <c r="T12" s="2437" t="s">
        <v>3096</v>
      </c>
      <c r="U12" s="2438" t="s">
        <v>3095</v>
      </c>
      <c r="V12" s="2438" t="s">
        <v>2481</v>
      </c>
      <c r="W12" s="2438" t="s">
        <v>2044</v>
      </c>
      <c r="X12" s="2438" t="s">
        <v>2507</v>
      </c>
      <c r="Y12" s="2438" t="s">
        <v>2508</v>
      </c>
      <c r="Z12" s="2438" t="s">
        <v>3097</v>
      </c>
      <c r="AA12" s="2439" t="s">
        <v>398</v>
      </c>
      <c r="AB12" s="2440" t="s">
        <v>38</v>
      </c>
      <c r="AC12" s="2439"/>
      <c r="AD12" s="2441" t="s">
        <v>2662</v>
      </c>
      <c r="AE12" s="2442" t="s">
        <v>425</v>
      </c>
      <c r="AF12" s="2443" t="s">
        <v>397</v>
      </c>
      <c r="AG12" s="2443" t="s">
        <v>429</v>
      </c>
      <c r="AH12" s="2444" t="s">
        <v>434</v>
      </c>
      <c r="AI12" s="2442" t="s">
        <v>172</v>
      </c>
      <c r="AJ12" s="2445" t="s">
        <v>426</v>
      </c>
      <c r="AK12" s="2443" t="s">
        <v>160</v>
      </c>
      <c r="AL12" s="2443" t="s">
        <v>453</v>
      </c>
      <c r="AM12" s="2443" t="s">
        <v>160</v>
      </c>
      <c r="AN12" s="2443" t="s">
        <v>172</v>
      </c>
      <c r="AO12" s="2443" t="s">
        <v>456</v>
      </c>
      <c r="AP12" s="2443" t="s">
        <v>230</v>
      </c>
      <c r="AQ12" s="2443" t="s">
        <v>229</v>
      </c>
      <c r="AR12" s="572"/>
      <c r="AS12" s="1398"/>
      <c r="AT12" s="2130" t="s">
        <v>447</v>
      </c>
      <c r="AU12" s="2130" t="s">
        <v>484</v>
      </c>
      <c r="AV12" s="2446" t="s">
        <v>449</v>
      </c>
      <c r="AW12" s="572"/>
      <c r="AX12" s="572"/>
      <c r="AY12" s="572"/>
      <c r="AZ12" s="3304"/>
      <c r="BA12" s="3305"/>
      <c r="BB12" s="3305"/>
      <c r="BC12" s="3305"/>
      <c r="BD12" s="3305"/>
      <c r="BE12" s="3305"/>
      <c r="BF12" s="3305"/>
      <c r="BG12" s="572"/>
      <c r="BH12" s="572"/>
      <c r="BI12" s="572"/>
      <c r="BJ12" s="2416" t="s">
        <v>2051</v>
      </c>
      <c r="BK12" s="2417">
        <v>3300</v>
      </c>
      <c r="BL12" s="2418">
        <v>1</v>
      </c>
      <c r="BM12" s="2418">
        <v>0.8</v>
      </c>
      <c r="BN12" s="2419" t="s">
        <v>2066</v>
      </c>
      <c r="BO12" s="2419" t="s">
        <v>2067</v>
      </c>
      <c r="BP12" s="2419" t="s">
        <v>2522</v>
      </c>
      <c r="BQ12" s="2420">
        <v>0.47499999999999998</v>
      </c>
      <c r="BR12" s="2420">
        <v>0.34899999999999998</v>
      </c>
      <c r="BS12" s="2421"/>
      <c r="BT12" s="2421"/>
      <c r="BU12" s="2422"/>
      <c r="BV12" s="2422"/>
      <c r="BW12" s="578"/>
      <c r="BX12" s="578"/>
    </row>
    <row r="13" spans="1:76" ht="53.25" customHeight="1">
      <c r="A13" s="1685"/>
      <c r="B13" s="1898" t="s">
        <v>99</v>
      </c>
      <c r="C13" s="1899" t="s">
        <v>332</v>
      </c>
      <c r="D13" s="1899" t="s">
        <v>397</v>
      </c>
      <c r="E13" s="1899" t="s">
        <v>3084</v>
      </c>
      <c r="F13" s="1899" t="s">
        <v>3145</v>
      </c>
      <c r="G13" s="2824" t="str">
        <f>IF($T$8=TRUE,"Trade Ally Proposed Cost", "Utility Estimated Cost")</f>
        <v>Utility Estimated Cost</v>
      </c>
      <c r="H13" s="1900" t="str">
        <f>H10</f>
        <v>PEPCO Incentive</v>
      </c>
      <c r="I13" s="1900" t="s">
        <v>2518</v>
      </c>
      <c r="J13" s="1901"/>
      <c r="K13" s="1740" t="str">
        <f>IF($T$8=TRUE,"Trade Ally Costs","")</f>
        <v/>
      </c>
      <c r="L13" s="120"/>
      <c r="M13" s="2448" t="s">
        <v>2660</v>
      </c>
      <c r="N13" s="2449" t="s">
        <v>3819</v>
      </c>
      <c r="O13" s="2450" t="s">
        <v>3098</v>
      </c>
      <c r="P13" s="2451" t="s">
        <v>3100</v>
      </c>
      <c r="Q13" s="2452" t="s">
        <v>2660</v>
      </c>
      <c r="R13" s="2436"/>
      <c r="S13" s="2453"/>
      <c r="T13" s="2453"/>
      <c r="U13" s="2454"/>
      <c r="V13" s="2454"/>
      <c r="W13" s="2454"/>
      <c r="X13" s="2454"/>
      <c r="Y13" s="2454"/>
      <c r="Z13" s="2454"/>
      <c r="AA13" s="2455"/>
      <c r="AB13" s="2456"/>
      <c r="AC13" s="2455"/>
      <c r="AD13" s="2457"/>
      <c r="AE13" s="2427"/>
      <c r="AF13" s="2428"/>
      <c r="AG13" s="2428"/>
      <c r="AH13" s="2429"/>
      <c r="AI13" s="2427"/>
      <c r="AJ13" s="2458"/>
      <c r="AK13" s="2428"/>
      <c r="AL13" s="2428"/>
      <c r="AM13" s="2428"/>
      <c r="AN13" s="2428"/>
      <c r="AO13" s="2428"/>
      <c r="AP13" s="2428"/>
      <c r="AQ13" s="2428"/>
      <c r="AR13" s="572"/>
      <c r="AS13" s="2459" t="s">
        <v>435</v>
      </c>
      <c r="AT13" s="2460" t="s">
        <v>161</v>
      </c>
      <c r="AU13" s="1578" t="s">
        <v>172</v>
      </c>
      <c r="AV13" s="2446" t="s">
        <v>450</v>
      </c>
      <c r="AW13" s="572"/>
      <c r="AX13" s="572"/>
      <c r="AY13" s="572"/>
      <c r="AZ13" s="572"/>
      <c r="BA13" s="2461"/>
      <c r="BB13" s="2462" t="s">
        <v>2510</v>
      </c>
      <c r="BC13" s="2462"/>
      <c r="BD13" s="2463" t="s">
        <v>3090</v>
      </c>
      <c r="BE13" s="2462"/>
      <c r="BF13" s="3309" t="s">
        <v>3089</v>
      </c>
      <c r="BG13" s="3311" t="s">
        <v>2040</v>
      </c>
      <c r="BH13" s="3313" t="s">
        <v>2481</v>
      </c>
      <c r="BI13" s="572"/>
      <c r="BJ13" s="2416" t="s">
        <v>2059</v>
      </c>
      <c r="BK13" s="2417">
        <v>3844</v>
      </c>
      <c r="BL13" s="2418">
        <v>1</v>
      </c>
      <c r="BM13" s="2418">
        <v>0.8</v>
      </c>
      <c r="BN13" s="2419" t="s">
        <v>2065</v>
      </c>
      <c r="BO13" s="2892" t="s">
        <v>3864</v>
      </c>
      <c r="BP13" s="2419"/>
      <c r="BQ13" s="2419"/>
      <c r="BR13" s="2419"/>
      <c r="BS13" s="2421"/>
      <c r="BT13" s="2421"/>
      <c r="BU13" s="2422"/>
      <c r="BV13" s="2422"/>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4"/>
      <c r="L14" s="2806" t="str">
        <f t="shared" ref="L14:L43" si="6">IF(Q14="","",IF($T$8=TRUE,"*",""))</f>
        <v/>
      </c>
      <c r="M14" s="2464"/>
      <c r="N14" s="2465" t="str">
        <f t="shared" ref="N14:N43" si="7">IF(M14="","",VLOOKUP(M14,$BJ$3:$BR$27,6))</f>
        <v/>
      </c>
      <c r="O14" s="2466"/>
      <c r="P14" s="2467"/>
      <c r="Q14" s="2468"/>
      <c r="R14" s="2469"/>
      <c r="S14" s="2470"/>
      <c r="T14" s="2471"/>
      <c r="U14" s="2471"/>
      <c r="V14" s="2471" t="str">
        <f t="shared" ref="V14:V43" si="8">IF(Q14=0,"",VLOOKUP(Q14,$BA$15:$BH$43,8))</f>
        <v/>
      </c>
      <c r="W14" s="2471" t="e">
        <f t="shared" ref="W14:W43" si="9">VLOOKUP(M14,$BJ$3:$BR$27,5)</f>
        <v>#N/A</v>
      </c>
      <c r="X14" s="2471" t="e">
        <f t="shared" ref="X14:X43" si="10">VLOOKUP(M14,$BJ$3:$BR$27,8)</f>
        <v>#N/A</v>
      </c>
      <c r="Y14" s="2471" t="e">
        <f t="shared" ref="Y14:Y43" si="11">VLOOKUP(M14,$BJ$3:$BR$27,9)</f>
        <v>#N/A</v>
      </c>
      <c r="Z14" s="2471" t="e">
        <f>IF(W14="pump",0.55,0.28)</f>
        <v>#N/A</v>
      </c>
      <c r="AA14" s="2472"/>
      <c r="AB14" s="2472"/>
      <c r="AC14" s="2473"/>
      <c r="AD14" s="2471" t="s">
        <v>200</v>
      </c>
      <c r="AE14" s="2474">
        <f>$S14*$T14*($U14^0.5)*0.85*IF(AA14&gt;0,AA14,0.9)/(0.746*1000)</f>
        <v>0</v>
      </c>
      <c r="AF14" s="2475">
        <f>Q14</f>
        <v>0</v>
      </c>
      <c r="AG14" s="2476" t="e">
        <f t="shared" ref="AG14:AG19" si="12">IF(AF14="",VLOOKUP(AE14,motor_table,2+IF(AD14="Yes",1,0)),VLOOKUP(AF14,motor_table,2+IF(AD14="Yes",1,0)))</f>
        <v>#N/A</v>
      </c>
      <c r="AH14" s="2476" t="e">
        <f t="shared" ref="AH14:AH19" si="13">IF(AF14="",VLOOKUP(AE14,motor_table,4+IF(AD14="Yes",1,0)),VLOOKUP(AF14,motor_table,4+IF(AD14="Yes",1,0)))</f>
        <v>#N/A</v>
      </c>
      <c r="AI14" s="2476" t="e">
        <f t="shared" ref="AI14:AI43" si="14">IF(AB14="",IF(D14&gt;0,VLOOKUP(D14,motor_table,4+IF(AD14="Yes",1,0)),AH14),AB14)</f>
        <v>#N/A</v>
      </c>
      <c r="AJ14" s="2476" t="e">
        <f t="shared" ref="AJ14:AJ43" si="15">IF(AA14="",IF(D14&gt;0,VLOOKUP(D14,motor_table,2+IF(AD14="Yes",1,0)),AG14),AA14)</f>
        <v>#N/A</v>
      </c>
      <c r="AK14" s="2477">
        <f t="shared" ref="AK14:AK43" si="16">IF(D14&gt;0,D14*0.746/AJ14,0)</f>
        <v>0</v>
      </c>
      <c r="AL14" s="2478">
        <f t="shared" ref="AL14:AL43" si="17">IF(M14="",0,VLOOKUP(M14,$BJ$3:$BR$27,4,FALSE))</f>
        <v>0</v>
      </c>
      <c r="AM14" s="2477">
        <f>IF(ISNA(AK14),0,AK14*AL14)</f>
        <v>0</v>
      </c>
      <c r="AN14" s="2478">
        <f t="shared" ref="AN14:AN43" si="18">IF(M14="",0,VLOOKUP(M14,$BJ$3:$BR$27,3,FALSE))</f>
        <v>0</v>
      </c>
      <c r="AO14" s="2479">
        <f t="shared" ref="AO14:AO43" si="19">IF(M14="",0,VLOOKUP(M14,$BJ$3:$BR$27,2,FALSE))</f>
        <v>0</v>
      </c>
      <c r="AP14" s="2480">
        <f>AO14*AN14*AM14</f>
        <v>0</v>
      </c>
      <c r="AQ14" s="2481" t="e">
        <f t="shared" ref="AQ14:AQ43" si="20">IF(ISNA(AM14),0,AM14*C14)</f>
        <v>#VALUE!</v>
      </c>
      <c r="AR14" s="672"/>
      <c r="AS14" s="2482" t="s">
        <v>441</v>
      </c>
      <c r="AT14" s="2483">
        <v>8760</v>
      </c>
      <c r="AU14" s="2271">
        <v>1</v>
      </c>
      <c r="AV14" s="2271">
        <v>0.75</v>
      </c>
      <c r="AW14" s="672"/>
      <c r="AX14" s="672"/>
      <c r="AY14" s="672"/>
      <c r="AZ14" s="672"/>
      <c r="BA14" s="2484" t="s">
        <v>397</v>
      </c>
      <c r="BB14" s="2484" t="s">
        <v>401</v>
      </c>
      <c r="BC14" s="2484" t="s">
        <v>402</v>
      </c>
      <c r="BD14" s="2484" t="s">
        <v>401</v>
      </c>
      <c r="BE14" s="2484" t="s">
        <v>402</v>
      </c>
      <c r="BF14" s="3310"/>
      <c r="BG14" s="3312"/>
      <c r="BH14" s="3314"/>
      <c r="BI14" s="672"/>
      <c r="BJ14" s="2416" t="s">
        <v>2058</v>
      </c>
      <c r="BK14" s="2417">
        <v>3844</v>
      </c>
      <c r="BL14" s="2418">
        <v>1</v>
      </c>
      <c r="BM14" s="2418">
        <v>0.8</v>
      </c>
      <c r="BN14" s="2419" t="s">
        <v>2065</v>
      </c>
      <c r="BO14" s="2892" t="s">
        <v>3864</v>
      </c>
      <c r="BP14" s="2419"/>
      <c r="BQ14" s="2419"/>
      <c r="BR14" s="2419"/>
      <c r="BS14" s="2421"/>
      <c r="BT14" s="2421"/>
      <c r="BU14" s="2485"/>
      <c r="BV14" s="2485"/>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4"/>
      <c r="L15" s="2806" t="str">
        <f t="shared" si="6"/>
        <v/>
      </c>
      <c r="M15" s="2469"/>
      <c r="N15" s="2465" t="str">
        <f t="shared" si="7"/>
        <v/>
      </c>
      <c r="O15" s="2466"/>
      <c r="P15" s="2467"/>
      <c r="Q15" s="2468"/>
      <c r="R15" s="2469"/>
      <c r="S15" s="2486"/>
      <c r="T15" s="2486"/>
      <c r="U15" s="2486"/>
      <c r="V15" s="2486" t="str">
        <f t="shared" si="8"/>
        <v/>
      </c>
      <c r="W15" s="2486" t="e">
        <f t="shared" si="9"/>
        <v>#N/A</v>
      </c>
      <c r="X15" s="2486" t="e">
        <f t="shared" si="10"/>
        <v>#N/A</v>
      </c>
      <c r="Y15" s="2486" t="e">
        <f t="shared" si="11"/>
        <v>#N/A</v>
      </c>
      <c r="Z15" s="2486" t="e">
        <f t="shared" ref="Z15:Z43" si="23">IF(W15="pump",0.55,0.28)</f>
        <v>#N/A</v>
      </c>
      <c r="AA15" s="2487"/>
      <c r="AB15" s="2487"/>
      <c r="AC15" s="2488"/>
      <c r="AD15" s="2486" t="s">
        <v>200</v>
      </c>
      <c r="AE15" s="2489">
        <f t="shared" ref="AE15:AE43" si="24">$S15*$T15*($U15^0.5)*0.85*IF(AA15&gt;0,AA15,0.9)/(0.746*1000)</f>
        <v>0</v>
      </c>
      <c r="AF15" s="2490">
        <f t="shared" ref="AF15:AF43" si="25">Q15</f>
        <v>0</v>
      </c>
      <c r="AG15" s="2491" t="e">
        <f t="shared" si="12"/>
        <v>#N/A</v>
      </c>
      <c r="AH15" s="2491" t="e">
        <f t="shared" si="13"/>
        <v>#N/A</v>
      </c>
      <c r="AI15" s="2491" t="e">
        <f t="shared" si="14"/>
        <v>#N/A</v>
      </c>
      <c r="AJ15" s="2491" t="e">
        <f t="shared" si="15"/>
        <v>#N/A</v>
      </c>
      <c r="AK15" s="2477">
        <f t="shared" si="16"/>
        <v>0</v>
      </c>
      <c r="AL15" s="2492">
        <f t="shared" si="17"/>
        <v>0</v>
      </c>
      <c r="AM15" s="2493">
        <f t="shared" ref="AM15:AM39" si="26">IF(ISNA(AK15),0,AK15*AL15)</f>
        <v>0</v>
      </c>
      <c r="AN15" s="2492">
        <f t="shared" si="18"/>
        <v>0</v>
      </c>
      <c r="AO15" s="2494">
        <f t="shared" si="19"/>
        <v>0</v>
      </c>
      <c r="AP15" s="2495">
        <f t="shared" ref="AP15:AP39" si="27">AO15*AN15*AM15</f>
        <v>0</v>
      </c>
      <c r="AQ15" s="2496" t="e">
        <f t="shared" si="20"/>
        <v>#VALUE!</v>
      </c>
      <c r="AR15" s="672"/>
      <c r="AS15" s="2497" t="s">
        <v>305</v>
      </c>
      <c r="AT15" s="2483">
        <v>576</v>
      </c>
      <c r="AU15" s="2271">
        <f>AU14</f>
        <v>1</v>
      </c>
      <c r="AV15" s="2271">
        <v>0.7</v>
      </c>
      <c r="AW15" s="672"/>
      <c r="AX15" s="672"/>
      <c r="AY15" s="672"/>
      <c r="AZ15" s="672"/>
      <c r="BA15" s="2498">
        <v>0.25</v>
      </c>
      <c r="BB15" s="2499">
        <v>0.627</v>
      </c>
      <c r="BC15" s="2499">
        <v>0.67500000000000004</v>
      </c>
      <c r="BD15" s="2499">
        <v>0.53332850507625384</v>
      </c>
      <c r="BE15" s="2499">
        <v>0.57797007624189589</v>
      </c>
      <c r="BF15" s="2500"/>
      <c r="BG15" s="2500"/>
      <c r="BH15" s="2501" t="s">
        <v>202</v>
      </c>
      <c r="BI15" s="672"/>
      <c r="BJ15" s="2416" t="s">
        <v>2046</v>
      </c>
      <c r="BK15" s="2417">
        <v>3844</v>
      </c>
      <c r="BL15" s="2418">
        <v>1</v>
      </c>
      <c r="BM15" s="2418">
        <v>0.8</v>
      </c>
      <c r="BN15" s="2419" t="s">
        <v>2065</v>
      </c>
      <c r="BO15" s="2419" t="s">
        <v>2067</v>
      </c>
      <c r="BP15" s="2419"/>
      <c r="BQ15" s="2447">
        <f>BK$45</f>
        <v>0.64600000000000002</v>
      </c>
      <c r="BR15" s="2447">
        <f>BL$45</f>
        <v>0</v>
      </c>
      <c r="BS15" s="2421"/>
      <c r="BT15" s="2421"/>
      <c r="BU15" s="2485"/>
      <c r="BV15" s="2485"/>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4"/>
      <c r="L16" s="2806" t="str">
        <f t="shared" si="6"/>
        <v/>
      </c>
      <c r="M16" s="2469"/>
      <c r="N16" s="2465" t="str">
        <f t="shared" si="7"/>
        <v/>
      </c>
      <c r="O16" s="2466"/>
      <c r="P16" s="2467"/>
      <c r="Q16" s="2468"/>
      <c r="R16" s="2469"/>
      <c r="S16" s="2486"/>
      <c r="T16" s="2486"/>
      <c r="U16" s="2486"/>
      <c r="V16" s="2486" t="str">
        <f t="shared" si="8"/>
        <v/>
      </c>
      <c r="W16" s="2486" t="e">
        <f t="shared" si="9"/>
        <v>#N/A</v>
      </c>
      <c r="X16" s="2486" t="e">
        <f t="shared" si="10"/>
        <v>#N/A</v>
      </c>
      <c r="Y16" s="2486" t="e">
        <f t="shared" si="11"/>
        <v>#N/A</v>
      </c>
      <c r="Z16" s="2486" t="e">
        <f t="shared" si="23"/>
        <v>#N/A</v>
      </c>
      <c r="AA16" s="2487"/>
      <c r="AB16" s="2487"/>
      <c r="AC16" s="2486"/>
      <c r="AD16" s="2486" t="s">
        <v>200</v>
      </c>
      <c r="AE16" s="2489">
        <f t="shared" si="24"/>
        <v>0</v>
      </c>
      <c r="AF16" s="2490">
        <f t="shared" si="25"/>
        <v>0</v>
      </c>
      <c r="AG16" s="2491" t="e">
        <f t="shared" si="12"/>
        <v>#N/A</v>
      </c>
      <c r="AH16" s="2491" t="e">
        <f t="shared" si="13"/>
        <v>#N/A</v>
      </c>
      <c r="AI16" s="2491" t="e">
        <f t="shared" si="14"/>
        <v>#N/A</v>
      </c>
      <c r="AJ16" s="2491" t="e">
        <f t="shared" si="15"/>
        <v>#N/A</v>
      </c>
      <c r="AK16" s="2477">
        <f t="shared" si="16"/>
        <v>0</v>
      </c>
      <c r="AL16" s="2492">
        <f t="shared" si="17"/>
        <v>0</v>
      </c>
      <c r="AM16" s="2493">
        <f t="shared" si="26"/>
        <v>0</v>
      </c>
      <c r="AN16" s="2492">
        <f t="shared" si="18"/>
        <v>0</v>
      </c>
      <c r="AO16" s="2494">
        <f t="shared" si="19"/>
        <v>0</v>
      </c>
      <c r="AP16" s="2495">
        <f t="shared" si="27"/>
        <v>0</v>
      </c>
      <c r="AQ16" s="2496" t="e">
        <f t="shared" si="20"/>
        <v>#VALUE!</v>
      </c>
      <c r="AR16" s="672"/>
      <c r="AS16" s="2497" t="s">
        <v>308</v>
      </c>
      <c r="AT16" s="2483">
        <v>3844</v>
      </c>
      <c r="AU16" s="2271">
        <v>0.45</v>
      </c>
      <c r="AV16" s="2271">
        <v>0.9</v>
      </c>
      <c r="AW16" s="672"/>
      <c r="AX16" s="672"/>
      <c r="AY16" s="672"/>
      <c r="AZ16" s="672"/>
      <c r="BA16" s="2498">
        <v>0.33</v>
      </c>
      <c r="BB16" s="2499">
        <v>0.66</v>
      </c>
      <c r="BC16" s="2499">
        <v>0.68799999999999994</v>
      </c>
      <c r="BD16" s="2499">
        <v>0.62420768234124757</v>
      </c>
      <c r="BE16" s="2499">
        <v>0.64157558712399831</v>
      </c>
      <c r="BF16" s="2500"/>
      <c r="BG16" s="2500"/>
      <c r="BH16" s="2501" t="s">
        <v>202</v>
      </c>
      <c r="BI16" s="672"/>
      <c r="BJ16" s="2416" t="s">
        <v>2053</v>
      </c>
      <c r="BK16" s="2417">
        <v>3300</v>
      </c>
      <c r="BL16" s="2418">
        <v>1</v>
      </c>
      <c r="BM16" s="2418">
        <v>0.8</v>
      </c>
      <c r="BN16" s="2419" t="s">
        <v>2066</v>
      </c>
      <c r="BO16" s="2419" t="s">
        <v>2067</v>
      </c>
      <c r="BP16" s="2419" t="s">
        <v>2522</v>
      </c>
      <c r="BQ16" s="2420">
        <v>0.47499999999999998</v>
      </c>
      <c r="BR16" s="2420">
        <v>0.34899999999999998</v>
      </c>
      <c r="BS16" s="2421"/>
      <c r="BT16" s="2421"/>
      <c r="BU16" s="2485"/>
      <c r="BV16" s="2485"/>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4"/>
      <c r="L17" s="2806" t="str">
        <f t="shared" si="6"/>
        <v/>
      </c>
      <c r="M17" s="2469"/>
      <c r="N17" s="2465" t="str">
        <f t="shared" si="7"/>
        <v/>
      </c>
      <c r="O17" s="2466"/>
      <c r="P17" s="2467"/>
      <c r="Q17" s="2468"/>
      <c r="R17" s="2469"/>
      <c r="S17" s="2486"/>
      <c r="T17" s="2486"/>
      <c r="U17" s="2486"/>
      <c r="V17" s="2486" t="str">
        <f t="shared" si="8"/>
        <v/>
      </c>
      <c r="W17" s="2486" t="e">
        <f t="shared" si="9"/>
        <v>#N/A</v>
      </c>
      <c r="X17" s="2486" t="e">
        <f t="shared" si="10"/>
        <v>#N/A</v>
      </c>
      <c r="Y17" s="2486" t="e">
        <f t="shared" si="11"/>
        <v>#N/A</v>
      </c>
      <c r="Z17" s="2486" t="e">
        <f t="shared" si="23"/>
        <v>#N/A</v>
      </c>
      <c r="AA17" s="2487"/>
      <c r="AB17" s="2487"/>
      <c r="AC17" s="2486"/>
      <c r="AD17" s="2486" t="s">
        <v>200</v>
      </c>
      <c r="AE17" s="2489">
        <f t="shared" si="24"/>
        <v>0</v>
      </c>
      <c r="AF17" s="2490">
        <f t="shared" si="25"/>
        <v>0</v>
      </c>
      <c r="AG17" s="2491" t="e">
        <f t="shared" si="12"/>
        <v>#N/A</v>
      </c>
      <c r="AH17" s="2491" t="e">
        <f t="shared" si="13"/>
        <v>#N/A</v>
      </c>
      <c r="AI17" s="2491" t="e">
        <f t="shared" si="14"/>
        <v>#N/A</v>
      </c>
      <c r="AJ17" s="2491" t="e">
        <f t="shared" si="15"/>
        <v>#N/A</v>
      </c>
      <c r="AK17" s="2477">
        <f t="shared" si="16"/>
        <v>0</v>
      </c>
      <c r="AL17" s="2492">
        <f t="shared" si="17"/>
        <v>0</v>
      </c>
      <c r="AM17" s="2493">
        <f t="shared" si="26"/>
        <v>0</v>
      </c>
      <c r="AN17" s="2492">
        <f t="shared" si="18"/>
        <v>0</v>
      </c>
      <c r="AO17" s="2494">
        <f t="shared" si="19"/>
        <v>0</v>
      </c>
      <c r="AP17" s="2495">
        <f t="shared" si="27"/>
        <v>0</v>
      </c>
      <c r="AQ17" s="2496" t="e">
        <f t="shared" si="20"/>
        <v>#VALUE!</v>
      </c>
      <c r="AR17" s="672"/>
      <c r="AS17" s="2497" t="s">
        <v>436</v>
      </c>
      <c r="AT17" s="2483">
        <v>4800</v>
      </c>
      <c r="AU17" s="2271">
        <f>(13.5*5+6*2)/168</f>
        <v>0.4732142857142857</v>
      </c>
      <c r="AV17" s="2271">
        <v>0.7</v>
      </c>
      <c r="AW17" s="672"/>
      <c r="AX17" s="672"/>
      <c r="AY17" s="672"/>
      <c r="AZ17" s="672"/>
      <c r="BA17" s="2498">
        <v>0.5</v>
      </c>
      <c r="BB17" s="2499">
        <v>0.69</v>
      </c>
      <c r="BC17" s="2499">
        <v>0.73899999999999999</v>
      </c>
      <c r="BD17" s="2499">
        <v>0.61680601021862413</v>
      </c>
      <c r="BE17" s="2499">
        <v>0.63349900102291712</v>
      </c>
      <c r="BF17" s="2500"/>
      <c r="BG17" s="2500"/>
      <c r="BH17" s="2501" t="s">
        <v>202</v>
      </c>
      <c r="BI17" s="672"/>
      <c r="BJ17" s="2416" t="s">
        <v>2050</v>
      </c>
      <c r="BK17" s="2417">
        <v>3300</v>
      </c>
      <c r="BL17" s="2418">
        <v>1</v>
      </c>
      <c r="BM17" s="2418">
        <v>0.8</v>
      </c>
      <c r="BN17" s="2419" t="s">
        <v>2066</v>
      </c>
      <c r="BO17" s="2419" t="s">
        <v>2067</v>
      </c>
      <c r="BP17" s="2419" t="s">
        <v>2522</v>
      </c>
      <c r="BQ17" s="2420">
        <v>0.47499999999999998</v>
      </c>
      <c r="BR17" s="2420">
        <v>0.34899999999999998</v>
      </c>
      <c r="BS17" s="2421"/>
      <c r="BT17" s="2421"/>
      <c r="BU17" s="2485"/>
      <c r="BV17" s="2485"/>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4"/>
      <c r="L18" s="2806" t="str">
        <f t="shared" si="6"/>
        <v/>
      </c>
      <c r="M18" s="2469"/>
      <c r="N18" s="2465" t="str">
        <f t="shared" si="7"/>
        <v/>
      </c>
      <c r="O18" s="2466"/>
      <c r="P18" s="2467"/>
      <c r="Q18" s="2468"/>
      <c r="R18" s="2469"/>
      <c r="S18" s="2486"/>
      <c r="T18" s="2486"/>
      <c r="U18" s="2486"/>
      <c r="V18" s="2486" t="str">
        <f t="shared" si="8"/>
        <v/>
      </c>
      <c r="W18" s="2486" t="e">
        <f t="shared" si="9"/>
        <v>#N/A</v>
      </c>
      <c r="X18" s="2486" t="e">
        <f t="shared" si="10"/>
        <v>#N/A</v>
      </c>
      <c r="Y18" s="2486" t="e">
        <f t="shared" si="11"/>
        <v>#N/A</v>
      </c>
      <c r="Z18" s="2486" t="e">
        <f t="shared" si="23"/>
        <v>#N/A</v>
      </c>
      <c r="AA18" s="2487"/>
      <c r="AB18" s="2487"/>
      <c r="AC18" s="2486"/>
      <c r="AD18" s="2486" t="s">
        <v>200</v>
      </c>
      <c r="AE18" s="2489">
        <f t="shared" si="24"/>
        <v>0</v>
      </c>
      <c r="AF18" s="2490">
        <f t="shared" si="25"/>
        <v>0</v>
      </c>
      <c r="AG18" s="2491" t="e">
        <f t="shared" si="12"/>
        <v>#N/A</v>
      </c>
      <c r="AH18" s="2491" t="e">
        <f t="shared" si="13"/>
        <v>#N/A</v>
      </c>
      <c r="AI18" s="2491" t="e">
        <f t="shared" si="14"/>
        <v>#N/A</v>
      </c>
      <c r="AJ18" s="2491" t="e">
        <f t="shared" si="15"/>
        <v>#N/A</v>
      </c>
      <c r="AK18" s="2477">
        <f t="shared" si="16"/>
        <v>0</v>
      </c>
      <c r="AL18" s="2492">
        <f t="shared" si="17"/>
        <v>0</v>
      </c>
      <c r="AM18" s="2493">
        <f t="shared" si="26"/>
        <v>0</v>
      </c>
      <c r="AN18" s="2492">
        <f t="shared" si="18"/>
        <v>0</v>
      </c>
      <c r="AO18" s="2494">
        <f t="shared" si="19"/>
        <v>0</v>
      </c>
      <c r="AP18" s="2495">
        <f t="shared" si="27"/>
        <v>0</v>
      </c>
      <c r="AQ18" s="2496" t="e">
        <f t="shared" si="20"/>
        <v>#VALUE!</v>
      </c>
      <c r="AR18" s="672"/>
      <c r="AS18" s="2497" t="s">
        <v>438</v>
      </c>
      <c r="AT18" s="2483">
        <f>(13.5*7+6*2)*52</f>
        <v>5538</v>
      </c>
      <c r="AU18" s="2271">
        <v>1</v>
      </c>
      <c r="AV18" s="2271">
        <v>0.8</v>
      </c>
      <c r="AW18" s="672"/>
      <c r="AX18" s="672"/>
      <c r="AY18" s="672"/>
      <c r="AZ18" s="672"/>
      <c r="BA18" s="2498">
        <v>0.75</v>
      </c>
      <c r="BB18" s="2499">
        <v>0.76</v>
      </c>
      <c r="BC18" s="2499">
        <v>0.78500000000000003</v>
      </c>
      <c r="BD18" s="2499">
        <v>0.65999402503186411</v>
      </c>
      <c r="BE18" s="2499">
        <v>0.74547095821008869</v>
      </c>
      <c r="BF18" s="2500"/>
      <c r="BG18" s="2500"/>
      <c r="BH18" s="2501" t="s">
        <v>202</v>
      </c>
      <c r="BI18" s="672"/>
      <c r="BJ18" s="2416" t="s">
        <v>2052</v>
      </c>
      <c r="BK18" s="2417">
        <v>3300</v>
      </c>
      <c r="BL18" s="2418">
        <v>1</v>
      </c>
      <c r="BM18" s="2418">
        <v>0.8</v>
      </c>
      <c r="BN18" s="2419" t="s">
        <v>2066</v>
      </c>
      <c r="BO18" s="2419" t="s">
        <v>2067</v>
      </c>
      <c r="BP18" s="2419" t="s">
        <v>2522</v>
      </c>
      <c r="BQ18" s="2420">
        <v>0.47499999999999998</v>
      </c>
      <c r="BR18" s="2420">
        <v>0.34899999999999998</v>
      </c>
      <c r="BS18" s="2421"/>
      <c r="BT18" s="2421"/>
      <c r="BU18" s="2485"/>
      <c r="BV18" s="2485"/>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4"/>
      <c r="L19" s="2806" t="str">
        <f t="shared" si="6"/>
        <v/>
      </c>
      <c r="M19" s="2469"/>
      <c r="N19" s="2465" t="str">
        <f t="shared" si="7"/>
        <v/>
      </c>
      <c r="O19" s="2466"/>
      <c r="P19" s="2467"/>
      <c r="Q19" s="2468"/>
      <c r="R19" s="2469"/>
      <c r="S19" s="2486"/>
      <c r="T19" s="2486"/>
      <c r="U19" s="2486"/>
      <c r="V19" s="2486" t="str">
        <f t="shared" si="8"/>
        <v/>
      </c>
      <c r="W19" s="2486" t="e">
        <f t="shared" si="9"/>
        <v>#N/A</v>
      </c>
      <c r="X19" s="2486" t="e">
        <f t="shared" si="10"/>
        <v>#N/A</v>
      </c>
      <c r="Y19" s="2486" t="e">
        <f t="shared" si="11"/>
        <v>#N/A</v>
      </c>
      <c r="Z19" s="2486" t="e">
        <f t="shared" si="23"/>
        <v>#N/A</v>
      </c>
      <c r="AA19" s="2487"/>
      <c r="AB19" s="2487"/>
      <c r="AC19" s="2486"/>
      <c r="AD19" s="2486" t="s">
        <v>200</v>
      </c>
      <c r="AE19" s="2489">
        <f t="shared" si="24"/>
        <v>0</v>
      </c>
      <c r="AF19" s="2490">
        <f t="shared" si="25"/>
        <v>0</v>
      </c>
      <c r="AG19" s="2491" t="e">
        <f t="shared" si="12"/>
        <v>#N/A</v>
      </c>
      <c r="AH19" s="2491" t="e">
        <f t="shared" si="13"/>
        <v>#N/A</v>
      </c>
      <c r="AI19" s="2491" t="e">
        <f t="shared" si="14"/>
        <v>#N/A</v>
      </c>
      <c r="AJ19" s="2491" t="e">
        <f t="shared" si="15"/>
        <v>#N/A</v>
      </c>
      <c r="AK19" s="2477">
        <f t="shared" si="16"/>
        <v>0</v>
      </c>
      <c r="AL19" s="2492">
        <f t="shared" si="17"/>
        <v>0</v>
      </c>
      <c r="AM19" s="2493">
        <f t="shared" si="26"/>
        <v>0</v>
      </c>
      <c r="AN19" s="2492">
        <f t="shared" si="18"/>
        <v>0</v>
      </c>
      <c r="AO19" s="2494">
        <f t="shared" si="19"/>
        <v>0</v>
      </c>
      <c r="AP19" s="2495">
        <f t="shared" si="27"/>
        <v>0</v>
      </c>
      <c r="AQ19" s="2496" t="e">
        <f t="shared" si="20"/>
        <v>#VALUE!</v>
      </c>
      <c r="AR19" s="672"/>
      <c r="AS19" s="2497" t="s">
        <v>437</v>
      </c>
      <c r="AT19" s="2483">
        <v>3300</v>
      </c>
      <c r="AU19" s="2271">
        <v>1</v>
      </c>
      <c r="AV19" s="2271">
        <v>0.8</v>
      </c>
      <c r="AW19" s="672"/>
      <c r="AX19" s="672"/>
      <c r="AY19" s="672"/>
      <c r="AZ19" s="672"/>
      <c r="BA19" s="2498">
        <v>1</v>
      </c>
      <c r="BB19" s="2499">
        <v>0.82042413227830879</v>
      </c>
      <c r="BC19" s="2499">
        <v>0.84591019346097607</v>
      </c>
      <c r="BD19" s="2499">
        <v>0.72499999999999998</v>
      </c>
      <c r="BE19" s="2499">
        <v>0.76500000000000001</v>
      </c>
      <c r="BF19" s="2500"/>
      <c r="BG19" s="2500"/>
      <c r="BH19" s="2501" t="s">
        <v>202</v>
      </c>
      <c r="BI19" s="672"/>
      <c r="BJ19" s="2416" t="s">
        <v>2049</v>
      </c>
      <c r="BK19" s="2417">
        <v>3300</v>
      </c>
      <c r="BL19" s="2418">
        <v>1</v>
      </c>
      <c r="BM19" s="2418">
        <v>0.8</v>
      </c>
      <c r="BN19" s="2419" t="s">
        <v>2066</v>
      </c>
      <c r="BO19" s="2419" t="s">
        <v>2067</v>
      </c>
      <c r="BP19" s="2419" t="s">
        <v>2522</v>
      </c>
      <c r="BQ19" s="2420">
        <v>0.47499999999999998</v>
      </c>
      <c r="BR19" s="2420">
        <v>0.34899999999999998</v>
      </c>
      <c r="BS19" s="2421"/>
      <c r="BT19" s="2421"/>
      <c r="BU19" s="2485"/>
      <c r="BV19" s="2485"/>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4"/>
      <c r="L20" s="2806" t="str">
        <f t="shared" si="6"/>
        <v/>
      </c>
      <c r="M20" s="2469"/>
      <c r="N20" s="2465" t="str">
        <f t="shared" si="7"/>
        <v/>
      </c>
      <c r="O20" s="2466"/>
      <c r="P20" s="2467"/>
      <c r="Q20" s="2468"/>
      <c r="R20" s="2469"/>
      <c r="S20" s="2486"/>
      <c r="T20" s="2486"/>
      <c r="U20" s="2486"/>
      <c r="V20" s="2486" t="str">
        <f t="shared" si="8"/>
        <v/>
      </c>
      <c r="W20" s="2486" t="e">
        <f t="shared" si="9"/>
        <v>#N/A</v>
      </c>
      <c r="X20" s="2486" t="e">
        <f t="shared" si="10"/>
        <v>#N/A</v>
      </c>
      <c r="Y20" s="2486" t="e">
        <f t="shared" si="11"/>
        <v>#N/A</v>
      </c>
      <c r="Z20" s="2486" t="e">
        <f t="shared" si="23"/>
        <v>#N/A</v>
      </c>
      <c r="AA20" s="2487"/>
      <c r="AB20" s="2487"/>
      <c r="AC20" s="2486"/>
      <c r="AD20" s="2486" t="s">
        <v>200</v>
      </c>
      <c r="AE20" s="2489">
        <f t="shared" si="24"/>
        <v>0</v>
      </c>
      <c r="AF20" s="2490">
        <f t="shared" si="25"/>
        <v>0</v>
      </c>
      <c r="AG20" s="2491" t="e">
        <f t="shared" ref="AG20:AG36" si="28">IF(AF20="",VLOOKUP(AE20,motor_table,2+IF(AD20="Yes",1,0)),VLOOKUP(AF20,motor_table,2+IF(AD20="Yes",1,0)))</f>
        <v>#N/A</v>
      </c>
      <c r="AH20" s="2491" t="e">
        <f t="shared" ref="AH20:AH36" si="29">IF(AF20="",VLOOKUP(AE20,motor_table,4+IF(AD20="Yes",1,0)),VLOOKUP(AF20,motor_table,4+IF(AD20="Yes",1,0)))</f>
        <v>#N/A</v>
      </c>
      <c r="AI20" s="2491" t="e">
        <f t="shared" si="14"/>
        <v>#N/A</v>
      </c>
      <c r="AJ20" s="2491" t="e">
        <f t="shared" si="15"/>
        <v>#N/A</v>
      </c>
      <c r="AK20" s="2477">
        <f t="shared" si="16"/>
        <v>0</v>
      </c>
      <c r="AL20" s="2492">
        <f t="shared" si="17"/>
        <v>0</v>
      </c>
      <c r="AM20" s="2493">
        <f t="shared" si="26"/>
        <v>0</v>
      </c>
      <c r="AN20" s="2492">
        <f t="shared" si="18"/>
        <v>0</v>
      </c>
      <c r="AO20" s="2494">
        <f t="shared" si="19"/>
        <v>0</v>
      </c>
      <c r="AP20" s="2495">
        <f t="shared" si="27"/>
        <v>0</v>
      </c>
      <c r="AQ20" s="2496" t="e">
        <f t="shared" si="20"/>
        <v>#VALUE!</v>
      </c>
      <c r="AR20" s="672"/>
      <c r="AS20" s="2497" t="s">
        <v>442</v>
      </c>
      <c r="AT20" s="2483">
        <v>3300</v>
      </c>
      <c r="AU20" s="2271">
        <v>1</v>
      </c>
      <c r="AV20" s="2271">
        <v>0.9</v>
      </c>
      <c r="AW20" s="672"/>
      <c r="AX20" s="672"/>
      <c r="AY20" s="672"/>
      <c r="AZ20" s="672"/>
      <c r="BA20" s="2498">
        <v>1.5</v>
      </c>
      <c r="BB20" s="2499">
        <v>0.83667194483149443</v>
      </c>
      <c r="BC20" s="2499">
        <v>0.85829877901179863</v>
      </c>
      <c r="BD20" s="2499">
        <v>0.72899999999999998</v>
      </c>
      <c r="BE20" s="2499">
        <v>0.77200000000000002</v>
      </c>
      <c r="BF20" s="2500"/>
      <c r="BG20" s="2500"/>
      <c r="BH20" s="2501" t="s">
        <v>202</v>
      </c>
      <c r="BI20" s="672"/>
      <c r="BJ20" s="2416" t="s">
        <v>473</v>
      </c>
      <c r="BK20" s="2417"/>
      <c r="BL20" s="2418"/>
      <c r="BM20" s="2418"/>
      <c r="BN20" s="2419" t="s">
        <v>473</v>
      </c>
      <c r="BO20" s="2892" t="s">
        <v>3864</v>
      </c>
      <c r="BP20" s="2419"/>
      <c r="BQ20" s="2419"/>
      <c r="BR20" s="2419"/>
      <c r="BS20" s="2421"/>
      <c r="BT20" s="2421"/>
      <c r="BU20" s="2485"/>
      <c r="BV20" s="2485"/>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4"/>
      <c r="L21" s="2806" t="str">
        <f t="shared" si="6"/>
        <v/>
      </c>
      <c r="M21" s="2469"/>
      <c r="N21" s="2465" t="str">
        <f t="shared" si="7"/>
        <v/>
      </c>
      <c r="O21" s="2466"/>
      <c r="P21" s="2467"/>
      <c r="Q21" s="2468"/>
      <c r="R21" s="2469"/>
      <c r="S21" s="2486"/>
      <c r="T21" s="2486"/>
      <c r="U21" s="2486"/>
      <c r="V21" s="2486" t="str">
        <f t="shared" si="8"/>
        <v/>
      </c>
      <c r="W21" s="2486" t="e">
        <f t="shared" si="9"/>
        <v>#N/A</v>
      </c>
      <c r="X21" s="2486" t="e">
        <f t="shared" si="10"/>
        <v>#N/A</v>
      </c>
      <c r="Y21" s="2486" t="e">
        <f t="shared" si="11"/>
        <v>#N/A</v>
      </c>
      <c r="Z21" s="2486" t="e">
        <f t="shared" si="23"/>
        <v>#N/A</v>
      </c>
      <c r="AA21" s="2487"/>
      <c r="AB21" s="2487"/>
      <c r="AC21" s="2486"/>
      <c r="AD21" s="2486" t="s">
        <v>200</v>
      </c>
      <c r="AE21" s="2489">
        <f t="shared" si="24"/>
        <v>0</v>
      </c>
      <c r="AF21" s="2490">
        <f t="shared" si="25"/>
        <v>0</v>
      </c>
      <c r="AG21" s="2491" t="e">
        <f t="shared" si="28"/>
        <v>#N/A</v>
      </c>
      <c r="AH21" s="2491" t="e">
        <f t="shared" si="29"/>
        <v>#N/A</v>
      </c>
      <c r="AI21" s="2491" t="e">
        <f t="shared" si="14"/>
        <v>#N/A</v>
      </c>
      <c r="AJ21" s="2491" t="e">
        <f t="shared" si="15"/>
        <v>#N/A</v>
      </c>
      <c r="AK21" s="2477">
        <f t="shared" si="16"/>
        <v>0</v>
      </c>
      <c r="AL21" s="2492">
        <f t="shared" si="17"/>
        <v>0</v>
      </c>
      <c r="AM21" s="2493">
        <f t="shared" si="26"/>
        <v>0</v>
      </c>
      <c r="AN21" s="2492">
        <f t="shared" si="18"/>
        <v>0</v>
      </c>
      <c r="AO21" s="2494">
        <f t="shared" si="19"/>
        <v>0</v>
      </c>
      <c r="AP21" s="2495">
        <f t="shared" si="27"/>
        <v>0</v>
      </c>
      <c r="AQ21" s="2496" t="e">
        <f t="shared" si="20"/>
        <v>#VALUE!</v>
      </c>
      <c r="AR21" s="672"/>
      <c r="AS21" s="2497" t="s">
        <v>443</v>
      </c>
      <c r="AT21" s="2483">
        <v>2100</v>
      </c>
      <c r="AU21" s="2271">
        <v>1</v>
      </c>
      <c r="AV21" s="2271">
        <v>0.9</v>
      </c>
      <c r="AW21" s="672"/>
      <c r="AX21" s="672"/>
      <c r="AY21" s="672"/>
      <c r="AZ21" s="672"/>
      <c r="BA21" s="5">
        <v>2</v>
      </c>
      <c r="BB21" s="2502">
        <v>0.8372532323837617</v>
      </c>
      <c r="BC21" s="2502">
        <v>0.85981896233915533</v>
      </c>
      <c r="BD21" s="2502">
        <v>0.76900000000000002</v>
      </c>
      <c r="BE21" s="2502">
        <v>0.78800000000000003</v>
      </c>
      <c r="BF21" s="2503">
        <v>3000</v>
      </c>
      <c r="BG21" s="2503">
        <v>1500</v>
      </c>
      <c r="BH21" s="2504" t="s">
        <v>2534</v>
      </c>
      <c r="BI21" s="672"/>
      <c r="BJ21" s="2416" t="s">
        <v>2057</v>
      </c>
      <c r="BK21" s="2417">
        <v>3844</v>
      </c>
      <c r="BL21" s="2418">
        <v>1</v>
      </c>
      <c r="BM21" s="2418">
        <v>0.8</v>
      </c>
      <c r="BN21" s="2419" t="s">
        <v>2065</v>
      </c>
      <c r="BO21" s="2892" t="s">
        <v>3864</v>
      </c>
      <c r="BP21" s="2419"/>
      <c r="BQ21" s="2419"/>
      <c r="BR21" s="2419"/>
      <c r="BS21" s="2421"/>
      <c r="BT21" s="2421"/>
      <c r="BU21" s="2485"/>
      <c r="BV21" s="2485"/>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4"/>
      <c r="L22" s="2806" t="str">
        <f t="shared" si="6"/>
        <v/>
      </c>
      <c r="M22" s="2469"/>
      <c r="N22" s="2465" t="str">
        <f t="shared" si="7"/>
        <v/>
      </c>
      <c r="O22" s="2466"/>
      <c r="P22" s="2467"/>
      <c r="Q22" s="2468"/>
      <c r="R22" s="2469"/>
      <c r="S22" s="2486"/>
      <c r="T22" s="2486"/>
      <c r="U22" s="2486"/>
      <c r="V22" s="2486" t="str">
        <f t="shared" si="8"/>
        <v/>
      </c>
      <c r="W22" s="2486" t="e">
        <f t="shared" si="9"/>
        <v>#N/A</v>
      </c>
      <c r="X22" s="2486" t="e">
        <f t="shared" si="10"/>
        <v>#N/A</v>
      </c>
      <c r="Y22" s="2486" t="e">
        <f t="shared" si="11"/>
        <v>#N/A</v>
      </c>
      <c r="Z22" s="2486" t="e">
        <f t="shared" si="23"/>
        <v>#N/A</v>
      </c>
      <c r="AA22" s="2487"/>
      <c r="AB22" s="2487"/>
      <c r="AC22" s="2486"/>
      <c r="AD22" s="2486" t="s">
        <v>200</v>
      </c>
      <c r="AE22" s="2489">
        <f t="shared" si="24"/>
        <v>0</v>
      </c>
      <c r="AF22" s="2490">
        <f t="shared" si="25"/>
        <v>0</v>
      </c>
      <c r="AG22" s="2491" t="e">
        <f t="shared" si="28"/>
        <v>#N/A</v>
      </c>
      <c r="AH22" s="2491" t="e">
        <f t="shared" si="29"/>
        <v>#N/A</v>
      </c>
      <c r="AI22" s="2491" t="e">
        <f t="shared" si="14"/>
        <v>#N/A</v>
      </c>
      <c r="AJ22" s="2491" t="e">
        <f t="shared" si="15"/>
        <v>#N/A</v>
      </c>
      <c r="AK22" s="2477">
        <f t="shared" si="16"/>
        <v>0</v>
      </c>
      <c r="AL22" s="2492">
        <f t="shared" si="17"/>
        <v>0</v>
      </c>
      <c r="AM22" s="2493">
        <f t="shared" si="26"/>
        <v>0</v>
      </c>
      <c r="AN22" s="2492">
        <f t="shared" si="18"/>
        <v>0</v>
      </c>
      <c r="AO22" s="2494">
        <f t="shared" si="19"/>
        <v>0</v>
      </c>
      <c r="AP22" s="2495">
        <f t="shared" si="27"/>
        <v>0</v>
      </c>
      <c r="AQ22" s="2496" t="e">
        <f t="shared" si="20"/>
        <v>#VALUE!</v>
      </c>
      <c r="AR22" s="672"/>
      <c r="AS22" s="2482" t="s">
        <v>440</v>
      </c>
      <c r="AT22" s="2483">
        <v>6700</v>
      </c>
      <c r="AU22" s="2271">
        <v>1</v>
      </c>
      <c r="AV22" s="2271">
        <v>0.85</v>
      </c>
      <c r="AW22" s="672"/>
      <c r="AX22" s="672"/>
      <c r="AY22" s="672"/>
      <c r="AZ22" s="672"/>
      <c r="BA22" s="5">
        <v>3</v>
      </c>
      <c r="BB22" s="2502">
        <v>0.86115007250013875</v>
      </c>
      <c r="BC22" s="2502">
        <v>0.8853931654006012</v>
      </c>
      <c r="BD22" s="2502">
        <v>0.78100000000000003</v>
      </c>
      <c r="BE22" s="2502">
        <v>0.8</v>
      </c>
      <c r="BF22" s="2503">
        <v>3000</v>
      </c>
      <c r="BG22" s="2503">
        <v>1500</v>
      </c>
      <c r="BH22" s="2504" t="s">
        <v>2536</v>
      </c>
      <c r="BI22" s="672"/>
      <c r="BJ22" s="2416" t="s">
        <v>2061</v>
      </c>
      <c r="BK22" s="2417">
        <v>3844</v>
      </c>
      <c r="BL22" s="2418">
        <v>1</v>
      </c>
      <c r="BM22" s="2418">
        <v>0.8</v>
      </c>
      <c r="BN22" s="2419" t="s">
        <v>2065</v>
      </c>
      <c r="BO22" s="2892" t="s">
        <v>3864</v>
      </c>
      <c r="BP22" s="2419"/>
      <c r="BQ22" s="2419"/>
      <c r="BR22" s="2419"/>
      <c r="BS22" s="2421"/>
      <c r="BT22" s="2421"/>
      <c r="BU22" s="2485"/>
      <c r="BV22" s="2485"/>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4"/>
      <c r="L23" s="2806" t="str">
        <f t="shared" si="6"/>
        <v/>
      </c>
      <c r="M23" s="2469"/>
      <c r="N23" s="2465" t="str">
        <f t="shared" si="7"/>
        <v/>
      </c>
      <c r="O23" s="2466"/>
      <c r="P23" s="2467"/>
      <c r="Q23" s="2468"/>
      <c r="R23" s="2469"/>
      <c r="S23" s="2486"/>
      <c r="T23" s="2486"/>
      <c r="U23" s="2486"/>
      <c r="V23" s="2486" t="str">
        <f t="shared" si="8"/>
        <v/>
      </c>
      <c r="W23" s="2486" t="e">
        <f t="shared" si="9"/>
        <v>#N/A</v>
      </c>
      <c r="X23" s="2486" t="e">
        <f t="shared" si="10"/>
        <v>#N/A</v>
      </c>
      <c r="Y23" s="2486" t="e">
        <f t="shared" si="11"/>
        <v>#N/A</v>
      </c>
      <c r="Z23" s="2486" t="e">
        <f t="shared" si="23"/>
        <v>#N/A</v>
      </c>
      <c r="AA23" s="2487"/>
      <c r="AB23" s="2487"/>
      <c r="AC23" s="2486"/>
      <c r="AD23" s="2486" t="s">
        <v>200</v>
      </c>
      <c r="AE23" s="2489">
        <f t="shared" si="24"/>
        <v>0</v>
      </c>
      <c r="AF23" s="2490">
        <f t="shared" si="25"/>
        <v>0</v>
      </c>
      <c r="AG23" s="2491" t="e">
        <f t="shared" si="28"/>
        <v>#N/A</v>
      </c>
      <c r="AH23" s="2491" t="e">
        <f t="shared" si="29"/>
        <v>#N/A</v>
      </c>
      <c r="AI23" s="2491" t="e">
        <f t="shared" si="14"/>
        <v>#N/A</v>
      </c>
      <c r="AJ23" s="2491" t="e">
        <f t="shared" si="15"/>
        <v>#N/A</v>
      </c>
      <c r="AK23" s="2477">
        <f t="shared" si="16"/>
        <v>0</v>
      </c>
      <c r="AL23" s="2492">
        <f t="shared" si="17"/>
        <v>0</v>
      </c>
      <c r="AM23" s="2493">
        <f t="shared" si="26"/>
        <v>0</v>
      </c>
      <c r="AN23" s="2492">
        <f t="shared" si="18"/>
        <v>0</v>
      </c>
      <c r="AO23" s="2494">
        <f t="shared" si="19"/>
        <v>0</v>
      </c>
      <c r="AP23" s="2495">
        <f t="shared" si="27"/>
        <v>0</v>
      </c>
      <c r="AQ23" s="2496" t="e">
        <f t="shared" si="20"/>
        <v>#VALUE!</v>
      </c>
      <c r="AR23" s="672"/>
      <c r="AS23" s="2497" t="s">
        <v>439</v>
      </c>
      <c r="AT23" s="2483">
        <v>1000</v>
      </c>
      <c r="AU23" s="2271">
        <v>1</v>
      </c>
      <c r="AV23" s="2271">
        <v>0.7</v>
      </c>
      <c r="AW23" s="672"/>
      <c r="AX23" s="672"/>
      <c r="AY23" s="672"/>
      <c r="AZ23" s="672"/>
      <c r="BA23" s="2498">
        <v>4</v>
      </c>
      <c r="BB23" s="2505"/>
      <c r="BC23" s="2505"/>
      <c r="BD23" s="2505"/>
      <c r="BE23" s="2505"/>
      <c r="BF23" s="2506">
        <v>3000</v>
      </c>
      <c r="BG23" s="2506">
        <v>1500</v>
      </c>
      <c r="BH23" s="2504" t="s">
        <v>2538</v>
      </c>
      <c r="BI23" s="672"/>
      <c r="BJ23" s="2416" t="s">
        <v>2063</v>
      </c>
      <c r="BK23" s="2417">
        <v>3300</v>
      </c>
      <c r="BL23" s="2418">
        <v>1</v>
      </c>
      <c r="BM23" s="2418">
        <v>0.8</v>
      </c>
      <c r="BN23" s="2419" t="s">
        <v>2066</v>
      </c>
      <c r="BO23" s="2892" t="s">
        <v>3864</v>
      </c>
      <c r="BP23" s="2419" t="s">
        <v>2522</v>
      </c>
      <c r="BQ23" s="2419"/>
      <c r="BR23" s="2419"/>
      <c r="BS23" s="2421"/>
      <c r="BT23" s="2421"/>
      <c r="BU23" s="2485"/>
      <c r="BV23" s="2485"/>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4"/>
      <c r="L24" s="2806" t="str">
        <f t="shared" si="6"/>
        <v/>
      </c>
      <c r="M24" s="2469"/>
      <c r="N24" s="2465" t="str">
        <f t="shared" si="7"/>
        <v/>
      </c>
      <c r="O24" s="2466"/>
      <c r="P24" s="2467"/>
      <c r="Q24" s="2468"/>
      <c r="R24" s="2469"/>
      <c r="S24" s="2486"/>
      <c r="T24" s="2486"/>
      <c r="U24" s="2486"/>
      <c r="V24" s="2486" t="str">
        <f t="shared" si="8"/>
        <v/>
      </c>
      <c r="W24" s="2486" t="e">
        <f t="shared" si="9"/>
        <v>#N/A</v>
      </c>
      <c r="X24" s="2486" t="e">
        <f t="shared" si="10"/>
        <v>#N/A</v>
      </c>
      <c r="Y24" s="2486" t="e">
        <f t="shared" si="11"/>
        <v>#N/A</v>
      </c>
      <c r="Z24" s="2486" t="e">
        <f t="shared" si="23"/>
        <v>#N/A</v>
      </c>
      <c r="AA24" s="2487"/>
      <c r="AB24" s="2487"/>
      <c r="AC24" s="2486"/>
      <c r="AD24" s="2486" t="s">
        <v>200</v>
      </c>
      <c r="AE24" s="2489">
        <f t="shared" si="24"/>
        <v>0</v>
      </c>
      <c r="AF24" s="2490">
        <f t="shared" si="25"/>
        <v>0</v>
      </c>
      <c r="AG24" s="2491" t="e">
        <f t="shared" si="28"/>
        <v>#N/A</v>
      </c>
      <c r="AH24" s="2491" t="e">
        <f t="shared" si="29"/>
        <v>#N/A</v>
      </c>
      <c r="AI24" s="2491" t="e">
        <f t="shared" si="14"/>
        <v>#N/A</v>
      </c>
      <c r="AJ24" s="2491" t="e">
        <f t="shared" si="15"/>
        <v>#N/A</v>
      </c>
      <c r="AK24" s="2477">
        <f t="shared" si="16"/>
        <v>0</v>
      </c>
      <c r="AL24" s="2492">
        <f t="shared" si="17"/>
        <v>0</v>
      </c>
      <c r="AM24" s="2493">
        <f t="shared" si="26"/>
        <v>0</v>
      </c>
      <c r="AN24" s="2492">
        <f t="shared" si="18"/>
        <v>0</v>
      </c>
      <c r="AO24" s="2494">
        <f t="shared" si="19"/>
        <v>0</v>
      </c>
      <c r="AP24" s="2495">
        <f t="shared" si="27"/>
        <v>0</v>
      </c>
      <c r="AQ24" s="2496" t="e">
        <f t="shared" si="20"/>
        <v>#VALUE!</v>
      </c>
      <c r="AR24" s="672"/>
      <c r="AS24" s="2482" t="s">
        <v>309</v>
      </c>
      <c r="AT24" s="2483">
        <v>5850</v>
      </c>
      <c r="AU24" s="2271">
        <v>0.9</v>
      </c>
      <c r="AV24" s="2271">
        <v>0.7</v>
      </c>
      <c r="AW24" s="672"/>
      <c r="AX24" s="672"/>
      <c r="AY24" s="672"/>
      <c r="AZ24" s="672"/>
      <c r="BA24" s="5">
        <v>5</v>
      </c>
      <c r="BB24" s="2502">
        <v>0.8680851378549671</v>
      </c>
      <c r="BC24" s="2502">
        <v>0.88471746347170943</v>
      </c>
      <c r="BD24" s="2502">
        <v>0.82199999999999995</v>
      </c>
      <c r="BE24" s="2502">
        <v>0.83199999999999996</v>
      </c>
      <c r="BF24" s="2503">
        <v>3200</v>
      </c>
      <c r="BG24" s="2503">
        <v>1600</v>
      </c>
      <c r="BH24" s="2504" t="s">
        <v>2540</v>
      </c>
      <c r="BI24" s="672"/>
      <c r="BJ24" s="2416" t="s">
        <v>2056</v>
      </c>
      <c r="BK24" s="2417">
        <v>3844</v>
      </c>
      <c r="BL24" s="2418">
        <v>1</v>
      </c>
      <c r="BM24" s="2418">
        <v>0.8</v>
      </c>
      <c r="BN24" s="2419" t="s">
        <v>2065</v>
      </c>
      <c r="BO24" s="2892" t="s">
        <v>3864</v>
      </c>
      <c r="BP24" s="2419"/>
      <c r="BQ24" s="2419"/>
      <c r="BR24" s="2419"/>
      <c r="BS24" s="2421"/>
      <c r="BT24" s="2421"/>
      <c r="BU24" s="2485"/>
      <c r="BV24" s="2485"/>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4"/>
      <c r="L25" s="2806" t="str">
        <f t="shared" si="6"/>
        <v/>
      </c>
      <c r="M25" s="2469"/>
      <c r="N25" s="2465" t="str">
        <f t="shared" si="7"/>
        <v/>
      </c>
      <c r="O25" s="2466"/>
      <c r="P25" s="2467"/>
      <c r="Q25" s="2468"/>
      <c r="R25" s="2469"/>
      <c r="S25" s="2486"/>
      <c r="T25" s="2486"/>
      <c r="U25" s="2486"/>
      <c r="V25" s="2486" t="str">
        <f t="shared" si="8"/>
        <v/>
      </c>
      <c r="W25" s="2486" t="e">
        <f t="shared" si="9"/>
        <v>#N/A</v>
      </c>
      <c r="X25" s="2486" t="e">
        <f t="shared" si="10"/>
        <v>#N/A</v>
      </c>
      <c r="Y25" s="2486" t="e">
        <f t="shared" si="11"/>
        <v>#N/A</v>
      </c>
      <c r="Z25" s="2486" t="e">
        <f t="shared" si="23"/>
        <v>#N/A</v>
      </c>
      <c r="AA25" s="2487"/>
      <c r="AB25" s="2487"/>
      <c r="AC25" s="2486"/>
      <c r="AD25" s="2486" t="s">
        <v>200</v>
      </c>
      <c r="AE25" s="2489">
        <f t="shared" si="24"/>
        <v>0</v>
      </c>
      <c r="AF25" s="2490">
        <f t="shared" si="25"/>
        <v>0</v>
      </c>
      <c r="AG25" s="2491" t="e">
        <f t="shared" si="28"/>
        <v>#N/A</v>
      </c>
      <c r="AH25" s="2491" t="e">
        <f t="shared" si="29"/>
        <v>#N/A</v>
      </c>
      <c r="AI25" s="2491" t="e">
        <f t="shared" si="14"/>
        <v>#N/A</v>
      </c>
      <c r="AJ25" s="2491" t="e">
        <f t="shared" si="15"/>
        <v>#N/A</v>
      </c>
      <c r="AK25" s="2477">
        <f t="shared" si="16"/>
        <v>0</v>
      </c>
      <c r="AL25" s="2492">
        <f t="shared" si="17"/>
        <v>0</v>
      </c>
      <c r="AM25" s="2493">
        <f t="shared" si="26"/>
        <v>0</v>
      </c>
      <c r="AN25" s="2492">
        <f t="shared" si="18"/>
        <v>0</v>
      </c>
      <c r="AO25" s="2494">
        <f t="shared" si="19"/>
        <v>0</v>
      </c>
      <c r="AP25" s="2495">
        <f t="shared" si="27"/>
        <v>0</v>
      </c>
      <c r="AQ25" s="2496" t="e">
        <f t="shared" si="20"/>
        <v>#VALUE!</v>
      </c>
      <c r="AR25" s="672"/>
      <c r="AS25" s="2497" t="s">
        <v>306</v>
      </c>
      <c r="AT25" s="2483">
        <f>12*7*52*0.88</f>
        <v>3843.84</v>
      </c>
      <c r="AU25" s="2271">
        <v>1</v>
      </c>
      <c r="AV25" s="2271">
        <v>0.8</v>
      </c>
      <c r="AW25" s="672"/>
      <c r="AX25" s="672"/>
      <c r="AY25" s="672"/>
      <c r="AZ25" s="672"/>
      <c r="BA25" s="5">
        <v>7.5</v>
      </c>
      <c r="BB25" s="2502">
        <v>0.8816308516972835</v>
      </c>
      <c r="BC25" s="2502">
        <v>0.90076424192023319</v>
      </c>
      <c r="BD25" s="2502">
        <v>0.83099999999999996</v>
      </c>
      <c r="BE25" s="2502">
        <v>0.83399999999999996</v>
      </c>
      <c r="BF25" s="2503">
        <v>3600</v>
      </c>
      <c r="BG25" s="2503">
        <v>1800</v>
      </c>
      <c r="BH25" s="2504" t="s">
        <v>2542</v>
      </c>
      <c r="BI25" s="672"/>
      <c r="BJ25" s="2416" t="s">
        <v>2054</v>
      </c>
      <c r="BK25" s="2417">
        <v>3844</v>
      </c>
      <c r="BL25" s="2418">
        <v>1</v>
      </c>
      <c r="BM25" s="2418">
        <v>0.8</v>
      </c>
      <c r="BN25" s="2419" t="s">
        <v>2065</v>
      </c>
      <c r="BO25" s="2892" t="s">
        <v>3864</v>
      </c>
      <c r="BP25" s="2419"/>
      <c r="BQ25" s="2419"/>
      <c r="BR25" s="2419"/>
      <c r="BS25" s="2421"/>
      <c r="BT25" s="2421"/>
      <c r="BU25" s="2485"/>
      <c r="BV25" s="2485"/>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4"/>
      <c r="L26" s="2806" t="str">
        <f t="shared" si="6"/>
        <v/>
      </c>
      <c r="M26" s="2469"/>
      <c r="N26" s="2465" t="str">
        <f t="shared" si="7"/>
        <v/>
      </c>
      <c r="O26" s="2466"/>
      <c r="P26" s="2467"/>
      <c r="Q26" s="2468"/>
      <c r="R26" s="2469"/>
      <c r="S26" s="2486"/>
      <c r="T26" s="2486"/>
      <c r="U26" s="2486"/>
      <c r="V26" s="2486" t="str">
        <f t="shared" si="8"/>
        <v/>
      </c>
      <c r="W26" s="2486" t="e">
        <f t="shared" si="9"/>
        <v>#N/A</v>
      </c>
      <c r="X26" s="2486" t="e">
        <f t="shared" si="10"/>
        <v>#N/A</v>
      </c>
      <c r="Y26" s="2486" t="e">
        <f t="shared" si="11"/>
        <v>#N/A</v>
      </c>
      <c r="Z26" s="2486" t="e">
        <f t="shared" si="23"/>
        <v>#N/A</v>
      </c>
      <c r="AA26" s="2487"/>
      <c r="AB26" s="2487"/>
      <c r="AC26" s="2486"/>
      <c r="AD26" s="2486" t="s">
        <v>200</v>
      </c>
      <c r="AE26" s="2489">
        <f t="shared" si="24"/>
        <v>0</v>
      </c>
      <c r="AF26" s="2490">
        <f t="shared" si="25"/>
        <v>0</v>
      </c>
      <c r="AG26" s="2491" t="e">
        <f t="shared" si="28"/>
        <v>#N/A</v>
      </c>
      <c r="AH26" s="2491" t="e">
        <f t="shared" si="29"/>
        <v>#N/A</v>
      </c>
      <c r="AI26" s="2491" t="e">
        <f t="shared" si="14"/>
        <v>#N/A</v>
      </c>
      <c r="AJ26" s="2491" t="e">
        <f t="shared" si="15"/>
        <v>#N/A</v>
      </c>
      <c r="AK26" s="2477">
        <f t="shared" si="16"/>
        <v>0</v>
      </c>
      <c r="AL26" s="2492">
        <f t="shared" si="17"/>
        <v>0</v>
      </c>
      <c r="AM26" s="2493">
        <f t="shared" si="26"/>
        <v>0</v>
      </c>
      <c r="AN26" s="2492">
        <f t="shared" si="18"/>
        <v>0</v>
      </c>
      <c r="AO26" s="2494">
        <f t="shared" si="19"/>
        <v>0</v>
      </c>
      <c r="AP26" s="2495">
        <f t="shared" si="27"/>
        <v>0</v>
      </c>
      <c r="AQ26" s="2496" t="e">
        <f t="shared" si="20"/>
        <v>#VALUE!</v>
      </c>
      <c r="AR26" s="672"/>
      <c r="AS26" s="2497" t="s">
        <v>307</v>
      </c>
      <c r="AT26" s="2483">
        <v>3844</v>
      </c>
      <c r="AU26" s="2271">
        <v>0.6</v>
      </c>
      <c r="AV26" s="2271">
        <v>0.8</v>
      </c>
      <c r="AW26" s="672"/>
      <c r="AX26" s="672"/>
      <c r="AY26" s="672"/>
      <c r="AZ26" s="672"/>
      <c r="BA26" s="5">
        <v>10</v>
      </c>
      <c r="BB26" s="2502">
        <v>0.89249322588947988</v>
      </c>
      <c r="BC26" s="2502">
        <v>0.90578215371458703</v>
      </c>
      <c r="BD26" s="2502">
        <v>0.84</v>
      </c>
      <c r="BE26" s="2502">
        <v>0.85199999999999998</v>
      </c>
      <c r="BF26" s="2503">
        <v>4000</v>
      </c>
      <c r="BG26" s="2503">
        <v>2000</v>
      </c>
      <c r="BH26" s="2504" t="s">
        <v>2543</v>
      </c>
      <c r="BI26" s="672"/>
      <c r="BJ26" s="2416" t="s">
        <v>2055</v>
      </c>
      <c r="BK26" s="2417">
        <v>3844</v>
      </c>
      <c r="BL26" s="2418">
        <v>1</v>
      </c>
      <c r="BM26" s="2418">
        <v>0.8</v>
      </c>
      <c r="BN26" s="2419" t="s">
        <v>2065</v>
      </c>
      <c r="BO26" s="2419" t="s">
        <v>2068</v>
      </c>
      <c r="BP26" s="2419"/>
      <c r="BQ26" s="2419"/>
      <c r="BR26" s="2419"/>
      <c r="BS26" s="2421"/>
      <c r="BT26" s="2421"/>
      <c r="BU26" s="2485"/>
      <c r="BV26" s="2485"/>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4"/>
      <c r="L27" s="2806" t="str">
        <f t="shared" si="6"/>
        <v/>
      </c>
      <c r="M27" s="2469"/>
      <c r="N27" s="2465" t="str">
        <f t="shared" si="7"/>
        <v/>
      </c>
      <c r="O27" s="2466"/>
      <c r="P27" s="2467"/>
      <c r="Q27" s="2468"/>
      <c r="R27" s="2469"/>
      <c r="S27" s="2486"/>
      <c r="T27" s="2486"/>
      <c r="U27" s="2486"/>
      <c r="V27" s="2486" t="str">
        <f t="shared" si="8"/>
        <v/>
      </c>
      <c r="W27" s="2486" t="e">
        <f t="shared" si="9"/>
        <v>#N/A</v>
      </c>
      <c r="X27" s="2486" t="e">
        <f t="shared" si="10"/>
        <v>#N/A</v>
      </c>
      <c r="Y27" s="2486" t="e">
        <f t="shared" si="11"/>
        <v>#N/A</v>
      </c>
      <c r="Z27" s="2486" t="e">
        <f t="shared" si="23"/>
        <v>#N/A</v>
      </c>
      <c r="AA27" s="2487"/>
      <c r="AB27" s="2487"/>
      <c r="AC27" s="2486"/>
      <c r="AD27" s="2486" t="s">
        <v>200</v>
      </c>
      <c r="AE27" s="2489">
        <f t="shared" si="24"/>
        <v>0</v>
      </c>
      <c r="AF27" s="2490">
        <f t="shared" si="25"/>
        <v>0</v>
      </c>
      <c r="AG27" s="2491" t="e">
        <f t="shared" si="28"/>
        <v>#N/A</v>
      </c>
      <c r="AH27" s="2491" t="e">
        <f t="shared" si="29"/>
        <v>#N/A</v>
      </c>
      <c r="AI27" s="2491" t="e">
        <f t="shared" si="14"/>
        <v>#N/A</v>
      </c>
      <c r="AJ27" s="2491" t="e">
        <f t="shared" si="15"/>
        <v>#N/A</v>
      </c>
      <c r="AK27" s="2477">
        <f t="shared" si="16"/>
        <v>0</v>
      </c>
      <c r="AL27" s="2492">
        <f t="shared" si="17"/>
        <v>0</v>
      </c>
      <c r="AM27" s="2493">
        <f t="shared" si="26"/>
        <v>0</v>
      </c>
      <c r="AN27" s="2492">
        <f t="shared" si="18"/>
        <v>0</v>
      </c>
      <c r="AO27" s="2494">
        <f t="shared" si="19"/>
        <v>0</v>
      </c>
      <c r="AP27" s="2495">
        <f t="shared" si="27"/>
        <v>0</v>
      </c>
      <c r="AQ27" s="2496" t="e">
        <f t="shared" si="20"/>
        <v>#VALUE!</v>
      </c>
      <c r="AR27" s="672"/>
      <c r="AS27" s="2482" t="s">
        <v>113</v>
      </c>
      <c r="AT27" s="2483">
        <v>8760</v>
      </c>
      <c r="AU27" s="2271">
        <v>0.2</v>
      </c>
      <c r="AV27" s="2271">
        <v>0.8</v>
      </c>
      <c r="AW27" s="672"/>
      <c r="AX27" s="672"/>
      <c r="AY27" s="672"/>
      <c r="AZ27" s="672"/>
      <c r="BA27" s="5">
        <v>15</v>
      </c>
      <c r="BB27" s="2502">
        <v>0.90017018131387261</v>
      </c>
      <c r="BC27" s="2502">
        <v>0.91365594735253164</v>
      </c>
      <c r="BD27" s="2502">
        <v>0.84699999999999998</v>
      </c>
      <c r="BE27" s="2502">
        <v>0.84699999999999998</v>
      </c>
      <c r="BF27" s="2503">
        <v>4600</v>
      </c>
      <c r="BG27" s="2503">
        <v>2300</v>
      </c>
      <c r="BH27" s="2504" t="s">
        <v>2544</v>
      </c>
      <c r="BI27" s="672"/>
      <c r="BJ27" s="2416" t="s">
        <v>2060</v>
      </c>
      <c r="BK27" s="2417">
        <v>3844</v>
      </c>
      <c r="BL27" s="2418">
        <v>1</v>
      </c>
      <c r="BM27" s="2418">
        <v>0.8</v>
      </c>
      <c r="BN27" s="2419" t="s">
        <v>2065</v>
      </c>
      <c r="BO27" s="2419" t="s">
        <v>2067</v>
      </c>
      <c r="BP27" s="2419"/>
      <c r="BQ27" s="2423">
        <v>0.2</v>
      </c>
      <c r="BR27" s="2423">
        <v>1</v>
      </c>
      <c r="BS27" s="2421"/>
      <c r="BT27" s="2421"/>
      <c r="BU27" s="2485"/>
      <c r="BV27" s="2485"/>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5"/>
      <c r="L28" s="2806" t="str">
        <f t="shared" si="6"/>
        <v/>
      </c>
      <c r="M28" s="2469"/>
      <c r="N28" s="2826" t="str">
        <f t="shared" si="7"/>
        <v/>
      </c>
      <c r="O28" s="2466"/>
      <c r="P28" s="2467"/>
      <c r="Q28" s="2468"/>
      <c r="R28" s="2469"/>
      <c r="S28" s="2486"/>
      <c r="T28" s="2486"/>
      <c r="U28" s="2486"/>
      <c r="V28" s="2486" t="str">
        <f t="shared" si="8"/>
        <v/>
      </c>
      <c r="W28" s="2486" t="e">
        <f t="shared" si="9"/>
        <v>#N/A</v>
      </c>
      <c r="X28" s="2486" t="e">
        <f t="shared" si="10"/>
        <v>#N/A</v>
      </c>
      <c r="Y28" s="2486" t="e">
        <f t="shared" si="11"/>
        <v>#N/A</v>
      </c>
      <c r="Z28" s="2486" t="e">
        <f t="shared" si="23"/>
        <v>#N/A</v>
      </c>
      <c r="AA28" s="2487"/>
      <c r="AB28" s="2487"/>
      <c r="AC28" s="2486"/>
      <c r="AD28" s="2486" t="s">
        <v>200</v>
      </c>
      <c r="AE28" s="2489">
        <f t="shared" si="24"/>
        <v>0</v>
      </c>
      <c r="AF28" s="2490">
        <f t="shared" si="25"/>
        <v>0</v>
      </c>
      <c r="AG28" s="2491" t="e">
        <f t="shared" si="28"/>
        <v>#N/A</v>
      </c>
      <c r="AH28" s="2491" t="e">
        <f t="shared" si="29"/>
        <v>#N/A</v>
      </c>
      <c r="AI28" s="2491" t="e">
        <f t="shared" si="14"/>
        <v>#N/A</v>
      </c>
      <c r="AJ28" s="2491" t="e">
        <f t="shared" si="15"/>
        <v>#N/A</v>
      </c>
      <c r="AK28" s="2477">
        <f t="shared" si="16"/>
        <v>0</v>
      </c>
      <c r="AL28" s="2492">
        <f t="shared" si="17"/>
        <v>0</v>
      </c>
      <c r="AM28" s="2493">
        <f t="shared" si="26"/>
        <v>0</v>
      </c>
      <c r="AN28" s="2492">
        <f t="shared" si="18"/>
        <v>0</v>
      </c>
      <c r="AO28" s="2494">
        <f t="shared" si="19"/>
        <v>0</v>
      </c>
      <c r="AP28" s="2495">
        <f t="shared" si="27"/>
        <v>0</v>
      </c>
      <c r="AQ28" s="2496" t="e">
        <f t="shared" si="20"/>
        <v>#VALUE!</v>
      </c>
      <c r="AR28" s="672"/>
      <c r="AS28" s="2482" t="s">
        <v>114</v>
      </c>
      <c r="AT28" s="2483">
        <v>8760</v>
      </c>
      <c r="AU28" s="2271">
        <v>0.5</v>
      </c>
      <c r="AV28" s="2271">
        <v>0.8</v>
      </c>
      <c r="AW28" s="672"/>
      <c r="AX28" s="672"/>
      <c r="AY28" s="672"/>
      <c r="AZ28" s="672"/>
      <c r="BA28" s="5">
        <v>20</v>
      </c>
      <c r="BB28" s="2502">
        <v>0.90131642383161503</v>
      </c>
      <c r="BC28" s="2502">
        <v>0.91703855876708618</v>
      </c>
      <c r="BD28" s="2502">
        <v>0.86</v>
      </c>
      <c r="BE28" s="2502">
        <v>0.85499999999999998</v>
      </c>
      <c r="BF28" s="2503">
        <v>5000</v>
      </c>
      <c r="BG28" s="2503">
        <v>2500</v>
      </c>
      <c r="BH28" s="2504" t="s">
        <v>2545</v>
      </c>
      <c r="BI28" s="672"/>
      <c r="BS28" s="2421"/>
      <c r="BT28" s="2421"/>
      <c r="BU28" s="2485"/>
      <c r="BV28" s="2485"/>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5"/>
      <c r="L29" s="2806" t="str">
        <f t="shared" si="6"/>
        <v/>
      </c>
      <c r="M29" s="2469"/>
      <c r="N29" s="2826" t="str">
        <f t="shared" si="7"/>
        <v/>
      </c>
      <c r="O29" s="2466"/>
      <c r="P29" s="2467"/>
      <c r="Q29" s="2468"/>
      <c r="R29" s="2469"/>
      <c r="S29" s="2486"/>
      <c r="T29" s="2486"/>
      <c r="U29" s="2486"/>
      <c r="V29" s="2486" t="str">
        <f t="shared" si="8"/>
        <v/>
      </c>
      <c r="W29" s="2486" t="e">
        <f t="shared" si="9"/>
        <v>#N/A</v>
      </c>
      <c r="X29" s="2486" t="e">
        <f t="shared" si="10"/>
        <v>#N/A</v>
      </c>
      <c r="Y29" s="2486" t="e">
        <f t="shared" si="11"/>
        <v>#N/A</v>
      </c>
      <c r="Z29" s="2486" t="e">
        <f t="shared" si="23"/>
        <v>#N/A</v>
      </c>
      <c r="AA29" s="2487"/>
      <c r="AB29" s="2487"/>
      <c r="AC29" s="2486"/>
      <c r="AD29" s="2486" t="s">
        <v>200</v>
      </c>
      <c r="AE29" s="2489">
        <f t="shared" si="24"/>
        <v>0</v>
      </c>
      <c r="AF29" s="2490">
        <f t="shared" si="25"/>
        <v>0</v>
      </c>
      <c r="AG29" s="2491" t="e">
        <f t="shared" si="28"/>
        <v>#N/A</v>
      </c>
      <c r="AH29" s="2491" t="e">
        <f t="shared" si="29"/>
        <v>#N/A</v>
      </c>
      <c r="AI29" s="2491" t="e">
        <f t="shared" si="14"/>
        <v>#N/A</v>
      </c>
      <c r="AJ29" s="2491" t="e">
        <f t="shared" si="15"/>
        <v>#N/A</v>
      </c>
      <c r="AK29" s="2477">
        <f t="shared" si="16"/>
        <v>0</v>
      </c>
      <c r="AL29" s="2492">
        <f t="shared" si="17"/>
        <v>0</v>
      </c>
      <c r="AM29" s="2493">
        <f t="shared" si="26"/>
        <v>0</v>
      </c>
      <c r="AN29" s="2492">
        <f t="shared" si="18"/>
        <v>0</v>
      </c>
      <c r="AO29" s="2494">
        <f t="shared" si="19"/>
        <v>0</v>
      </c>
      <c r="AP29" s="2495">
        <f t="shared" si="27"/>
        <v>0</v>
      </c>
      <c r="AQ29" s="2496" t="e">
        <f t="shared" si="20"/>
        <v>#VALUE!</v>
      </c>
      <c r="AR29" s="672"/>
      <c r="AS29" s="2482" t="s">
        <v>115</v>
      </c>
      <c r="AT29" s="2483">
        <v>8760</v>
      </c>
      <c r="AU29" s="2271">
        <v>0.8</v>
      </c>
      <c r="AV29" s="2271">
        <v>0.8</v>
      </c>
      <c r="AW29" s="672"/>
      <c r="AX29" s="672"/>
      <c r="AY29" s="672"/>
      <c r="AZ29" s="672"/>
      <c r="BA29" s="5">
        <v>25</v>
      </c>
      <c r="BB29" s="2502">
        <v>0.91731808257644887</v>
      </c>
      <c r="BC29" s="2502">
        <v>0.92572618695936282</v>
      </c>
      <c r="BD29" s="2502">
        <v>0.85899999999999999</v>
      </c>
      <c r="BE29" s="2502">
        <v>0.85799999999999998</v>
      </c>
      <c r="BF29" s="2503">
        <v>6000</v>
      </c>
      <c r="BG29" s="2503">
        <v>3000</v>
      </c>
      <c r="BH29" s="2504" t="s">
        <v>2546</v>
      </c>
      <c r="BI29" s="672"/>
      <c r="BS29" s="2421"/>
      <c r="BT29" s="2421"/>
      <c r="BU29" s="2485"/>
      <c r="BV29" s="2485"/>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5"/>
      <c r="L30" s="2806" t="str">
        <f t="shared" si="6"/>
        <v/>
      </c>
      <c r="M30" s="2469"/>
      <c r="N30" s="2826" t="str">
        <f t="shared" si="7"/>
        <v/>
      </c>
      <c r="O30" s="2466"/>
      <c r="P30" s="2467"/>
      <c r="Q30" s="2468"/>
      <c r="R30" s="2469"/>
      <c r="S30" s="2486"/>
      <c r="T30" s="2486"/>
      <c r="U30" s="2486"/>
      <c r="V30" s="2486" t="str">
        <f t="shared" si="8"/>
        <v/>
      </c>
      <c r="W30" s="2486" t="e">
        <f t="shared" si="9"/>
        <v>#N/A</v>
      </c>
      <c r="X30" s="2486" t="e">
        <f t="shared" si="10"/>
        <v>#N/A</v>
      </c>
      <c r="Y30" s="2486" t="e">
        <f t="shared" si="11"/>
        <v>#N/A</v>
      </c>
      <c r="Z30" s="2486" t="e">
        <f t="shared" si="23"/>
        <v>#N/A</v>
      </c>
      <c r="AA30" s="2487"/>
      <c r="AB30" s="2487"/>
      <c r="AC30" s="2486"/>
      <c r="AD30" s="2486" t="s">
        <v>200</v>
      </c>
      <c r="AE30" s="2489">
        <f t="shared" si="24"/>
        <v>0</v>
      </c>
      <c r="AF30" s="2490">
        <f t="shared" si="25"/>
        <v>0</v>
      </c>
      <c r="AG30" s="2491" t="e">
        <f t="shared" si="28"/>
        <v>#N/A</v>
      </c>
      <c r="AH30" s="2491" t="e">
        <f t="shared" si="29"/>
        <v>#N/A</v>
      </c>
      <c r="AI30" s="2491" t="e">
        <f t="shared" si="14"/>
        <v>#N/A</v>
      </c>
      <c r="AJ30" s="2491" t="e">
        <f t="shared" si="15"/>
        <v>#N/A</v>
      </c>
      <c r="AK30" s="2477">
        <f t="shared" si="16"/>
        <v>0</v>
      </c>
      <c r="AL30" s="2492">
        <f t="shared" si="17"/>
        <v>0</v>
      </c>
      <c r="AM30" s="2493">
        <f t="shared" si="26"/>
        <v>0</v>
      </c>
      <c r="AN30" s="2492">
        <f t="shared" si="18"/>
        <v>0</v>
      </c>
      <c r="AO30" s="2494">
        <f t="shared" si="19"/>
        <v>0</v>
      </c>
      <c r="AP30" s="2495">
        <f t="shared" si="27"/>
        <v>0</v>
      </c>
      <c r="AQ30" s="2496" t="e">
        <f t="shared" si="20"/>
        <v>#VALUE!</v>
      </c>
      <c r="AR30" s="672"/>
      <c r="AS30" s="2509" t="s">
        <v>444</v>
      </c>
      <c r="AT30" s="672"/>
      <c r="AU30" s="672"/>
      <c r="AV30" s="672"/>
      <c r="AW30" s="672"/>
      <c r="AX30" s="672"/>
      <c r="AY30" s="672"/>
      <c r="AZ30" s="672"/>
      <c r="BA30" s="5">
        <v>30</v>
      </c>
      <c r="BB30" s="2502">
        <v>0.91554547095743088</v>
      </c>
      <c r="BC30" s="2502">
        <v>0.92568686127292876</v>
      </c>
      <c r="BD30" s="2502">
        <v>0.872</v>
      </c>
      <c r="BE30" s="2502">
        <v>0.86399999999999999</v>
      </c>
      <c r="BF30" s="2503">
        <v>7000</v>
      </c>
      <c r="BG30" s="2503">
        <v>3500</v>
      </c>
      <c r="BH30" s="2504" t="s">
        <v>2547</v>
      </c>
      <c r="BI30" s="672"/>
      <c r="BJ30" s="672"/>
      <c r="BK30" s="672"/>
      <c r="BL30" s="672"/>
      <c r="BM30" s="672"/>
      <c r="BN30" s="672"/>
      <c r="BO30" s="672"/>
      <c r="BP30" s="672"/>
      <c r="BQ30" s="672"/>
      <c r="BR30" s="672"/>
      <c r="BS30" s="2421"/>
      <c r="BT30" s="2421"/>
      <c r="BU30" s="2485"/>
      <c r="BV30" s="2485"/>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5"/>
      <c r="L31" s="2806" t="str">
        <f t="shared" si="6"/>
        <v/>
      </c>
      <c r="M31" s="2469"/>
      <c r="N31" s="2826" t="str">
        <f t="shared" si="7"/>
        <v/>
      </c>
      <c r="O31" s="2466"/>
      <c r="P31" s="2467"/>
      <c r="Q31" s="2468"/>
      <c r="R31" s="2469"/>
      <c r="S31" s="2486"/>
      <c r="T31" s="2486"/>
      <c r="U31" s="2486"/>
      <c r="V31" s="2486" t="str">
        <f t="shared" si="8"/>
        <v/>
      </c>
      <c r="W31" s="2486" t="e">
        <f t="shared" si="9"/>
        <v>#N/A</v>
      </c>
      <c r="X31" s="2486" t="e">
        <f t="shared" si="10"/>
        <v>#N/A</v>
      </c>
      <c r="Y31" s="2486" t="e">
        <f t="shared" si="11"/>
        <v>#N/A</v>
      </c>
      <c r="Z31" s="2486" t="e">
        <f t="shared" si="23"/>
        <v>#N/A</v>
      </c>
      <c r="AA31" s="2487"/>
      <c r="AB31" s="2487"/>
      <c r="AC31" s="2486"/>
      <c r="AD31" s="2486" t="s">
        <v>200</v>
      </c>
      <c r="AE31" s="2489">
        <f t="shared" si="24"/>
        <v>0</v>
      </c>
      <c r="AF31" s="2490">
        <f t="shared" si="25"/>
        <v>0</v>
      </c>
      <c r="AG31" s="2491" t="e">
        <f t="shared" si="28"/>
        <v>#N/A</v>
      </c>
      <c r="AH31" s="2491" t="e">
        <f t="shared" si="29"/>
        <v>#N/A</v>
      </c>
      <c r="AI31" s="2491" t="e">
        <f t="shared" si="14"/>
        <v>#N/A</v>
      </c>
      <c r="AJ31" s="2491" t="e">
        <f t="shared" si="15"/>
        <v>#N/A</v>
      </c>
      <c r="AK31" s="2477">
        <f t="shared" si="16"/>
        <v>0</v>
      </c>
      <c r="AL31" s="2492">
        <f t="shared" si="17"/>
        <v>0</v>
      </c>
      <c r="AM31" s="2493">
        <f t="shared" si="26"/>
        <v>0</v>
      </c>
      <c r="AN31" s="2492">
        <f t="shared" si="18"/>
        <v>0</v>
      </c>
      <c r="AO31" s="2494">
        <f t="shared" si="19"/>
        <v>0</v>
      </c>
      <c r="AP31" s="2495">
        <f t="shared" si="27"/>
        <v>0</v>
      </c>
      <c r="AQ31" s="2496" t="e">
        <f t="shared" si="20"/>
        <v>#VALUE!</v>
      </c>
      <c r="AR31" s="672"/>
      <c r="AS31" s="2509" t="s">
        <v>445</v>
      </c>
      <c r="AT31" s="672"/>
      <c r="AU31" s="672"/>
      <c r="AV31" s="672"/>
      <c r="AW31" s="672"/>
      <c r="AX31" s="672"/>
      <c r="AY31" s="672"/>
      <c r="AZ31" s="672"/>
      <c r="BA31" s="5">
        <v>40</v>
      </c>
      <c r="BB31" s="2502">
        <v>0.91859690442529385</v>
      </c>
      <c r="BC31" s="2502">
        <v>0.93038427202472329</v>
      </c>
      <c r="BD31" s="2502">
        <v>0.86</v>
      </c>
      <c r="BE31" s="2502">
        <v>0.85599999999999998</v>
      </c>
      <c r="BF31" s="2503">
        <v>8000</v>
      </c>
      <c r="BG31" s="2503">
        <v>4000</v>
      </c>
      <c r="BH31" s="2504" t="s">
        <v>2548</v>
      </c>
      <c r="BI31" s="672"/>
      <c r="BJ31" s="672"/>
      <c r="BK31" s="672"/>
      <c r="BL31" s="672"/>
      <c r="BM31" s="672"/>
      <c r="BN31" s="672"/>
      <c r="BO31" s="672"/>
      <c r="BP31" s="672"/>
      <c r="BQ31" s="672"/>
      <c r="BR31" s="672"/>
      <c r="BS31" s="2421"/>
      <c r="BT31" s="2421"/>
      <c r="BU31" s="2485"/>
      <c r="BV31" s="2485"/>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5"/>
      <c r="L32" s="2806" t="str">
        <f t="shared" si="6"/>
        <v/>
      </c>
      <c r="M32" s="2469"/>
      <c r="N32" s="2826" t="str">
        <f t="shared" si="7"/>
        <v/>
      </c>
      <c r="O32" s="2466"/>
      <c r="P32" s="2467"/>
      <c r="Q32" s="2468"/>
      <c r="R32" s="2469"/>
      <c r="S32" s="2486"/>
      <c r="T32" s="2486"/>
      <c r="U32" s="2486"/>
      <c r="V32" s="2486" t="str">
        <f t="shared" si="8"/>
        <v/>
      </c>
      <c r="W32" s="2486" t="e">
        <f t="shared" si="9"/>
        <v>#N/A</v>
      </c>
      <c r="X32" s="2486" t="e">
        <f t="shared" si="10"/>
        <v>#N/A</v>
      </c>
      <c r="Y32" s="2486" t="e">
        <f t="shared" si="11"/>
        <v>#N/A</v>
      </c>
      <c r="Z32" s="2486" t="e">
        <f t="shared" si="23"/>
        <v>#N/A</v>
      </c>
      <c r="AA32" s="2487"/>
      <c r="AB32" s="2487"/>
      <c r="AC32" s="2486"/>
      <c r="AD32" s="2486" t="s">
        <v>200</v>
      </c>
      <c r="AE32" s="2489">
        <f t="shared" si="24"/>
        <v>0</v>
      </c>
      <c r="AF32" s="2490">
        <f t="shared" si="25"/>
        <v>0</v>
      </c>
      <c r="AG32" s="2491" t="e">
        <f t="shared" si="28"/>
        <v>#N/A</v>
      </c>
      <c r="AH32" s="2491" t="e">
        <f t="shared" si="29"/>
        <v>#N/A</v>
      </c>
      <c r="AI32" s="2491" t="e">
        <f t="shared" si="14"/>
        <v>#N/A</v>
      </c>
      <c r="AJ32" s="2491" t="e">
        <f t="shared" si="15"/>
        <v>#N/A</v>
      </c>
      <c r="AK32" s="2477">
        <f t="shared" si="16"/>
        <v>0</v>
      </c>
      <c r="AL32" s="2492">
        <f t="shared" si="17"/>
        <v>0</v>
      </c>
      <c r="AM32" s="2493">
        <f t="shared" si="26"/>
        <v>0</v>
      </c>
      <c r="AN32" s="2492">
        <f t="shared" si="18"/>
        <v>0</v>
      </c>
      <c r="AO32" s="2494">
        <f t="shared" si="19"/>
        <v>0</v>
      </c>
      <c r="AP32" s="2495">
        <f t="shared" si="27"/>
        <v>0</v>
      </c>
      <c r="AQ32" s="2496" t="e">
        <f t="shared" si="20"/>
        <v>#VALUE!</v>
      </c>
      <c r="AR32" s="672"/>
      <c r="AS32" s="2509" t="s">
        <v>446</v>
      </c>
      <c r="AT32" s="672"/>
      <c r="AU32" s="672"/>
      <c r="AV32" s="672"/>
      <c r="AW32" s="672"/>
      <c r="AX32" s="672"/>
      <c r="AY32" s="672"/>
      <c r="AZ32" s="672"/>
      <c r="BA32" s="5">
        <v>50</v>
      </c>
      <c r="BB32" s="2502">
        <v>0.9186797087264843</v>
      </c>
      <c r="BC32" s="2502">
        <v>0.93007282042103312</v>
      </c>
      <c r="BD32" s="2502">
        <v>0.85599999999999998</v>
      </c>
      <c r="BE32" s="2502">
        <v>0.85899999999999999</v>
      </c>
      <c r="BF32" s="2503">
        <v>9000</v>
      </c>
      <c r="BG32" s="2503">
        <v>4500</v>
      </c>
      <c r="BH32" s="2504" t="s">
        <v>2549</v>
      </c>
      <c r="BI32" s="672"/>
      <c r="BJ32" s="672"/>
      <c r="BK32" s="672"/>
      <c r="BL32" s="672"/>
      <c r="BM32" s="672"/>
      <c r="BN32" s="672"/>
      <c r="BO32" s="672"/>
      <c r="BP32" s="672"/>
      <c r="BQ32" s="672"/>
      <c r="BR32" s="672"/>
      <c r="BS32" s="2421"/>
      <c r="BT32" s="2421"/>
      <c r="BU32" s="2485"/>
      <c r="BV32" s="2485"/>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5"/>
      <c r="L33" s="2806" t="str">
        <f t="shared" si="6"/>
        <v/>
      </c>
      <c r="M33" s="2469"/>
      <c r="N33" s="2826" t="str">
        <f t="shared" si="7"/>
        <v/>
      </c>
      <c r="O33" s="2466"/>
      <c r="P33" s="2467"/>
      <c r="Q33" s="2468"/>
      <c r="R33" s="2469"/>
      <c r="S33" s="2486"/>
      <c r="T33" s="2486"/>
      <c r="U33" s="2486"/>
      <c r="V33" s="2486" t="str">
        <f t="shared" si="8"/>
        <v/>
      </c>
      <c r="W33" s="2486" t="e">
        <f t="shared" si="9"/>
        <v>#N/A</v>
      </c>
      <c r="X33" s="2486" t="e">
        <f t="shared" si="10"/>
        <v>#N/A</v>
      </c>
      <c r="Y33" s="2486" t="e">
        <f t="shared" si="11"/>
        <v>#N/A</v>
      </c>
      <c r="Z33" s="2486" t="e">
        <f t="shared" si="23"/>
        <v>#N/A</v>
      </c>
      <c r="AA33" s="2487"/>
      <c r="AB33" s="2487"/>
      <c r="AC33" s="2486"/>
      <c r="AD33" s="2486" t="s">
        <v>200</v>
      </c>
      <c r="AE33" s="2489">
        <f t="shared" si="24"/>
        <v>0</v>
      </c>
      <c r="AF33" s="2490">
        <f t="shared" si="25"/>
        <v>0</v>
      </c>
      <c r="AG33" s="2491" t="e">
        <f t="shared" si="28"/>
        <v>#N/A</v>
      </c>
      <c r="AH33" s="2491" t="e">
        <f t="shared" si="29"/>
        <v>#N/A</v>
      </c>
      <c r="AI33" s="2491" t="e">
        <f t="shared" si="14"/>
        <v>#N/A</v>
      </c>
      <c r="AJ33" s="2491" t="e">
        <f t="shared" si="15"/>
        <v>#N/A</v>
      </c>
      <c r="AK33" s="2477">
        <f t="shared" si="16"/>
        <v>0</v>
      </c>
      <c r="AL33" s="2492">
        <f t="shared" si="17"/>
        <v>0</v>
      </c>
      <c r="AM33" s="2493">
        <f t="shared" si="26"/>
        <v>0</v>
      </c>
      <c r="AN33" s="2492">
        <f t="shared" si="18"/>
        <v>0</v>
      </c>
      <c r="AO33" s="2494">
        <f t="shared" si="19"/>
        <v>0</v>
      </c>
      <c r="AP33" s="2495">
        <f t="shared" si="27"/>
        <v>0</v>
      </c>
      <c r="AQ33" s="2496" t="e">
        <f t="shared" si="20"/>
        <v>#VALUE!</v>
      </c>
      <c r="AR33" s="672"/>
      <c r="AS33" s="2509"/>
      <c r="AT33" s="672"/>
      <c r="AU33" s="672"/>
      <c r="AV33" s="672"/>
      <c r="AW33" s="672"/>
      <c r="AX33" s="672"/>
      <c r="AY33" s="672"/>
      <c r="AZ33" s="672"/>
      <c r="BA33" s="2498">
        <v>60</v>
      </c>
      <c r="BB33" s="2499">
        <v>0.92795964914940365</v>
      </c>
      <c r="BC33" s="2499">
        <v>0.93483864259270189</v>
      </c>
      <c r="BD33" s="2499">
        <v>0.873</v>
      </c>
      <c r="BE33" s="2499">
        <v>0.85799999999999998</v>
      </c>
      <c r="BF33" s="2500">
        <f t="shared" ref="BF33:BF43" si="30">BF32*BA33/BA32</f>
        <v>10800</v>
      </c>
      <c r="BG33" s="2506" t="s">
        <v>3092</v>
      </c>
      <c r="BH33" s="2504" t="s">
        <v>2550</v>
      </c>
      <c r="BI33" s="672"/>
      <c r="BJ33" s="672"/>
      <c r="BK33" s="672"/>
      <c r="BL33" s="672"/>
      <c r="BM33" s="672"/>
      <c r="BN33" s="672"/>
      <c r="BO33" s="672"/>
      <c r="BP33" s="672"/>
      <c r="BQ33" s="672"/>
      <c r="BR33" s="672"/>
      <c r="BS33" s="2421"/>
      <c r="BT33" s="2421"/>
      <c r="BU33" s="2485"/>
      <c r="BV33" s="2485"/>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5"/>
      <c r="L34" s="2806" t="str">
        <f t="shared" si="6"/>
        <v/>
      </c>
      <c r="M34" s="2469"/>
      <c r="N34" s="2826" t="str">
        <f t="shared" si="7"/>
        <v/>
      </c>
      <c r="O34" s="2466"/>
      <c r="P34" s="2467"/>
      <c r="Q34" s="2468"/>
      <c r="R34" s="2469"/>
      <c r="S34" s="2486"/>
      <c r="T34" s="2486"/>
      <c r="U34" s="2486"/>
      <c r="V34" s="2486" t="str">
        <f t="shared" si="8"/>
        <v/>
      </c>
      <c r="W34" s="2486" t="e">
        <f t="shared" si="9"/>
        <v>#N/A</v>
      </c>
      <c r="X34" s="2486" t="e">
        <f t="shared" si="10"/>
        <v>#N/A</v>
      </c>
      <c r="Y34" s="2486" t="e">
        <f t="shared" si="11"/>
        <v>#N/A</v>
      </c>
      <c r="Z34" s="2486" t="e">
        <f t="shared" si="23"/>
        <v>#N/A</v>
      </c>
      <c r="AA34" s="2487"/>
      <c r="AB34" s="2487"/>
      <c r="AC34" s="2486"/>
      <c r="AD34" s="2486" t="s">
        <v>200</v>
      </c>
      <c r="AE34" s="2489">
        <f t="shared" si="24"/>
        <v>0</v>
      </c>
      <c r="AF34" s="2490">
        <f t="shared" si="25"/>
        <v>0</v>
      </c>
      <c r="AG34" s="2491" t="e">
        <f t="shared" si="28"/>
        <v>#N/A</v>
      </c>
      <c r="AH34" s="2491" t="e">
        <f t="shared" si="29"/>
        <v>#N/A</v>
      </c>
      <c r="AI34" s="2491" t="e">
        <f t="shared" si="14"/>
        <v>#N/A</v>
      </c>
      <c r="AJ34" s="2491" t="e">
        <f t="shared" si="15"/>
        <v>#N/A</v>
      </c>
      <c r="AK34" s="2477">
        <f t="shared" si="16"/>
        <v>0</v>
      </c>
      <c r="AL34" s="2492">
        <f t="shared" si="17"/>
        <v>0</v>
      </c>
      <c r="AM34" s="2493">
        <f t="shared" si="26"/>
        <v>0</v>
      </c>
      <c r="AN34" s="2492">
        <f t="shared" si="18"/>
        <v>0</v>
      </c>
      <c r="AO34" s="2494">
        <f t="shared" si="19"/>
        <v>0</v>
      </c>
      <c r="AP34" s="2495">
        <f t="shared" si="27"/>
        <v>0</v>
      </c>
      <c r="AQ34" s="2496" t="e">
        <f t="shared" si="20"/>
        <v>#VALUE!</v>
      </c>
      <c r="AR34" s="672"/>
      <c r="AS34" s="2509"/>
      <c r="AT34" s="672"/>
      <c r="AU34" s="672"/>
      <c r="AV34" s="672"/>
      <c r="AW34" s="672"/>
      <c r="AX34" s="672"/>
      <c r="AY34" s="672"/>
      <c r="AZ34" s="672"/>
      <c r="BA34" s="2498">
        <v>75</v>
      </c>
      <c r="BB34" s="2499">
        <v>0.93010162223624082</v>
      </c>
      <c r="BC34" s="2499">
        <v>0.935002111035099</v>
      </c>
      <c r="BD34" s="2499">
        <v>0.877</v>
      </c>
      <c r="BE34" s="2499">
        <v>0.86799999999999999</v>
      </c>
      <c r="BF34" s="2500">
        <f t="shared" si="30"/>
        <v>13500</v>
      </c>
      <c r="BG34" s="2506" t="s">
        <v>3092</v>
      </c>
      <c r="BH34" s="2510" t="s">
        <v>2550</v>
      </c>
      <c r="BI34" s="672"/>
      <c r="BJ34" s="2485"/>
      <c r="BK34" s="2511"/>
      <c r="BL34" s="2511"/>
      <c r="BM34" s="2511"/>
      <c r="BN34" s="2485"/>
      <c r="BO34" s="2485"/>
      <c r="BP34" s="2485"/>
      <c r="BQ34" s="2485"/>
      <c r="BR34" s="2485"/>
      <c r="BS34" s="2485"/>
      <c r="BT34" s="2485"/>
      <c r="BU34" s="2485"/>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5"/>
      <c r="L35" s="2806" t="str">
        <f t="shared" si="6"/>
        <v/>
      </c>
      <c r="M35" s="2469"/>
      <c r="N35" s="2826" t="str">
        <f t="shared" si="7"/>
        <v/>
      </c>
      <c r="O35" s="2466"/>
      <c r="P35" s="2467"/>
      <c r="Q35" s="2468"/>
      <c r="R35" s="2469"/>
      <c r="S35" s="2486"/>
      <c r="T35" s="2486"/>
      <c r="U35" s="2486"/>
      <c r="V35" s="2486" t="str">
        <f t="shared" si="8"/>
        <v/>
      </c>
      <c r="W35" s="2486" t="e">
        <f t="shared" si="9"/>
        <v>#N/A</v>
      </c>
      <c r="X35" s="2486" t="e">
        <f t="shared" si="10"/>
        <v>#N/A</v>
      </c>
      <c r="Y35" s="2486" t="e">
        <f t="shared" si="11"/>
        <v>#N/A</v>
      </c>
      <c r="Z35" s="2486" t="e">
        <f t="shared" si="23"/>
        <v>#N/A</v>
      </c>
      <c r="AA35" s="2487"/>
      <c r="AB35" s="2487"/>
      <c r="AC35" s="2486"/>
      <c r="AD35" s="2486" t="s">
        <v>200</v>
      </c>
      <c r="AE35" s="2489">
        <f t="shared" si="24"/>
        <v>0</v>
      </c>
      <c r="AF35" s="2490">
        <f t="shared" si="25"/>
        <v>0</v>
      </c>
      <c r="AG35" s="2491" t="e">
        <f t="shared" si="28"/>
        <v>#N/A</v>
      </c>
      <c r="AH35" s="2491" t="e">
        <f t="shared" si="29"/>
        <v>#N/A</v>
      </c>
      <c r="AI35" s="2491" t="e">
        <f t="shared" si="14"/>
        <v>#N/A</v>
      </c>
      <c r="AJ35" s="2491" t="e">
        <f t="shared" si="15"/>
        <v>#N/A</v>
      </c>
      <c r="AK35" s="2477">
        <f t="shared" si="16"/>
        <v>0</v>
      </c>
      <c r="AL35" s="2492">
        <f t="shared" si="17"/>
        <v>0</v>
      </c>
      <c r="AM35" s="2493">
        <f t="shared" si="26"/>
        <v>0</v>
      </c>
      <c r="AN35" s="2492">
        <f t="shared" si="18"/>
        <v>0</v>
      </c>
      <c r="AO35" s="2494">
        <f t="shared" si="19"/>
        <v>0</v>
      </c>
      <c r="AP35" s="2495">
        <f t="shared" si="27"/>
        <v>0</v>
      </c>
      <c r="AQ35" s="2496" t="e">
        <f t="shared" si="20"/>
        <v>#VALUE!</v>
      </c>
      <c r="AR35" s="672"/>
      <c r="AS35" s="2509"/>
      <c r="AT35" s="672"/>
      <c r="AU35" s="672"/>
      <c r="AV35" s="672"/>
      <c r="AW35" s="672"/>
      <c r="AX35" s="672"/>
      <c r="AY35" s="672"/>
      <c r="AZ35" s="672"/>
      <c r="BA35" s="2498">
        <v>100</v>
      </c>
      <c r="BB35" s="2499">
        <v>0.931870766520981</v>
      </c>
      <c r="BC35" s="2499">
        <v>0.93774799194289571</v>
      </c>
      <c r="BD35" s="2499">
        <v>0.878</v>
      </c>
      <c r="BE35" s="2499">
        <v>0.86299999999999999</v>
      </c>
      <c r="BF35" s="2500">
        <f t="shared" si="30"/>
        <v>18000</v>
      </c>
      <c r="BG35" s="2506" t="s">
        <v>3092</v>
      </c>
      <c r="BH35" s="2504" t="s">
        <v>2550</v>
      </c>
      <c r="BI35" s="672"/>
      <c r="BJ35" s="3295" t="s">
        <v>2524</v>
      </c>
      <c r="BK35" s="3296"/>
      <c r="BL35" s="3296"/>
      <c r="BM35" s="2511"/>
      <c r="BN35" s="2485"/>
      <c r="BO35" s="2485"/>
      <c r="BP35" s="2485"/>
      <c r="BQ35" s="2485"/>
      <c r="BR35" s="2485"/>
      <c r="BS35" s="2485"/>
      <c r="BT35" s="2485"/>
      <c r="BU35" s="2485"/>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5"/>
      <c r="L36" s="2806" t="str">
        <f t="shared" si="6"/>
        <v/>
      </c>
      <c r="M36" s="2469"/>
      <c r="N36" s="2826" t="str">
        <f t="shared" si="7"/>
        <v/>
      </c>
      <c r="O36" s="2466"/>
      <c r="P36" s="2467"/>
      <c r="Q36" s="2468"/>
      <c r="R36" s="2469"/>
      <c r="S36" s="2486"/>
      <c r="T36" s="2486"/>
      <c r="U36" s="2486"/>
      <c r="V36" s="2486" t="str">
        <f t="shared" si="8"/>
        <v/>
      </c>
      <c r="W36" s="2486" t="e">
        <f t="shared" si="9"/>
        <v>#N/A</v>
      </c>
      <c r="X36" s="2486" t="e">
        <f t="shared" si="10"/>
        <v>#N/A</v>
      </c>
      <c r="Y36" s="2486" t="e">
        <f t="shared" si="11"/>
        <v>#N/A</v>
      </c>
      <c r="Z36" s="2486" t="e">
        <f t="shared" si="23"/>
        <v>#N/A</v>
      </c>
      <c r="AA36" s="2487"/>
      <c r="AB36" s="2487"/>
      <c r="AC36" s="2486"/>
      <c r="AD36" s="2486" t="s">
        <v>200</v>
      </c>
      <c r="AE36" s="2489">
        <f t="shared" si="24"/>
        <v>0</v>
      </c>
      <c r="AF36" s="2490">
        <f t="shared" si="25"/>
        <v>0</v>
      </c>
      <c r="AG36" s="2491" t="e">
        <f t="shared" si="28"/>
        <v>#N/A</v>
      </c>
      <c r="AH36" s="2491" t="e">
        <f t="shared" si="29"/>
        <v>#N/A</v>
      </c>
      <c r="AI36" s="2491" t="e">
        <f t="shared" si="14"/>
        <v>#N/A</v>
      </c>
      <c r="AJ36" s="2491" t="e">
        <f t="shared" si="15"/>
        <v>#N/A</v>
      </c>
      <c r="AK36" s="2477">
        <f t="shared" si="16"/>
        <v>0</v>
      </c>
      <c r="AL36" s="2492">
        <f t="shared" si="17"/>
        <v>0</v>
      </c>
      <c r="AM36" s="2493">
        <f t="shared" si="26"/>
        <v>0</v>
      </c>
      <c r="AN36" s="2492">
        <f t="shared" si="18"/>
        <v>0</v>
      </c>
      <c r="AO36" s="2494">
        <f t="shared" si="19"/>
        <v>0</v>
      </c>
      <c r="AP36" s="2495">
        <f t="shared" si="27"/>
        <v>0</v>
      </c>
      <c r="AQ36" s="2496" t="e">
        <f t="shared" si="20"/>
        <v>#VALUE!</v>
      </c>
      <c r="AR36" s="672"/>
      <c r="AS36" s="2509"/>
      <c r="AT36" s="672"/>
      <c r="AU36" s="672"/>
      <c r="AV36" s="672"/>
      <c r="AW36" s="672"/>
      <c r="AX36" s="672"/>
      <c r="AY36" s="672"/>
      <c r="AZ36" s="672"/>
      <c r="BA36" s="2498">
        <v>125</v>
      </c>
      <c r="BB36" s="2499">
        <v>0.93103475436004446</v>
      </c>
      <c r="BC36" s="2499">
        <v>0.93878234893075074</v>
      </c>
      <c r="BD36" s="2499">
        <v>0.88600000000000001</v>
      </c>
      <c r="BE36" s="2499">
        <v>0.86799999999999999</v>
      </c>
      <c r="BF36" s="2500">
        <f t="shared" si="30"/>
        <v>22500</v>
      </c>
      <c r="BG36" s="2506" t="s">
        <v>3092</v>
      </c>
      <c r="BH36" s="2510" t="s">
        <v>2550</v>
      </c>
      <c r="BI36" s="672"/>
      <c r="BJ36" s="2512" t="s">
        <v>2525</v>
      </c>
      <c r="BK36" s="2511" t="s">
        <v>2507</v>
      </c>
      <c r="BL36" s="2511" t="s">
        <v>2508</v>
      </c>
      <c r="BM36" s="2511"/>
      <c r="BN36" s="2485"/>
      <c r="BO36" s="2485"/>
      <c r="BP36" s="2485"/>
      <c r="BQ36" s="2485"/>
      <c r="BR36" s="2485"/>
      <c r="BS36" s="2485"/>
      <c r="BT36" s="2485"/>
      <c r="BU36" s="2485"/>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5"/>
      <c r="L37" s="2806" t="str">
        <f t="shared" si="6"/>
        <v/>
      </c>
      <c r="M37" s="2469"/>
      <c r="N37" s="2826" t="str">
        <f t="shared" si="7"/>
        <v/>
      </c>
      <c r="O37" s="2466"/>
      <c r="P37" s="2467"/>
      <c r="Q37" s="2468"/>
      <c r="R37" s="2469"/>
      <c r="S37" s="2486"/>
      <c r="T37" s="2486"/>
      <c r="U37" s="2486"/>
      <c r="V37" s="2486" t="str">
        <f t="shared" si="8"/>
        <v/>
      </c>
      <c r="W37" s="2486" t="e">
        <f t="shared" si="9"/>
        <v>#N/A</v>
      </c>
      <c r="X37" s="2486" t="e">
        <f t="shared" si="10"/>
        <v>#N/A</v>
      </c>
      <c r="Y37" s="2486" t="e">
        <f t="shared" si="11"/>
        <v>#N/A</v>
      </c>
      <c r="Z37" s="2486" t="e">
        <f t="shared" si="23"/>
        <v>#N/A</v>
      </c>
      <c r="AA37" s="2487"/>
      <c r="AB37" s="2487"/>
      <c r="AC37" s="2486"/>
      <c r="AD37" s="2486" t="s">
        <v>200</v>
      </c>
      <c r="AE37" s="2489">
        <f t="shared" si="24"/>
        <v>0</v>
      </c>
      <c r="AF37" s="2490">
        <f t="shared" si="25"/>
        <v>0</v>
      </c>
      <c r="AG37" s="2491" t="e">
        <f t="shared" ref="AG37:AG43" si="31">IF(AF37="",VLOOKUP(AE37,motor_table,2+IF(AD37="Yes",1,0)),VLOOKUP(AF37,motor_table,2+IF(AD37="Yes",1,0)))</f>
        <v>#N/A</v>
      </c>
      <c r="AH37" s="2491" t="e">
        <f t="shared" ref="AH37:AH43" si="32">IF(AF37="",VLOOKUP(AE37,motor_table,4+IF(AD37="Yes",1,0)),VLOOKUP(AF37,motor_table,4+IF(AD37="Yes",1,0)))</f>
        <v>#N/A</v>
      </c>
      <c r="AI37" s="2491" t="e">
        <f t="shared" si="14"/>
        <v>#N/A</v>
      </c>
      <c r="AJ37" s="2491" t="e">
        <f t="shared" si="15"/>
        <v>#N/A</v>
      </c>
      <c r="AK37" s="2477">
        <f t="shared" si="16"/>
        <v>0</v>
      </c>
      <c r="AL37" s="2492">
        <f t="shared" si="17"/>
        <v>0</v>
      </c>
      <c r="AM37" s="2493">
        <f t="shared" si="26"/>
        <v>0</v>
      </c>
      <c r="AN37" s="2492">
        <f t="shared" si="18"/>
        <v>0</v>
      </c>
      <c r="AO37" s="2494">
        <f t="shared" si="19"/>
        <v>0</v>
      </c>
      <c r="AP37" s="2495">
        <f t="shared" si="27"/>
        <v>0</v>
      </c>
      <c r="AQ37" s="2496" t="e">
        <f t="shared" si="20"/>
        <v>#VALUE!</v>
      </c>
      <c r="AR37" s="672"/>
      <c r="AS37" s="2509"/>
      <c r="AT37" s="672"/>
      <c r="AU37" s="672"/>
      <c r="AV37" s="672"/>
      <c r="AW37" s="672"/>
      <c r="AX37" s="672"/>
      <c r="AY37" s="672"/>
      <c r="AZ37" s="672"/>
      <c r="BA37" s="2498">
        <v>150</v>
      </c>
      <c r="BB37" s="2499">
        <v>0.93468828977681218</v>
      </c>
      <c r="BC37" s="2499">
        <v>0.94238067041956486</v>
      </c>
      <c r="BD37" s="2499">
        <v>0.88800000000000001</v>
      </c>
      <c r="BE37" s="2499">
        <v>0.86899999999999999</v>
      </c>
      <c r="BF37" s="2500">
        <f t="shared" si="30"/>
        <v>27000</v>
      </c>
      <c r="BG37" s="2506" t="s">
        <v>3092</v>
      </c>
      <c r="BH37" s="2504" t="s">
        <v>2550</v>
      </c>
      <c r="BI37" s="672"/>
      <c r="BJ37" s="2513" t="s">
        <v>2526</v>
      </c>
      <c r="BK37" s="2514">
        <v>0.71699999999999997</v>
      </c>
      <c r="BL37" s="2514">
        <v>0.46600000000000003</v>
      </c>
      <c r="BM37" s="2511"/>
      <c r="BN37" s="2485"/>
      <c r="BO37" s="2485"/>
      <c r="BP37" s="2485"/>
      <c r="BQ37" s="2485"/>
      <c r="BR37" s="2485"/>
      <c r="BS37" s="2485"/>
      <c r="BT37" s="2485"/>
      <c r="BU37" s="2485"/>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5"/>
      <c r="L38" s="2806" t="str">
        <f t="shared" si="6"/>
        <v/>
      </c>
      <c r="M38" s="2469"/>
      <c r="N38" s="2826" t="str">
        <f t="shared" si="7"/>
        <v/>
      </c>
      <c r="O38" s="2466"/>
      <c r="P38" s="2467"/>
      <c r="Q38" s="2468"/>
      <c r="R38" s="2469"/>
      <c r="S38" s="2486"/>
      <c r="T38" s="2486"/>
      <c r="U38" s="2486"/>
      <c r="V38" s="2486" t="str">
        <f t="shared" si="8"/>
        <v/>
      </c>
      <c r="W38" s="2486" t="e">
        <f t="shared" si="9"/>
        <v>#N/A</v>
      </c>
      <c r="X38" s="2486" t="e">
        <f t="shared" si="10"/>
        <v>#N/A</v>
      </c>
      <c r="Y38" s="2486" t="e">
        <f t="shared" si="11"/>
        <v>#N/A</v>
      </c>
      <c r="Z38" s="2486" t="e">
        <f t="shared" si="23"/>
        <v>#N/A</v>
      </c>
      <c r="AA38" s="2487"/>
      <c r="AB38" s="2487"/>
      <c r="AC38" s="2486"/>
      <c r="AD38" s="2486" t="s">
        <v>200</v>
      </c>
      <c r="AE38" s="2489">
        <f t="shared" si="24"/>
        <v>0</v>
      </c>
      <c r="AF38" s="2490">
        <f t="shared" si="25"/>
        <v>0</v>
      </c>
      <c r="AG38" s="2491" t="e">
        <f t="shared" si="31"/>
        <v>#N/A</v>
      </c>
      <c r="AH38" s="2491" t="e">
        <f t="shared" si="32"/>
        <v>#N/A</v>
      </c>
      <c r="AI38" s="2491" t="e">
        <f t="shared" si="14"/>
        <v>#N/A</v>
      </c>
      <c r="AJ38" s="2491" t="e">
        <f t="shared" si="15"/>
        <v>#N/A</v>
      </c>
      <c r="AK38" s="2477">
        <f t="shared" si="16"/>
        <v>0</v>
      </c>
      <c r="AL38" s="2492">
        <f t="shared" si="17"/>
        <v>0</v>
      </c>
      <c r="AM38" s="2493">
        <f t="shared" si="26"/>
        <v>0</v>
      </c>
      <c r="AN38" s="2492">
        <f t="shared" si="18"/>
        <v>0</v>
      </c>
      <c r="AO38" s="2494">
        <f t="shared" si="19"/>
        <v>0</v>
      </c>
      <c r="AP38" s="2495">
        <f t="shared" si="27"/>
        <v>0</v>
      </c>
      <c r="AQ38" s="2496" t="e">
        <f t="shared" si="20"/>
        <v>#VALUE!</v>
      </c>
      <c r="AR38" s="672"/>
      <c r="AS38" s="2509"/>
      <c r="AT38" s="1546"/>
      <c r="AU38" s="1546"/>
      <c r="AV38" s="1546"/>
      <c r="AW38" s="1546"/>
      <c r="AX38" s="1546"/>
      <c r="AY38" s="1546"/>
      <c r="AZ38" s="672"/>
      <c r="BA38" s="2498">
        <v>200</v>
      </c>
      <c r="BB38" s="2499">
        <v>0.93607885220014109</v>
      </c>
      <c r="BC38" s="2499">
        <v>0.9439741469887627</v>
      </c>
      <c r="BD38" s="2499">
        <v>0.88300000000000001</v>
      </c>
      <c r="BE38" s="2499">
        <v>0.86699999999999999</v>
      </c>
      <c r="BF38" s="2500">
        <f t="shared" si="30"/>
        <v>36000</v>
      </c>
      <c r="BG38" s="2506" t="s">
        <v>3092</v>
      </c>
      <c r="BH38" s="2510" t="s">
        <v>2550</v>
      </c>
      <c r="BI38" s="672"/>
      <c r="BJ38" s="2513" t="s">
        <v>2527</v>
      </c>
      <c r="BK38" s="2515">
        <v>0.47499999999999998</v>
      </c>
      <c r="BL38" s="2515">
        <v>0.34899999999999998</v>
      </c>
      <c r="BM38" s="2511"/>
      <c r="BN38" s="2485"/>
      <c r="BO38" s="2485"/>
      <c r="BP38" s="2485"/>
      <c r="BQ38" s="2485"/>
      <c r="BR38" s="2485"/>
      <c r="BS38" s="2485"/>
      <c r="BT38" s="2485"/>
      <c r="BU38" s="2485"/>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5"/>
      <c r="L39" s="2806" t="str">
        <f t="shared" si="6"/>
        <v/>
      </c>
      <c r="M39" s="2469"/>
      <c r="N39" s="2826" t="str">
        <f t="shared" si="7"/>
        <v/>
      </c>
      <c r="O39" s="2466"/>
      <c r="P39" s="2467"/>
      <c r="Q39" s="2468"/>
      <c r="R39" s="2469"/>
      <c r="S39" s="2486"/>
      <c r="T39" s="2486"/>
      <c r="U39" s="2486"/>
      <c r="V39" s="2486" t="str">
        <f t="shared" si="8"/>
        <v/>
      </c>
      <c r="W39" s="2486" t="e">
        <f t="shared" si="9"/>
        <v>#N/A</v>
      </c>
      <c r="X39" s="2486" t="e">
        <f t="shared" si="10"/>
        <v>#N/A</v>
      </c>
      <c r="Y39" s="2486" t="e">
        <f t="shared" si="11"/>
        <v>#N/A</v>
      </c>
      <c r="Z39" s="2486" t="e">
        <f t="shared" si="23"/>
        <v>#N/A</v>
      </c>
      <c r="AA39" s="2487"/>
      <c r="AB39" s="2487"/>
      <c r="AC39" s="2486"/>
      <c r="AD39" s="2486" t="s">
        <v>200</v>
      </c>
      <c r="AE39" s="2489">
        <f t="shared" si="24"/>
        <v>0</v>
      </c>
      <c r="AF39" s="2490">
        <f t="shared" si="25"/>
        <v>0</v>
      </c>
      <c r="AG39" s="2491" t="e">
        <f t="shared" si="31"/>
        <v>#N/A</v>
      </c>
      <c r="AH39" s="2491" t="e">
        <f t="shared" si="32"/>
        <v>#N/A</v>
      </c>
      <c r="AI39" s="2491" t="e">
        <f t="shared" si="14"/>
        <v>#N/A</v>
      </c>
      <c r="AJ39" s="2491" t="e">
        <f t="shared" si="15"/>
        <v>#N/A</v>
      </c>
      <c r="AK39" s="2477">
        <f t="shared" si="16"/>
        <v>0</v>
      </c>
      <c r="AL39" s="2492">
        <f t="shared" si="17"/>
        <v>0</v>
      </c>
      <c r="AM39" s="2493">
        <f t="shared" si="26"/>
        <v>0</v>
      </c>
      <c r="AN39" s="2492">
        <f t="shared" si="18"/>
        <v>0</v>
      </c>
      <c r="AO39" s="2494">
        <f t="shared" si="19"/>
        <v>0</v>
      </c>
      <c r="AP39" s="2495">
        <f t="shared" si="27"/>
        <v>0</v>
      </c>
      <c r="AQ39" s="2496" t="e">
        <f t="shared" si="20"/>
        <v>#VALUE!</v>
      </c>
      <c r="AR39" s="672"/>
      <c r="AS39" s="1546"/>
      <c r="AT39" s="1546"/>
      <c r="AU39" s="2424"/>
      <c r="AV39" s="2516"/>
      <c r="AW39" s="1546"/>
      <c r="AX39" s="1546"/>
      <c r="AY39" s="1546"/>
      <c r="AZ39" s="672"/>
      <c r="BA39" s="2498">
        <v>300</v>
      </c>
      <c r="BB39" s="2499">
        <v>0.95299999999999996</v>
      </c>
      <c r="BC39" s="2499">
        <v>0.95799999999999996</v>
      </c>
      <c r="BD39" s="2499">
        <v>0.90400000000000003</v>
      </c>
      <c r="BE39" s="2499">
        <v>0.86799999999999999</v>
      </c>
      <c r="BF39" s="2500">
        <f t="shared" si="30"/>
        <v>54000</v>
      </c>
      <c r="BG39" s="2506" t="s">
        <v>3092</v>
      </c>
      <c r="BH39" s="2504" t="s">
        <v>2550</v>
      </c>
      <c r="BI39" s="672"/>
      <c r="BJ39" s="2513" t="s">
        <v>2528</v>
      </c>
      <c r="BK39" s="2514">
        <v>0.30399999999999999</v>
      </c>
      <c r="BL39" s="2514">
        <v>0.17399999999999999</v>
      </c>
      <c r="BM39" s="2511"/>
      <c r="BN39" s="2485"/>
      <c r="BO39" s="2485"/>
      <c r="BP39" s="2485"/>
      <c r="BQ39" s="2485"/>
      <c r="BR39" s="2485"/>
      <c r="BS39" s="2485"/>
      <c r="BT39" s="2485"/>
      <c r="BU39" s="2485"/>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5"/>
      <c r="L40" s="2806" t="str">
        <f t="shared" si="6"/>
        <v/>
      </c>
      <c r="M40" s="2469"/>
      <c r="N40" s="2826" t="str">
        <f t="shared" si="7"/>
        <v/>
      </c>
      <c r="O40" s="2466"/>
      <c r="P40" s="2467"/>
      <c r="Q40" s="2468"/>
      <c r="R40" s="2469"/>
      <c r="S40" s="2486"/>
      <c r="T40" s="2486"/>
      <c r="U40" s="2486"/>
      <c r="V40" s="2486" t="str">
        <f t="shared" si="8"/>
        <v/>
      </c>
      <c r="W40" s="2486" t="e">
        <f t="shared" si="9"/>
        <v>#N/A</v>
      </c>
      <c r="X40" s="2486" t="e">
        <f t="shared" si="10"/>
        <v>#N/A</v>
      </c>
      <c r="Y40" s="2486" t="e">
        <f t="shared" si="11"/>
        <v>#N/A</v>
      </c>
      <c r="Z40" s="2486" t="e">
        <f t="shared" si="23"/>
        <v>#N/A</v>
      </c>
      <c r="AA40" s="2487"/>
      <c r="AB40" s="2487"/>
      <c r="AC40" s="2486"/>
      <c r="AD40" s="2486" t="s">
        <v>200</v>
      </c>
      <c r="AE40" s="2489">
        <f t="shared" si="24"/>
        <v>0</v>
      </c>
      <c r="AF40" s="2490">
        <f t="shared" si="25"/>
        <v>0</v>
      </c>
      <c r="AG40" s="2491" t="e">
        <f t="shared" si="31"/>
        <v>#N/A</v>
      </c>
      <c r="AH40" s="2491" t="e">
        <f t="shared" si="32"/>
        <v>#N/A</v>
      </c>
      <c r="AI40" s="2491" t="e">
        <f t="shared" si="14"/>
        <v>#N/A</v>
      </c>
      <c r="AJ40" s="2491" t="e">
        <f t="shared" si="15"/>
        <v>#N/A</v>
      </c>
      <c r="AK40" s="2477">
        <f t="shared" si="16"/>
        <v>0</v>
      </c>
      <c r="AL40" s="2492">
        <f t="shared" si="17"/>
        <v>0</v>
      </c>
      <c r="AM40" s="2493">
        <f>IF(ISNA(AK40),0,AK40*AL40)</f>
        <v>0</v>
      </c>
      <c r="AN40" s="2492">
        <f t="shared" si="18"/>
        <v>0</v>
      </c>
      <c r="AO40" s="2494">
        <f t="shared" si="19"/>
        <v>0</v>
      </c>
      <c r="AP40" s="2495">
        <f>AO40*AN40*AM40</f>
        <v>0</v>
      </c>
      <c r="AQ40" s="2496" t="e">
        <f t="shared" si="20"/>
        <v>#VALUE!</v>
      </c>
      <c r="AR40" s="672"/>
      <c r="AS40" s="1546"/>
      <c r="AT40" s="2424"/>
      <c r="AU40" s="2424"/>
      <c r="AV40" s="2516"/>
      <c r="AW40" s="1546"/>
      <c r="AX40" s="1546"/>
      <c r="AY40" s="1546"/>
      <c r="AZ40" s="672"/>
      <c r="BA40" s="2498">
        <v>350</v>
      </c>
      <c r="BB40" s="2499">
        <v>0.95399999999999996</v>
      </c>
      <c r="BC40" s="2499">
        <v>0.95899999999999996</v>
      </c>
      <c r="BD40" s="2499">
        <v>0.89300000000000002</v>
      </c>
      <c r="BE40" s="2499">
        <v>0.88800000000000001</v>
      </c>
      <c r="BF40" s="2500">
        <f t="shared" si="30"/>
        <v>63000</v>
      </c>
      <c r="BG40" s="2506" t="s">
        <v>3092</v>
      </c>
      <c r="BH40" s="2510" t="s">
        <v>2550</v>
      </c>
      <c r="BI40" s="672"/>
      <c r="BJ40" s="2513" t="s">
        <v>2529</v>
      </c>
      <c r="BK40" s="2515">
        <v>0.24</v>
      </c>
      <c r="BL40" s="2515">
        <v>0.182</v>
      </c>
      <c r="BM40" s="2511"/>
      <c r="BN40" s="2485"/>
      <c r="BO40" s="2485"/>
      <c r="BP40" s="2485"/>
      <c r="BQ40" s="2485"/>
      <c r="BR40" s="2485"/>
      <c r="BS40" s="2485"/>
      <c r="BT40" s="2485"/>
      <c r="BU40" s="2485"/>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5"/>
      <c r="L41" s="2806" t="str">
        <f t="shared" si="6"/>
        <v/>
      </c>
      <c r="M41" s="2469"/>
      <c r="N41" s="2826" t="str">
        <f t="shared" si="7"/>
        <v/>
      </c>
      <c r="O41" s="2466"/>
      <c r="P41" s="2467"/>
      <c r="Q41" s="2468"/>
      <c r="R41" s="2469"/>
      <c r="S41" s="2486"/>
      <c r="T41" s="2486"/>
      <c r="U41" s="2486"/>
      <c r="V41" s="2486" t="str">
        <f t="shared" si="8"/>
        <v/>
      </c>
      <c r="W41" s="2486" t="e">
        <f t="shared" si="9"/>
        <v>#N/A</v>
      </c>
      <c r="X41" s="2486" t="e">
        <f t="shared" si="10"/>
        <v>#N/A</v>
      </c>
      <c r="Y41" s="2486" t="e">
        <f t="shared" si="11"/>
        <v>#N/A</v>
      </c>
      <c r="Z41" s="2486" t="e">
        <f t="shared" si="23"/>
        <v>#N/A</v>
      </c>
      <c r="AA41" s="2487"/>
      <c r="AB41" s="2487"/>
      <c r="AC41" s="2486"/>
      <c r="AD41" s="2486" t="s">
        <v>200</v>
      </c>
      <c r="AE41" s="2489">
        <f t="shared" si="24"/>
        <v>0</v>
      </c>
      <c r="AF41" s="2490">
        <f t="shared" si="25"/>
        <v>0</v>
      </c>
      <c r="AG41" s="2491" t="e">
        <f t="shared" si="31"/>
        <v>#N/A</v>
      </c>
      <c r="AH41" s="2491" t="e">
        <f t="shared" si="32"/>
        <v>#N/A</v>
      </c>
      <c r="AI41" s="2491" t="e">
        <f t="shared" si="14"/>
        <v>#N/A</v>
      </c>
      <c r="AJ41" s="2491" t="e">
        <f t="shared" si="15"/>
        <v>#N/A</v>
      </c>
      <c r="AK41" s="2477">
        <f t="shared" si="16"/>
        <v>0</v>
      </c>
      <c r="AL41" s="2492">
        <f t="shared" si="17"/>
        <v>0</v>
      </c>
      <c r="AM41" s="2493">
        <f>IF(ISNA(AK41),0,AK41*AL41)</f>
        <v>0</v>
      </c>
      <c r="AN41" s="2492">
        <f t="shared" si="18"/>
        <v>0</v>
      </c>
      <c r="AO41" s="2494">
        <f t="shared" si="19"/>
        <v>0</v>
      </c>
      <c r="AP41" s="2495">
        <f>AO41*AN41*AM41</f>
        <v>0</v>
      </c>
      <c r="AQ41" s="2496" t="e">
        <f t="shared" si="20"/>
        <v>#VALUE!</v>
      </c>
      <c r="AR41" s="672"/>
      <c r="AS41" s="56"/>
      <c r="AT41" s="2517"/>
      <c r="AU41" s="2518"/>
      <c r="AV41" s="2516"/>
      <c r="AW41" s="56"/>
      <c r="AX41" s="56"/>
      <c r="AY41" s="56"/>
      <c r="AZ41" s="672"/>
      <c r="BA41" s="2498">
        <v>400</v>
      </c>
      <c r="BB41" s="2499">
        <v>0.95299999999999996</v>
      </c>
      <c r="BC41" s="2499">
        <v>0.95599999999999996</v>
      </c>
      <c r="BD41" s="2499">
        <v>0.89400000000000002</v>
      </c>
      <c r="BE41" s="2499">
        <v>0.86899999999999999</v>
      </c>
      <c r="BF41" s="2500">
        <f t="shared" si="30"/>
        <v>72000</v>
      </c>
      <c r="BG41" s="2506" t="s">
        <v>3092</v>
      </c>
      <c r="BH41" s="2504" t="s">
        <v>2550</v>
      </c>
      <c r="BI41" s="672"/>
      <c r="BJ41" s="2513" t="s">
        <v>2530</v>
      </c>
      <c r="BK41" s="2514">
        <v>0.123</v>
      </c>
      <c r="BL41" s="2514">
        <v>3.9E-2</v>
      </c>
      <c r="BM41" s="2511"/>
      <c r="BN41" s="2485"/>
      <c r="BO41" s="2485"/>
      <c r="BP41" s="2485"/>
      <c r="BQ41" s="2485"/>
      <c r="BR41" s="2485"/>
      <c r="BS41" s="2485"/>
      <c r="BT41" s="2485"/>
      <c r="BU41" s="2485"/>
      <c r="BV41" s="672"/>
    </row>
    <row r="42" spans="1:76" ht="15" hidden="1" thickBot="1">
      <c r="A42" s="1908"/>
      <c r="B42" s="1915"/>
      <c r="C42" s="1916"/>
      <c r="D42" s="1917"/>
      <c r="E42" s="1904" t="str">
        <f t="shared" si="3"/>
        <v/>
      </c>
      <c r="F42" s="1918"/>
      <c r="G42" s="1906" t="str">
        <f t="shared" si="4"/>
        <v/>
      </c>
      <c r="H42" s="1906" t="str">
        <f t="shared" si="22"/>
        <v/>
      </c>
      <c r="I42" s="1919"/>
      <c r="J42" s="1920"/>
      <c r="K42" s="2825"/>
      <c r="L42" s="2806" t="str">
        <f t="shared" si="6"/>
        <v/>
      </c>
      <c r="M42" s="2469"/>
      <c r="N42" s="2826" t="str">
        <f t="shared" si="7"/>
        <v/>
      </c>
      <c r="O42" s="2466"/>
      <c r="P42" s="2467"/>
      <c r="Q42" s="2468"/>
      <c r="R42" s="2469"/>
      <c r="S42" s="2486"/>
      <c r="T42" s="2486"/>
      <c r="U42" s="2486"/>
      <c r="V42" s="2486" t="str">
        <f t="shared" si="8"/>
        <v/>
      </c>
      <c r="W42" s="2486" t="e">
        <f t="shared" si="9"/>
        <v>#N/A</v>
      </c>
      <c r="X42" s="2486" t="e">
        <f t="shared" si="10"/>
        <v>#N/A</v>
      </c>
      <c r="Y42" s="2486" t="e">
        <f t="shared" si="11"/>
        <v>#N/A</v>
      </c>
      <c r="Z42" s="2486" t="e">
        <f t="shared" si="23"/>
        <v>#N/A</v>
      </c>
      <c r="AA42" s="2487"/>
      <c r="AB42" s="2487"/>
      <c r="AC42" s="2486"/>
      <c r="AD42" s="2486" t="s">
        <v>200</v>
      </c>
      <c r="AE42" s="2489">
        <f t="shared" si="24"/>
        <v>0</v>
      </c>
      <c r="AF42" s="2490">
        <f t="shared" si="25"/>
        <v>0</v>
      </c>
      <c r="AG42" s="2491" t="e">
        <f t="shared" si="31"/>
        <v>#N/A</v>
      </c>
      <c r="AH42" s="2491" t="e">
        <f t="shared" si="32"/>
        <v>#N/A</v>
      </c>
      <c r="AI42" s="2491" t="e">
        <f t="shared" si="14"/>
        <v>#N/A</v>
      </c>
      <c r="AJ42" s="2491" t="e">
        <f t="shared" si="15"/>
        <v>#N/A</v>
      </c>
      <c r="AK42" s="2477">
        <f t="shared" si="16"/>
        <v>0</v>
      </c>
      <c r="AL42" s="2492">
        <f t="shared" si="17"/>
        <v>0</v>
      </c>
      <c r="AM42" s="2493">
        <f>IF(ISNA(AK42),0,AK42*AL42)</f>
        <v>0</v>
      </c>
      <c r="AN42" s="2492">
        <f t="shared" si="18"/>
        <v>0</v>
      </c>
      <c r="AO42" s="2494">
        <f t="shared" si="19"/>
        <v>0</v>
      </c>
      <c r="AP42" s="2495">
        <f>AO42*AN42*AM42</f>
        <v>0</v>
      </c>
      <c r="AQ42" s="2496">
        <f t="shared" si="20"/>
        <v>0</v>
      </c>
      <c r="AR42" s="572"/>
      <c r="AS42" s="2519"/>
      <c r="AT42" s="2519"/>
      <c r="AU42" s="2519"/>
      <c r="AV42" s="2520"/>
      <c r="AW42" s="1546"/>
      <c r="AX42" s="77"/>
      <c r="AY42" s="2521"/>
      <c r="AZ42" s="572"/>
      <c r="BA42" s="2522">
        <v>450</v>
      </c>
      <c r="BB42" s="2523">
        <v>0.95</v>
      </c>
      <c r="BC42" s="2523">
        <v>0.95</v>
      </c>
      <c r="BD42" s="2523">
        <v>0.9</v>
      </c>
      <c r="BE42" s="2523">
        <v>0.9</v>
      </c>
      <c r="BF42" s="2500">
        <f t="shared" si="30"/>
        <v>81000</v>
      </c>
      <c r="BG42" s="2524" t="s">
        <v>3092</v>
      </c>
      <c r="BH42" s="2525" t="s">
        <v>2550</v>
      </c>
      <c r="BI42" s="572"/>
      <c r="BJ42" s="2526"/>
      <c r="BK42" s="2527"/>
      <c r="BL42" s="2527"/>
      <c r="BM42" s="2528"/>
      <c r="BN42" s="2422"/>
      <c r="BO42" s="2422"/>
      <c r="BP42" s="2422"/>
      <c r="BQ42" s="2422"/>
      <c r="BR42" s="2422"/>
      <c r="BS42" s="2422"/>
      <c r="BT42" s="2422"/>
      <c r="BU42" s="2422"/>
      <c r="BV42" s="572"/>
    </row>
    <row r="43" spans="1:76" ht="15" hidden="1" thickBot="1">
      <c r="A43" s="1908"/>
      <c r="B43" s="1915"/>
      <c r="C43" s="1916"/>
      <c r="D43" s="1917"/>
      <c r="E43" s="1904" t="str">
        <f t="shared" si="3"/>
        <v/>
      </c>
      <c r="F43" s="1918"/>
      <c r="G43" s="1906" t="str">
        <f t="shared" si="4"/>
        <v/>
      </c>
      <c r="H43" s="1906" t="str">
        <f t="shared" si="22"/>
        <v/>
      </c>
      <c r="I43" s="1919"/>
      <c r="J43" s="1920"/>
      <c r="K43" s="2825"/>
      <c r="L43" s="2806" t="str">
        <f t="shared" si="6"/>
        <v/>
      </c>
      <c r="M43" s="2469"/>
      <c r="N43" s="2826" t="str">
        <f t="shared" si="7"/>
        <v/>
      </c>
      <c r="O43" s="2507"/>
      <c r="P43" s="2508"/>
      <c r="Q43" s="2468"/>
      <c r="R43" s="2469"/>
      <c r="S43" s="2529"/>
      <c r="T43" s="2529"/>
      <c r="U43" s="2529"/>
      <c r="V43" s="2529" t="str">
        <f t="shared" si="8"/>
        <v/>
      </c>
      <c r="W43" s="2529" t="e">
        <f t="shared" si="9"/>
        <v>#N/A</v>
      </c>
      <c r="X43" s="2529" t="e">
        <f t="shared" si="10"/>
        <v>#N/A</v>
      </c>
      <c r="Y43" s="2529" t="e">
        <f t="shared" si="11"/>
        <v>#N/A</v>
      </c>
      <c r="Z43" s="2529" t="e">
        <f t="shared" si="23"/>
        <v>#N/A</v>
      </c>
      <c r="AA43" s="2530"/>
      <c r="AB43" s="2530"/>
      <c r="AC43" s="2529"/>
      <c r="AD43" s="2529" t="s">
        <v>200</v>
      </c>
      <c r="AE43" s="2531">
        <f t="shared" si="24"/>
        <v>0</v>
      </c>
      <c r="AF43" s="2532">
        <f t="shared" si="25"/>
        <v>0</v>
      </c>
      <c r="AG43" s="2533" t="e">
        <f t="shared" si="31"/>
        <v>#N/A</v>
      </c>
      <c r="AH43" s="2533" t="e">
        <f t="shared" si="32"/>
        <v>#N/A</v>
      </c>
      <c r="AI43" s="2533" t="e">
        <f t="shared" si="14"/>
        <v>#N/A</v>
      </c>
      <c r="AJ43" s="2533" t="e">
        <f t="shared" si="15"/>
        <v>#N/A</v>
      </c>
      <c r="AK43" s="2477">
        <f t="shared" si="16"/>
        <v>0</v>
      </c>
      <c r="AL43" s="2534">
        <f t="shared" si="17"/>
        <v>0</v>
      </c>
      <c r="AM43" s="2535">
        <f>IF(ISNA(AK43),0,AK43*AL43)</f>
        <v>0</v>
      </c>
      <c r="AN43" s="2534">
        <f t="shared" si="18"/>
        <v>0</v>
      </c>
      <c r="AO43" s="2536">
        <f t="shared" si="19"/>
        <v>0</v>
      </c>
      <c r="AP43" s="2537">
        <f>AO43*AN43*AM43</f>
        <v>0</v>
      </c>
      <c r="AQ43" s="2538">
        <f t="shared" si="20"/>
        <v>0</v>
      </c>
      <c r="AR43" s="572"/>
      <c r="AS43" s="58"/>
      <c r="AT43" s="2519"/>
      <c r="AU43" s="2519"/>
      <c r="AV43" s="2520"/>
      <c r="AW43" s="1546"/>
      <c r="AX43" s="2539"/>
      <c r="AY43" s="2540"/>
      <c r="AZ43" s="572"/>
      <c r="BA43" s="2541">
        <v>500</v>
      </c>
      <c r="BB43" s="2542">
        <v>0.95199999999999996</v>
      </c>
      <c r="BC43" s="2542">
        <v>0.95199999999999996</v>
      </c>
      <c r="BD43" s="2542">
        <v>0.90500000000000003</v>
      </c>
      <c r="BE43" s="2542">
        <v>0.90500000000000003</v>
      </c>
      <c r="BF43" s="2500">
        <f t="shared" si="30"/>
        <v>90000</v>
      </c>
      <c r="BG43" s="2543" t="s">
        <v>3092</v>
      </c>
      <c r="BH43" s="2544" t="s">
        <v>2550</v>
      </c>
      <c r="BI43" s="572"/>
      <c r="BJ43" s="3297" t="s">
        <v>2531</v>
      </c>
      <c r="BK43" s="3298"/>
      <c r="BL43" s="3299"/>
      <c r="BM43" s="2528"/>
      <c r="BN43" s="2422"/>
      <c r="BO43" s="2422"/>
      <c r="BP43" s="2422"/>
      <c r="BQ43" s="2422"/>
      <c r="BR43" s="2422"/>
      <c r="BS43" s="2422"/>
      <c r="BT43" s="2422"/>
      <c r="BU43" s="2422"/>
      <c r="BV43" s="572"/>
    </row>
    <row r="44" spans="1:76" ht="14.4">
      <c r="A44" s="90"/>
      <c r="B44" s="92"/>
      <c r="C44" s="198"/>
      <c r="D44" s="1249"/>
      <c r="E44" s="198"/>
      <c r="F44" s="1250"/>
      <c r="G44" s="1251"/>
      <c r="H44" s="1252"/>
      <c r="I44" s="303"/>
      <c r="J44" s="305"/>
      <c r="K44" s="90"/>
      <c r="L44" s="90"/>
      <c r="M44" s="2549"/>
      <c r="N44" s="2549"/>
      <c r="O44" s="2549"/>
      <c r="P44" s="2549"/>
      <c r="Q44" s="2549"/>
      <c r="R44" s="2549"/>
      <c r="S44" s="2549"/>
      <c r="T44" s="2549"/>
      <c r="U44" s="2549"/>
      <c r="V44" s="2549"/>
      <c r="W44" s="2549"/>
      <c r="X44" s="2549"/>
      <c r="Y44" s="2549"/>
      <c r="Z44" s="2549"/>
      <c r="AA44" s="2550"/>
      <c r="AB44" s="2550"/>
      <c r="AC44" s="2549"/>
      <c r="AD44" s="2549"/>
      <c r="AE44" s="2551"/>
      <c r="AF44" s="2552"/>
      <c r="AG44" s="2553"/>
      <c r="AH44" s="2553"/>
      <c r="AI44" s="2553"/>
      <c r="AJ44" s="2553"/>
      <c r="AK44" s="2554"/>
      <c r="AL44" s="2555"/>
      <c r="AM44" s="2556"/>
      <c r="AN44" s="2555"/>
      <c r="AO44" s="2557"/>
      <c r="AP44" s="2558"/>
      <c r="AQ44" s="2559"/>
      <c r="AR44" s="572"/>
      <c r="AS44" s="2545"/>
      <c r="AT44" s="2546"/>
      <c r="AU44" s="2546"/>
      <c r="AV44" s="2547"/>
      <c r="AW44" s="1546"/>
      <c r="AX44" s="2548"/>
      <c r="AY44" s="2548"/>
      <c r="AZ44" s="572"/>
      <c r="BA44" s="572"/>
      <c r="BB44" s="572"/>
      <c r="BC44" s="572"/>
      <c r="BD44" s="572"/>
      <c r="BE44" s="572"/>
      <c r="BF44" s="572"/>
      <c r="BG44" s="572"/>
      <c r="BH44" s="572"/>
      <c r="BI44" s="572"/>
      <c r="BJ44" s="2560" t="s">
        <v>2532</v>
      </c>
      <c r="BK44" s="2514">
        <v>0.57999999999999996</v>
      </c>
      <c r="BL44" s="2561">
        <v>0.40100000000000002</v>
      </c>
      <c r="BM44" s="2528"/>
      <c r="BN44" s="2422"/>
      <c r="BO44" s="2422"/>
      <c r="BP44" s="2422"/>
      <c r="BQ44" s="2422"/>
      <c r="BR44" s="2422"/>
      <c r="BS44" s="2422"/>
      <c r="BT44" s="2422"/>
      <c r="BU44" s="2422"/>
      <c r="BV44" s="572"/>
    </row>
    <row r="45" spans="1:76" ht="16.8" thickBot="1">
      <c r="B45" s="1201"/>
      <c r="C45" s="1201"/>
      <c r="D45" s="1201"/>
      <c r="E45" s="1201"/>
      <c r="F45" s="1201"/>
      <c r="G45" s="1201"/>
      <c r="H45" s="91"/>
      <c r="I45" s="275"/>
      <c r="J45" s="305"/>
      <c r="K45" s="90"/>
      <c r="M45" s="2562"/>
      <c r="N45" s="2562"/>
      <c r="O45" s="2562"/>
      <c r="P45" s="2562"/>
      <c r="Q45" s="2562"/>
      <c r="R45" s="2562"/>
      <c r="S45" s="2562"/>
      <c r="T45" s="2562"/>
      <c r="U45" s="2562"/>
      <c r="V45" s="2562"/>
      <c r="W45" s="2562"/>
      <c r="X45" s="2562"/>
      <c r="Y45" s="2562"/>
      <c r="Z45" s="2562"/>
      <c r="AA45" s="2563"/>
      <c r="AB45" s="2563"/>
      <c r="AC45" s="2562"/>
      <c r="AD45" s="2562"/>
      <c r="AE45" s="2551"/>
      <c r="AF45" s="2562"/>
      <c r="AG45" s="2553"/>
      <c r="AH45" s="2553"/>
      <c r="AI45" s="2553"/>
      <c r="AJ45" s="2553"/>
      <c r="AK45" s="2285"/>
      <c r="AL45" s="2555"/>
      <c r="AM45" s="2285"/>
      <c r="AN45" s="2555"/>
      <c r="AO45" s="2557"/>
      <c r="AP45" s="2558"/>
      <c r="AQ45" s="572"/>
      <c r="AR45" s="572"/>
      <c r="AS45" s="2545"/>
      <c r="AT45" s="2546"/>
      <c r="AU45" s="2546"/>
      <c r="AV45" s="2547"/>
      <c r="AW45" s="1546"/>
      <c r="AX45" s="2548"/>
      <c r="AY45" s="2548"/>
      <c r="AZ45" s="572"/>
      <c r="BA45" s="572"/>
      <c r="BB45" s="572"/>
      <c r="BC45" s="572"/>
      <c r="BD45" s="572"/>
      <c r="BE45" s="572"/>
      <c r="BF45" s="572"/>
      <c r="BG45" s="572"/>
      <c r="BH45" s="572"/>
      <c r="BI45" s="572"/>
      <c r="BJ45" s="2564" t="s">
        <v>2046</v>
      </c>
      <c r="BK45" s="2515">
        <v>0.64600000000000002</v>
      </c>
      <c r="BL45" s="2565">
        <v>0</v>
      </c>
      <c r="BM45" s="2528"/>
      <c r="BN45" s="2422"/>
      <c r="BO45" s="2422"/>
      <c r="BP45" s="2422"/>
      <c r="BQ45" s="2422"/>
      <c r="BR45" s="2422"/>
      <c r="BS45" s="2422"/>
      <c r="BT45" s="2422"/>
      <c r="BU45" s="2422"/>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1" sqref="B1:G1"/>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2" t="s">
        <v>3154</v>
      </c>
      <c r="C1" s="3322"/>
      <c r="D1" s="3322"/>
      <c r="E1" s="3322"/>
      <c r="F1" s="3322"/>
      <c r="G1" s="3322"/>
      <c r="H1" s="3331" t="s">
        <v>3450</v>
      </c>
      <c r="I1" s="3331"/>
      <c r="J1" s="34"/>
      <c r="K1" s="34"/>
      <c r="L1" s="24"/>
      <c r="N1" s="1462"/>
      <c r="O1" s="2"/>
    </row>
    <row r="2" spans="1:24" ht="12.9" customHeight="1">
      <c r="B2" s="2812" t="s">
        <v>204</v>
      </c>
      <c r="C2" s="2025"/>
      <c r="D2" s="36"/>
      <c r="E2" s="37"/>
      <c r="F2" s="37"/>
      <c r="G2" s="38"/>
      <c r="H2" s="37"/>
      <c r="I2" s="2893" t="str">
        <f>Utility_Copyrite</f>
        <v>Copyright © 2012 Potomac Electric Power Company</v>
      </c>
      <c r="L2" s="24"/>
      <c r="O2" s="2"/>
    </row>
    <row r="3" spans="1:24" ht="12.9" customHeight="1">
      <c r="B3" s="33"/>
      <c r="C3" s="2025"/>
      <c r="D3" s="36"/>
      <c r="E3" s="37"/>
      <c r="F3" s="37"/>
      <c r="G3" s="38"/>
      <c r="H3" s="37"/>
      <c r="I3" s="2893"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88" t="s">
        <v>246</v>
      </c>
      <c r="C7" s="3088"/>
      <c r="D7" s="3088"/>
      <c r="E7" s="3088"/>
      <c r="F7" s="3088"/>
      <c r="G7" s="3088"/>
      <c r="H7" s="3088"/>
      <c r="I7" s="3088"/>
      <c r="L7" s="318"/>
      <c r="N7" s="2832" t="b">
        <v>0</v>
      </c>
      <c r="O7" s="3334" t="s">
        <v>3830</v>
      </c>
      <c r="P7" s="3334"/>
      <c r="Q7" s="3334"/>
      <c r="R7" s="3334"/>
      <c r="S7" s="3334"/>
      <c r="T7" s="3334"/>
      <c r="U7" s="3334"/>
      <c r="V7" s="3334"/>
      <c r="W7" s="3334"/>
      <c r="X7" s="3334"/>
    </row>
    <row r="8" spans="1:24" s="83" customFormat="1" ht="5.85" customHeight="1">
      <c r="B8" s="317"/>
      <c r="C8" s="317"/>
      <c r="D8" s="317"/>
      <c r="E8" s="317"/>
      <c r="F8" s="317"/>
      <c r="G8" s="317"/>
      <c r="H8" s="317"/>
      <c r="I8" s="317"/>
      <c r="L8" s="323"/>
      <c r="O8" s="3334"/>
      <c r="P8" s="3334"/>
      <c r="Q8" s="3334"/>
      <c r="R8" s="3334"/>
      <c r="S8" s="3334"/>
      <c r="T8" s="3334"/>
      <c r="U8" s="3334"/>
      <c r="V8" s="3334"/>
      <c r="W8" s="3334"/>
      <c r="X8" s="3334"/>
    </row>
    <row r="9" spans="1:24" ht="7.5" customHeight="1">
      <c r="C9" s="1282"/>
      <c r="D9" s="1282"/>
      <c r="E9" s="1282"/>
      <c r="F9" s="1253"/>
      <c r="G9" s="1253"/>
      <c r="H9" s="1253"/>
      <c r="I9" s="1253"/>
      <c r="L9" s="318"/>
      <c r="O9" s="3334"/>
      <c r="P9" s="3334"/>
      <c r="Q9" s="3334"/>
      <c r="R9" s="3334"/>
      <c r="S9" s="3334"/>
      <c r="T9" s="3334"/>
      <c r="U9" s="3334"/>
      <c r="V9" s="3334"/>
      <c r="W9" s="3334"/>
      <c r="X9" s="3334"/>
    </row>
    <row r="10" spans="1:24" ht="14.25" customHeight="1">
      <c r="B10" s="3333" t="s">
        <v>3862</v>
      </c>
      <c r="C10" s="3333"/>
      <c r="D10" s="3333"/>
      <c r="E10" s="3333"/>
      <c r="F10" s="3333"/>
      <c r="G10" s="3333"/>
      <c r="H10" s="3333"/>
      <c r="I10" s="3333"/>
      <c r="L10" s="220"/>
      <c r="O10" s="3334"/>
      <c r="P10" s="3334"/>
      <c r="Q10" s="3334"/>
      <c r="R10" s="3334"/>
      <c r="S10" s="3334"/>
      <c r="T10" s="3334"/>
      <c r="U10" s="3334"/>
      <c r="V10" s="3334"/>
      <c r="W10" s="3334"/>
      <c r="X10" s="3334"/>
    </row>
    <row r="11" spans="1:24" ht="12.75" customHeight="1">
      <c r="A11" s="46"/>
      <c r="B11" s="3333"/>
      <c r="C11" s="3333"/>
      <c r="D11" s="3333"/>
      <c r="E11" s="3333"/>
      <c r="F11" s="3333"/>
      <c r="G11" s="3333"/>
      <c r="H11" s="3333"/>
      <c r="I11" s="3333"/>
      <c r="J11" s="46"/>
      <c r="K11" s="46"/>
      <c r="L11" s="1283"/>
      <c r="O11" s="3334"/>
      <c r="P11" s="3334"/>
      <c r="Q11" s="3334"/>
      <c r="R11" s="3334"/>
      <c r="S11" s="3334"/>
      <c r="T11" s="3334"/>
      <c r="U11" s="3334"/>
      <c r="V11" s="3334"/>
      <c r="W11" s="3334"/>
      <c r="X11" s="3334"/>
    </row>
    <row r="12" spans="1:24" ht="12.75" customHeight="1">
      <c r="A12" s="46"/>
      <c r="B12" s="3333"/>
      <c r="C12" s="3333"/>
      <c r="D12" s="3333"/>
      <c r="E12" s="3333"/>
      <c r="F12" s="3333"/>
      <c r="G12" s="3333"/>
      <c r="H12" s="3333"/>
      <c r="I12" s="3333"/>
      <c r="J12" s="46"/>
      <c r="K12" s="46"/>
      <c r="O12" s="3334"/>
      <c r="P12" s="3334"/>
      <c r="Q12" s="3334"/>
      <c r="R12" s="3334"/>
      <c r="S12" s="3334"/>
      <c r="T12" s="3334"/>
      <c r="U12" s="3334"/>
      <c r="V12" s="3334"/>
      <c r="W12" s="3334"/>
      <c r="X12" s="3334"/>
    </row>
    <row r="13" spans="1:24" ht="12.75" customHeight="1">
      <c r="A13" s="46"/>
      <c r="B13" s="3333"/>
      <c r="C13" s="3333"/>
      <c r="D13" s="3333"/>
      <c r="E13" s="3333"/>
      <c r="F13" s="3333"/>
      <c r="G13" s="3333"/>
      <c r="H13" s="3333"/>
      <c r="I13" s="3333"/>
      <c r="J13" s="46"/>
      <c r="K13" s="46"/>
    </row>
    <row r="14" spans="1:24" ht="22.5" customHeight="1">
      <c r="A14" s="46"/>
      <c r="B14" s="3333"/>
      <c r="C14" s="3333"/>
      <c r="D14" s="3333"/>
      <c r="E14" s="3333"/>
      <c r="F14" s="3333"/>
      <c r="G14" s="3333"/>
      <c r="H14" s="3333"/>
      <c r="I14" s="3333"/>
      <c r="J14" s="46"/>
      <c r="K14" s="46"/>
      <c r="L14" s="328"/>
      <c r="N14" s="1809"/>
      <c r="O14" s="3320" t="s">
        <v>3441</v>
      </c>
      <c r="P14" s="3320"/>
      <c r="Q14" s="3320"/>
      <c r="R14" s="3320"/>
      <c r="S14" s="1809"/>
    </row>
    <row r="15" spans="1:24" ht="37.5" customHeight="1">
      <c r="A15" s="46"/>
      <c r="B15" s="3332" t="s">
        <v>3863</v>
      </c>
      <c r="C15" s="3332"/>
      <c r="D15" s="3332"/>
      <c r="E15" s="3332"/>
      <c r="F15" s="3332"/>
      <c r="G15" s="3332"/>
      <c r="H15" s="3332"/>
      <c r="I15" s="3332"/>
      <c r="J15" s="46"/>
      <c r="K15" s="46"/>
      <c r="M15" s="1809"/>
      <c r="O15" s="3320"/>
      <c r="P15" s="3320"/>
      <c r="Q15" s="3320"/>
      <c r="R15" s="3320"/>
      <c r="S15" s="1809"/>
    </row>
    <row r="16" spans="1:24" ht="17.25" customHeight="1">
      <c r="M16" s="1809"/>
      <c r="N16" s="1809"/>
      <c r="O16" s="1809"/>
      <c r="P16" s="1809"/>
      <c r="Q16" s="1809"/>
      <c r="R16" s="1809"/>
      <c r="S16" s="1809"/>
    </row>
    <row r="17" spans="1:36" ht="15.6">
      <c r="B17" s="3088" t="s">
        <v>0</v>
      </c>
      <c r="C17" s="3088"/>
      <c r="D17" s="3088"/>
      <c r="E17" s="3088"/>
      <c r="F17" s="3088"/>
      <c r="G17" s="3088"/>
      <c r="H17" s="3088"/>
      <c r="I17" s="3088"/>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0"/>
      <c r="C20" s="3330"/>
      <c r="D20" s="3330"/>
      <c r="E20" s="3330"/>
      <c r="F20" s="3330"/>
      <c r="G20" s="3330"/>
      <c r="H20" s="3330"/>
      <c r="I20" s="3330"/>
      <c r="L20" s="318"/>
      <c r="P20" s="1290"/>
      <c r="Q20" s="2797"/>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0"/>
      <c r="C21" s="3330"/>
      <c r="D21" s="3330"/>
      <c r="E21" s="3330"/>
      <c r="F21" s="3330"/>
      <c r="G21" s="3330"/>
      <c r="H21" s="3330"/>
      <c r="I21" s="3330"/>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1" t="s">
        <v>3732</v>
      </c>
      <c r="C22" s="3321"/>
      <c r="D22" s="3321"/>
      <c r="E22" s="3321"/>
      <c r="F22" s="3321"/>
      <c r="G22" s="3321"/>
      <c r="H22" s="3321"/>
      <c r="I22" s="3321"/>
      <c r="J22" s="50"/>
      <c r="K22" s="50"/>
      <c r="L22" s="322"/>
      <c r="M22" s="1354" t="s">
        <v>3158</v>
      </c>
      <c r="N22" s="1354"/>
      <c r="O22" s="3328" t="s">
        <v>3161</v>
      </c>
      <c r="P22" s="3326" t="s">
        <v>3066</v>
      </c>
      <c r="Q22" s="3324" t="s">
        <v>3163</v>
      </c>
      <c r="R22" s="1296" t="s">
        <v>3162</v>
      </c>
      <c r="S22" s="1297" t="s">
        <v>3164</v>
      </c>
      <c r="T22" s="1297" t="s">
        <v>3165</v>
      </c>
      <c r="U22" s="1297" t="s">
        <v>3166</v>
      </c>
      <c r="V22" s="1378" t="s">
        <v>2040</v>
      </c>
      <c r="W22" s="1298" t="s">
        <v>41</v>
      </c>
      <c r="X22" s="1302"/>
      <c r="Y22" s="2796" t="s">
        <v>2318</v>
      </c>
      <c r="Z22" s="1303"/>
      <c r="AA22" s="1303"/>
      <c r="AB22" s="1303"/>
      <c r="AC22" s="1303" t="s">
        <v>3813</v>
      </c>
      <c r="AD22" s="1303" t="s">
        <v>3814</v>
      </c>
      <c r="AE22" s="1303" t="s">
        <v>2065</v>
      </c>
    </row>
    <row r="23" spans="1:36" ht="43.5" customHeight="1" thickBot="1">
      <c r="A23" s="2025"/>
      <c r="B23" s="3323" t="s">
        <v>60</v>
      </c>
      <c r="C23" s="3323"/>
      <c r="D23" s="2755" t="s">
        <v>3201</v>
      </c>
      <c r="E23" s="2029" t="s">
        <v>598</v>
      </c>
      <c r="F23" s="40" t="s">
        <v>211</v>
      </c>
      <c r="G23" s="40" t="s">
        <v>213</v>
      </c>
      <c r="H23" s="2809" t="str">
        <f>IF($N$7=TRUE,"Trade Ally Proposed Cost", "Utility Estimated Cost")</f>
        <v>Utility Estimated Cost</v>
      </c>
      <c r="I23" s="2751" t="str">
        <f>Utility_Name_Cap&amp;" Incentive"</f>
        <v>PEPCO Incentive</v>
      </c>
      <c r="J23" s="2025"/>
      <c r="K23" s="2805" t="str">
        <f>IF($N$7=TRUE,"Trade Ally Costs","")</f>
        <v/>
      </c>
      <c r="L23" s="220"/>
      <c r="M23" s="1299" t="s">
        <v>34</v>
      </c>
      <c r="N23" s="1304"/>
      <c r="O23" s="3329"/>
      <c r="P23" s="3327"/>
      <c r="Q23" s="3325"/>
      <c r="R23" s="1305"/>
      <c r="S23" s="1308"/>
      <c r="T23" s="1306"/>
      <c r="U23" s="1307"/>
      <c r="V23" s="1300">
        <f>SUM(V24:V33)</f>
        <v>0</v>
      </c>
      <c r="W23" s="1301">
        <f>SUM(W24:W33)</f>
        <v>0</v>
      </c>
      <c r="X23" s="1309"/>
      <c r="Y23" s="1295"/>
      <c r="Z23" s="1295"/>
      <c r="AA23" s="1295"/>
      <c r="AC23" s="35" t="s">
        <v>3812</v>
      </c>
      <c r="AD23" s="2790">
        <v>250</v>
      </c>
      <c r="AE23" s="2790">
        <v>750</v>
      </c>
      <c r="AF23" s="2790">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1"/>
      <c r="L24" s="2806"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5"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1">
        <v>500</v>
      </c>
      <c r="AE24" s="2790">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2"/>
      <c r="L25" s="2806"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5"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1">
        <v>1250</v>
      </c>
      <c r="AE25" s="2790">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2"/>
      <c r="L26" s="2806" t="str">
        <f t="shared" si="3"/>
        <v/>
      </c>
      <c r="M26" s="1310">
        <v>3</v>
      </c>
      <c r="N26" s="1311"/>
      <c r="O26" s="1312"/>
      <c r="P26" s="1313"/>
      <c r="Q26" s="1314"/>
      <c r="R26" s="1051" t="str">
        <f t="shared" si="4"/>
        <v/>
      </c>
      <c r="S26" s="2795"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1">
        <v>1850</v>
      </c>
      <c r="AE26" s="2790">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2"/>
      <c r="L27" s="2806" t="str">
        <f t="shared" si="3"/>
        <v/>
      </c>
      <c r="M27" s="1310">
        <v>4</v>
      </c>
      <c r="N27" s="1311"/>
      <c r="O27" s="1312"/>
      <c r="P27" s="1313"/>
      <c r="Q27" s="1314"/>
      <c r="R27" s="1051" t="str">
        <f t="shared" si="4"/>
        <v/>
      </c>
      <c r="S27" s="2795"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2"/>
      <c r="L28" s="2806" t="str">
        <f t="shared" si="3"/>
        <v/>
      </c>
      <c r="M28" s="1310">
        <v>5</v>
      </c>
      <c r="N28" s="1311"/>
      <c r="O28" s="1312"/>
      <c r="P28" s="1313"/>
      <c r="Q28" s="1314"/>
      <c r="R28" s="1051" t="str">
        <f t="shared" si="4"/>
        <v/>
      </c>
      <c r="S28" s="2795"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2"/>
      <c r="L29" s="2806" t="str">
        <f t="shared" si="3"/>
        <v/>
      </c>
      <c r="M29" s="1310">
        <v>6</v>
      </c>
      <c r="N29" s="1311"/>
      <c r="O29" s="1312"/>
      <c r="P29" s="1313"/>
      <c r="Q29" s="1314"/>
      <c r="R29" s="1051" t="str">
        <f t="shared" si="4"/>
        <v/>
      </c>
      <c r="S29" s="2795"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2"/>
      <c r="L30" s="2806" t="str">
        <f t="shared" si="3"/>
        <v/>
      </c>
      <c r="M30" s="1310">
        <v>7</v>
      </c>
      <c r="N30" s="1311"/>
      <c r="O30" s="1312"/>
      <c r="P30" s="1313"/>
      <c r="Q30" s="1314"/>
      <c r="R30" s="1051" t="str">
        <f t="shared" si="4"/>
        <v/>
      </c>
      <c r="S30" s="2795"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2"/>
      <c r="L31" s="2806" t="str">
        <f t="shared" si="3"/>
        <v/>
      </c>
      <c r="M31" s="1310">
        <v>8</v>
      </c>
      <c r="N31" s="1311"/>
      <c r="O31" s="1312"/>
      <c r="P31" s="1313"/>
      <c r="Q31" s="1314"/>
      <c r="R31" s="1051" t="str">
        <f t="shared" si="4"/>
        <v/>
      </c>
      <c r="S31" s="2795"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2"/>
      <c r="L32" s="2806" t="str">
        <f t="shared" si="3"/>
        <v/>
      </c>
      <c r="M32" s="1310">
        <v>9</v>
      </c>
      <c r="N32" s="1311"/>
      <c r="O32" s="1312"/>
      <c r="P32" s="1313"/>
      <c r="Q32" s="1314"/>
      <c r="R32" s="1051" t="str">
        <f t="shared" si="4"/>
        <v/>
      </c>
      <c r="S32" s="2795"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2"/>
      <c r="L33" s="2806" t="str">
        <f t="shared" si="3"/>
        <v/>
      </c>
      <c r="M33" s="1310">
        <v>10</v>
      </c>
      <c r="N33" s="1311"/>
      <c r="O33" s="1312"/>
      <c r="P33" s="1313"/>
      <c r="Q33" s="1314"/>
      <c r="R33" s="1051" t="str">
        <f t="shared" si="4"/>
        <v/>
      </c>
      <c r="S33" s="2795"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19" t="s">
        <v>158</v>
      </c>
      <c r="C34" s="3319"/>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4"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2"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3"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B1" sqref="B1:H1"/>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5" t="s">
        <v>3149</v>
      </c>
      <c r="C1" s="3335"/>
      <c r="D1" s="3335"/>
      <c r="E1" s="3335"/>
      <c r="F1" s="3335"/>
      <c r="G1" s="3335"/>
      <c r="H1" s="3335"/>
      <c r="I1" s="3068" t="s">
        <v>3450</v>
      </c>
      <c r="J1" s="3068"/>
      <c r="K1" s="1685"/>
    </row>
    <row r="2" spans="1:22" ht="12.9" customHeight="1">
      <c r="A2" s="1685"/>
      <c r="B2" s="1814" t="str">
        <f>company</f>
        <v/>
      </c>
      <c r="C2" s="1815"/>
      <c r="D2" s="1815"/>
      <c r="E2" s="1815"/>
      <c r="F2" s="1815"/>
      <c r="G2" s="1815"/>
      <c r="H2" s="1815"/>
      <c r="I2" s="1816"/>
      <c r="J2" s="2893" t="str">
        <f>Utility_Copyrite</f>
        <v>Copyright © 2012 Potomac Electric Power Company</v>
      </c>
      <c r="K2" s="1685"/>
    </row>
    <row r="3" spans="1:22" ht="12.9" customHeight="1">
      <c r="A3" s="1685"/>
      <c r="B3" s="1662"/>
      <c r="C3" s="1815"/>
      <c r="D3" s="1815"/>
      <c r="E3" s="1815"/>
      <c r="F3" s="1815"/>
      <c r="G3" s="1815"/>
      <c r="H3" s="1815"/>
      <c r="I3" s="1816"/>
      <c r="J3" s="2893"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38" t="s">
        <v>3755</v>
      </c>
      <c r="N6" s="3338"/>
      <c r="O6" s="3338"/>
      <c r="P6" s="3338"/>
      <c r="Q6" s="3338"/>
      <c r="R6" s="2822"/>
      <c r="S6" s="2082" t="b">
        <v>0</v>
      </c>
      <c r="T6" s="572"/>
    </row>
    <row r="7" spans="1:22" ht="15.75" customHeight="1">
      <c r="A7" s="1685"/>
      <c r="B7" s="1817" t="s">
        <v>246</v>
      </c>
      <c r="C7" s="1817"/>
      <c r="D7" s="1817"/>
      <c r="E7" s="1817"/>
      <c r="F7" s="1817"/>
      <c r="G7" s="1817"/>
      <c r="H7" s="1817"/>
      <c r="I7" s="1817"/>
      <c r="J7" s="1817"/>
      <c r="K7" s="1685"/>
      <c r="M7" s="3338"/>
      <c r="N7" s="3338"/>
      <c r="O7" s="3338"/>
      <c r="P7" s="3338"/>
      <c r="Q7" s="3338"/>
      <c r="R7" s="2822"/>
      <c r="S7" s="572"/>
      <c r="T7" s="572"/>
    </row>
    <row r="8" spans="1:22" ht="117.75" customHeight="1">
      <c r="A8" s="1685"/>
      <c r="B8" s="3111" t="s">
        <v>3733</v>
      </c>
      <c r="C8" s="3111"/>
      <c r="D8" s="3111"/>
      <c r="E8" s="3111"/>
      <c r="F8" s="3111"/>
      <c r="G8" s="3111"/>
      <c r="H8" s="3111"/>
      <c r="I8" s="1818"/>
      <c r="J8" s="1818"/>
      <c r="K8" s="1685"/>
      <c r="M8" s="3338"/>
      <c r="N8" s="3338"/>
      <c r="O8" s="3338"/>
      <c r="P8" s="3338"/>
      <c r="Q8" s="3338"/>
      <c r="R8" s="2822"/>
      <c r="S8" s="572"/>
      <c r="T8" s="572"/>
    </row>
    <row r="9" spans="1:22" ht="15.6">
      <c r="A9" s="1685"/>
      <c r="B9" s="3339" t="s">
        <v>599</v>
      </c>
      <c r="C9" s="3339"/>
      <c r="D9" s="3339"/>
      <c r="E9" s="3339"/>
      <c r="F9" s="3339"/>
      <c r="G9" s="3339"/>
      <c r="H9" s="3339"/>
      <c r="I9" s="3339"/>
      <c r="J9" s="3339"/>
      <c r="K9" s="1685"/>
      <c r="M9" s="2822"/>
      <c r="N9" s="2822"/>
      <c r="O9" s="2822"/>
      <c r="P9" s="2822"/>
      <c r="Q9" s="2822"/>
      <c r="R9" s="2822"/>
      <c r="S9" s="572"/>
      <c r="T9" s="572"/>
    </row>
    <row r="10" spans="1:22" ht="12.75" customHeight="1">
      <c r="A10" s="1685"/>
      <c r="B10" s="1662"/>
      <c r="C10" s="1819"/>
      <c r="D10" s="1662"/>
      <c r="E10" s="1662"/>
      <c r="F10" s="1662"/>
      <c r="G10" s="1662"/>
      <c r="H10" s="1662"/>
      <c r="I10" s="1820"/>
      <c r="J10" s="1685"/>
      <c r="K10" s="1685"/>
      <c r="M10" s="1362" t="s">
        <v>3205</v>
      </c>
      <c r="N10" s="1362"/>
      <c r="O10" s="2414">
        <f>IF(ISBLANK('[1]Vending Machines'!$B$2), 0, '[1]Vending Machines'!$B$2)</f>
        <v>0</v>
      </c>
      <c r="P10" s="2822"/>
      <c r="Q10" s="2822"/>
      <c r="R10" s="2822"/>
      <c r="S10" s="572"/>
      <c r="T10" s="572"/>
    </row>
    <row r="11" spans="1:22" ht="12.75" customHeight="1">
      <c r="A11" s="1685"/>
      <c r="B11" s="1662"/>
      <c r="C11" s="1821"/>
      <c r="D11" s="1822"/>
      <c r="E11" s="1822"/>
      <c r="F11" s="1822"/>
      <c r="G11" s="1822"/>
      <c r="H11" s="1822"/>
      <c r="I11" s="1823"/>
      <c r="J11" s="1685"/>
      <c r="K11" s="1685"/>
      <c r="M11" s="1362" t="s">
        <v>3206</v>
      </c>
      <c r="N11" s="1362"/>
      <c r="O11" s="2414">
        <f>IF(ISBLANK('[1]Vending Machines'!$B$3), 0, '[1]Vending Machines'!$B$3)</f>
        <v>0</v>
      </c>
      <c r="P11" s="2822"/>
      <c r="Q11" s="2822"/>
      <c r="R11" s="2822"/>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37" t="s">
        <v>3829</v>
      </c>
      <c r="N13" s="3337"/>
      <c r="O13" s="3337"/>
      <c r="P13" s="3337"/>
      <c r="Q13" s="3337"/>
      <c r="R13" s="3337"/>
      <c r="S13" s="3337"/>
      <c r="T13" s="3337"/>
      <c r="U13" s="2821"/>
      <c r="V13" s="2821"/>
    </row>
    <row r="14" spans="1:22">
      <c r="A14" s="1685"/>
      <c r="B14" s="1662"/>
      <c r="C14" s="1831" t="s">
        <v>2479</v>
      </c>
      <c r="D14" s="1828"/>
      <c r="E14" s="1832">
        <f>O10</f>
        <v>0</v>
      </c>
      <c r="F14" s="1685"/>
      <c r="G14" s="1833">
        <f>100*8760/1000*E14</f>
        <v>0</v>
      </c>
      <c r="H14" s="1662" t="s">
        <v>41</v>
      </c>
      <c r="I14" s="1826"/>
      <c r="J14" s="1685"/>
      <c r="K14" s="1685"/>
      <c r="M14" s="3337"/>
      <c r="N14" s="3337"/>
      <c r="O14" s="3337"/>
      <c r="P14" s="3337"/>
      <c r="Q14" s="3337"/>
      <c r="R14" s="3337"/>
      <c r="S14" s="3337"/>
      <c r="T14" s="3337"/>
      <c r="U14" s="2821"/>
      <c r="V14" s="2821"/>
    </row>
    <row r="15" spans="1:22" ht="15.75" customHeight="1">
      <c r="A15" s="1685"/>
      <c r="B15" s="1662"/>
      <c r="C15" s="1831" t="s">
        <v>2480</v>
      </c>
      <c r="D15" s="1662"/>
      <c r="E15" s="1832">
        <f>O11</f>
        <v>0</v>
      </c>
      <c r="F15" s="1685"/>
      <c r="G15" s="1833">
        <f>200*8760/1000*E15</f>
        <v>0</v>
      </c>
      <c r="H15" s="1834" t="s">
        <v>41</v>
      </c>
      <c r="I15" s="1826"/>
      <c r="J15" s="1685"/>
      <c r="K15" s="1685"/>
      <c r="M15" s="3337"/>
      <c r="N15" s="3337"/>
      <c r="O15" s="3337"/>
      <c r="P15" s="3337"/>
      <c r="Q15" s="3337"/>
      <c r="R15" s="3337"/>
      <c r="S15" s="3337"/>
      <c r="T15" s="3337"/>
      <c r="U15" s="2821"/>
      <c r="V15" s="2821"/>
    </row>
    <row r="16" spans="1:22">
      <c r="A16" s="1685"/>
      <c r="B16" s="1662"/>
      <c r="C16" s="1835"/>
      <c r="D16" s="1702"/>
      <c r="E16" s="1702"/>
      <c r="F16" s="1702"/>
      <c r="G16" s="1685"/>
      <c r="H16" s="1685"/>
      <c r="I16" s="1836"/>
      <c r="J16" s="1685"/>
      <c r="K16" s="1685"/>
      <c r="M16" s="3337"/>
      <c r="N16" s="3337"/>
      <c r="O16" s="3337"/>
      <c r="P16" s="3337"/>
      <c r="Q16" s="3337"/>
      <c r="R16" s="3337"/>
      <c r="S16" s="3337"/>
      <c r="T16" s="3337"/>
      <c r="U16" s="2821"/>
      <c r="V16" s="2821"/>
    </row>
    <row r="17" spans="1:22">
      <c r="A17" s="1685"/>
      <c r="B17" s="1662"/>
      <c r="C17" s="1827" t="s">
        <v>69</v>
      </c>
      <c r="D17" s="1662"/>
      <c r="E17" s="1837"/>
      <c r="F17" s="1837"/>
      <c r="G17" s="1825" t="s">
        <v>66</v>
      </c>
      <c r="H17" s="1838"/>
      <c r="I17" s="1836"/>
      <c r="J17" s="1685"/>
      <c r="K17" s="1685"/>
      <c r="M17" s="3337"/>
      <c r="N17" s="3337"/>
      <c r="O17" s="3337"/>
      <c r="P17" s="3337"/>
      <c r="Q17" s="3337"/>
      <c r="R17" s="3337"/>
      <c r="S17" s="3337"/>
      <c r="T17" s="3337"/>
      <c r="U17" s="2821"/>
      <c r="V17" s="2821"/>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6" t="str">
        <f>IF($S$6=TRUE,"   Trade Ally Proposed Cost", "   Utility Estimated Replacement Cost")</f>
        <v xml:space="preserve">   Utility Estimated Replacement Cost</v>
      </c>
      <c r="D20" s="3141"/>
      <c r="E20" s="3141"/>
      <c r="F20" s="1840"/>
      <c r="G20" s="2032">
        <f>IF($S$6=TRUE,M20,70)</f>
        <v>70</v>
      </c>
      <c r="H20" s="1843" t="s">
        <v>70</v>
      </c>
      <c r="I20" s="1826"/>
      <c r="J20" s="1685"/>
      <c r="K20" s="1685"/>
      <c r="M20" s="2863"/>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hidden="1">
      <c r="A22" s="1685"/>
      <c r="B22" s="1662"/>
      <c r="C22" s="1831" t="s">
        <v>2389</v>
      </c>
      <c r="D22" s="1662"/>
      <c r="E22" s="1839"/>
      <c r="F22" s="1840"/>
      <c r="G22" s="1841">
        <f>E15</f>
        <v>0</v>
      </c>
      <c r="H22" s="1820"/>
      <c r="I22" s="1826"/>
      <c r="J22" s="1685"/>
      <c r="K22" s="1685"/>
      <c r="M22" s="25"/>
    </row>
    <row r="23" spans="1:22" hidden="1">
      <c r="A23" s="1685"/>
      <c r="B23" s="1662"/>
      <c r="C23" s="1831" t="s">
        <v>2491</v>
      </c>
      <c r="D23" s="1662"/>
      <c r="E23" s="1839"/>
      <c r="F23" s="1840"/>
      <c r="G23" s="1844">
        <f>H60*G22</f>
        <v>0</v>
      </c>
      <c r="H23" s="1820" t="s">
        <v>41</v>
      </c>
      <c r="I23" s="1826"/>
      <c r="J23" s="1685"/>
      <c r="K23" s="1685"/>
      <c r="M23" s="25"/>
    </row>
    <row r="24" spans="1:22" ht="12.75" hidden="1" customHeight="1">
      <c r="A24" s="1685"/>
      <c r="B24" s="1662"/>
      <c r="C24" s="3336" t="str">
        <f>IF($S$6=TRUE,"   Trade Ally Proposed Cost", "   Utility Estimated Replacement Cost")</f>
        <v xml:space="preserve">   Utility Estimated Replacement Cost</v>
      </c>
      <c r="D24" s="3141"/>
      <c r="E24" s="3141"/>
      <c r="F24" s="1840"/>
      <c r="G24" s="2032">
        <f>IF($S$6=TRUE,M24,140)</f>
        <v>140</v>
      </c>
      <c r="H24" s="1843" t="s">
        <v>70</v>
      </c>
      <c r="I24" s="1826"/>
      <c r="J24" s="1685"/>
      <c r="K24" s="1685"/>
      <c r="M24" s="2863"/>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zoomScale="90" zoomScaleSheetLayoutView="90" workbookViewId="0">
      <selection activeCell="B1" sqref="B1:G1"/>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2" t="s">
        <v>3149</v>
      </c>
      <c r="C1" s="3352"/>
      <c r="D1" s="3352"/>
      <c r="E1" s="3352"/>
      <c r="F1" s="3352"/>
      <c r="G1" s="3352"/>
      <c r="H1" s="3353" t="s">
        <v>3450</v>
      </c>
      <c r="I1" s="3353"/>
      <c r="J1" s="1869"/>
      <c r="K1" s="24"/>
      <c r="O1" s="2"/>
    </row>
    <row r="2" spans="1:20" ht="12.75" customHeight="1">
      <c r="A2" s="1607"/>
      <c r="B2" s="1719" t="s">
        <v>204</v>
      </c>
      <c r="C2" s="1607"/>
      <c r="D2" s="1870"/>
      <c r="E2" s="1871"/>
      <c r="F2" s="1871"/>
      <c r="G2" s="1872"/>
      <c r="H2" s="1871"/>
      <c r="I2" s="2893" t="str">
        <f>Utility_Copyrite</f>
        <v>Copyright © 2012 Potomac Electric Power Company</v>
      </c>
      <c r="J2" s="1607"/>
      <c r="K2" s="24"/>
      <c r="O2" s="2"/>
    </row>
    <row r="3" spans="1:20" ht="12.75" customHeight="1">
      <c r="A3" s="1607"/>
      <c r="B3" s="1873"/>
      <c r="C3" s="1607"/>
      <c r="D3" s="1870"/>
      <c r="E3" s="1871"/>
      <c r="F3" s="1871"/>
      <c r="G3" s="1872"/>
      <c r="H3" s="1871"/>
      <c r="I3" s="2893" t="str">
        <f>Utility_Rights</f>
        <v>All Rights Reserved</v>
      </c>
      <c r="J3" s="1607"/>
      <c r="K3" s="24"/>
      <c r="L3" s="3334" t="s">
        <v>3828</v>
      </c>
      <c r="M3" s="3334"/>
      <c r="N3" s="3334"/>
      <c r="O3" s="2"/>
    </row>
    <row r="4" spans="1:20" ht="30" customHeight="1">
      <c r="A4" s="1607"/>
      <c r="B4" s="1873"/>
      <c r="C4" s="1607"/>
      <c r="D4" s="1870"/>
      <c r="E4" s="1871"/>
      <c r="F4" s="1871"/>
      <c r="G4" s="1872"/>
      <c r="H4" s="1871"/>
      <c r="I4" s="1607"/>
      <c r="J4" s="1607"/>
      <c r="K4" s="24"/>
      <c r="L4" s="3334"/>
      <c r="M4" s="3334"/>
      <c r="N4" s="3334"/>
      <c r="O4" s="2"/>
    </row>
    <row r="5" spans="1:20" ht="20.100000000000001" customHeight="1">
      <c r="A5" s="1607"/>
      <c r="B5" s="1610"/>
      <c r="C5" s="1610"/>
      <c r="D5" s="1610"/>
      <c r="E5" s="1610"/>
      <c r="F5" s="1874"/>
      <c r="G5" s="1875"/>
      <c r="H5" s="1876"/>
      <c r="I5" s="1876"/>
      <c r="J5" s="1607"/>
      <c r="K5" s="24"/>
      <c r="L5" s="3334"/>
      <c r="M5" s="3334"/>
      <c r="N5" s="3334"/>
      <c r="O5" s="2821"/>
    </row>
    <row r="6" spans="1:20" ht="15.75" customHeight="1">
      <c r="A6" s="1607"/>
      <c r="B6" s="3317" t="s">
        <v>3235</v>
      </c>
      <c r="C6" s="3317"/>
      <c r="D6" s="3317"/>
      <c r="E6" s="3317"/>
      <c r="F6" s="3317"/>
      <c r="G6" s="3317"/>
      <c r="H6" s="3317"/>
      <c r="I6" s="3317"/>
      <c r="J6" s="1607"/>
      <c r="K6" s="318"/>
      <c r="L6" s="3334"/>
      <c r="M6" s="3334"/>
      <c r="N6" s="3334"/>
      <c r="O6" s="2821"/>
      <c r="T6" s="2832" t="b">
        <v>0</v>
      </c>
    </row>
    <row r="7" spans="1:20" s="83" customFormat="1" ht="5.85" customHeight="1">
      <c r="A7" s="1630"/>
      <c r="B7" s="2041"/>
      <c r="C7" s="2041"/>
      <c r="D7" s="2041"/>
      <c r="E7" s="2041"/>
      <c r="F7" s="2041"/>
      <c r="G7" s="2041"/>
      <c r="H7" s="2041"/>
      <c r="I7" s="2041"/>
      <c r="J7" s="1630"/>
      <c r="K7" s="323"/>
      <c r="L7" s="3334"/>
      <c r="M7" s="3334"/>
      <c r="N7" s="3334"/>
      <c r="O7" s="2821"/>
      <c r="R7" s="324"/>
      <c r="S7" s="324"/>
    </row>
    <row r="8" spans="1:20" ht="12.75" customHeight="1">
      <c r="A8" s="1607"/>
      <c r="B8" s="3340" t="s">
        <v>3302</v>
      </c>
      <c r="C8" s="3340"/>
      <c r="D8" s="3340"/>
      <c r="E8" s="3340"/>
      <c r="F8" s="2042"/>
      <c r="G8" s="2042"/>
      <c r="H8" s="2042"/>
      <c r="I8" s="2042"/>
      <c r="J8" s="1607"/>
      <c r="K8" s="318"/>
      <c r="L8" s="3334"/>
      <c r="M8" s="3334"/>
      <c r="N8" s="3334"/>
      <c r="O8" s="2821"/>
    </row>
    <row r="9" spans="1:20" ht="97.5" customHeight="1">
      <c r="A9" s="1607"/>
      <c r="B9" s="3340"/>
      <c r="C9" s="3340"/>
      <c r="D9" s="3340"/>
      <c r="E9" s="3340"/>
      <c r="F9" s="1877"/>
      <c r="G9" s="1877"/>
      <c r="H9" s="1877"/>
      <c r="I9" s="1877"/>
      <c r="J9" s="1607"/>
      <c r="K9" s="220"/>
      <c r="L9" s="1457" t="s">
        <v>3853</v>
      </c>
      <c r="M9" s="1457"/>
    </row>
    <row r="10" spans="1:20" ht="39" customHeight="1" thickBot="1">
      <c r="A10" s="1607"/>
      <c r="B10" s="2043" t="s">
        <v>60</v>
      </c>
      <c r="C10" s="3343" t="s">
        <v>3850</v>
      </c>
      <c r="D10" s="3343"/>
      <c r="E10" s="1611" t="s">
        <v>598</v>
      </c>
      <c r="F10" s="1612" t="s">
        <v>211</v>
      </c>
      <c r="G10" s="1612" t="s">
        <v>213</v>
      </c>
      <c r="H10" s="2809" t="str">
        <f>IF($T$6=TRUE,"Trade Ally Proposed Cost", "Utility Estimated Cost")</f>
        <v>Utility Estimated Cost</v>
      </c>
      <c r="I10" s="2751" t="str">
        <f>Utility_Name_Cap&amp;" Incentive"</f>
        <v>PEPCO Incentive</v>
      </c>
      <c r="J10" s="1607"/>
      <c r="K10" s="220"/>
      <c r="L10" s="2843" t="s">
        <v>3851</v>
      </c>
      <c r="M10" s="2805" t="str">
        <f>IF($T$6=TRUE,"Trade Ally Costs","")</f>
        <v/>
      </c>
      <c r="N10" s="2845" t="s">
        <v>3693</v>
      </c>
      <c r="O10" s="2844" t="s">
        <v>2489</v>
      </c>
      <c r="P10" s="2877" t="s">
        <v>2040</v>
      </c>
      <c r="Q10" s="2876" t="s">
        <v>2394</v>
      </c>
      <c r="R10" s="3350" t="s">
        <v>2490</v>
      </c>
    </row>
    <row r="11" spans="1:20" ht="15" hidden="1" customHeight="1">
      <c r="A11" s="1607"/>
      <c r="B11" s="2044" t="s">
        <v>2482</v>
      </c>
      <c r="C11" s="3344">
        <f>L11</f>
        <v>0</v>
      </c>
      <c r="D11" s="334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1"/>
    </row>
    <row r="12" spans="1:20" ht="28.5" customHeight="1">
      <c r="A12" s="1607"/>
      <c r="B12" s="3341" t="s">
        <v>2484</v>
      </c>
      <c r="C12" s="3345" t="str">
        <f>L12</f>
        <v/>
      </c>
      <c r="D12" s="334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2"/>
      <c r="C13" s="3346"/>
      <c r="D13" s="3346"/>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7" t="s">
        <v>3146</v>
      </c>
      <c r="C16" s="3317"/>
      <c r="D16" s="3317"/>
      <c r="E16" s="3317"/>
      <c r="F16" s="3317"/>
      <c r="G16" s="3317"/>
      <c r="H16" s="3317"/>
      <c r="I16" s="3317"/>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1"/>
      <c r="Q18" s="2821"/>
      <c r="R18" s="2821"/>
      <c r="S18" s="318"/>
    </row>
    <row r="19" spans="1:20" ht="42.75" hidden="1" customHeight="1">
      <c r="A19" s="1607"/>
      <c r="B19" s="3348" t="s">
        <v>3150</v>
      </c>
      <c r="C19" s="3348"/>
      <c r="D19" s="3348"/>
      <c r="E19" s="3348"/>
      <c r="F19" s="3348"/>
      <c r="G19" s="3348"/>
      <c r="H19" s="3348"/>
      <c r="I19" s="3348"/>
      <c r="J19" s="1607"/>
      <c r="K19" s="318"/>
      <c r="L19" s="2821"/>
      <c r="M19" s="2821"/>
      <c r="N19" s="2821"/>
      <c r="O19" s="2821"/>
      <c r="P19" s="2821"/>
      <c r="Q19" s="2821"/>
      <c r="R19" s="2821"/>
      <c r="S19" s="318"/>
    </row>
    <row r="20" spans="1:20" ht="69" hidden="1" customHeight="1">
      <c r="A20" s="1607"/>
      <c r="B20" s="3348" t="s">
        <v>3151</v>
      </c>
      <c r="C20" s="3348"/>
      <c r="D20" s="3348"/>
      <c r="E20" s="3348"/>
      <c r="F20" s="3348"/>
      <c r="G20" s="3348"/>
      <c r="H20" s="3348"/>
      <c r="I20" s="3348"/>
      <c r="J20" s="1878"/>
      <c r="K20" s="322"/>
      <c r="L20" s="2821"/>
      <c r="M20" s="2821"/>
      <c r="N20" s="2821"/>
      <c r="O20" s="2821"/>
      <c r="P20" s="2821"/>
      <c r="Q20" s="2821"/>
      <c r="R20" s="2821"/>
      <c r="S20" s="318"/>
    </row>
    <row r="21" spans="1:20" ht="39.75" hidden="1" customHeight="1" thickBot="1">
      <c r="A21" s="1607"/>
      <c r="B21" s="2043" t="s">
        <v>60</v>
      </c>
      <c r="C21" s="2049"/>
      <c r="D21" s="2050"/>
      <c r="E21" s="1611" t="s">
        <v>598</v>
      </c>
      <c r="F21" s="1612" t="s">
        <v>211</v>
      </c>
      <c r="G21" s="1612" t="s">
        <v>213</v>
      </c>
      <c r="H21" s="2809" t="str">
        <f>IF($T$6=TRUE,"Trade Ally Proposed Cost", "Utility Estimated Cost")</f>
        <v>Utility Estimated Cost</v>
      </c>
      <c r="I21" s="2751" t="str">
        <f>Utility_Name_Cap&amp;" Incentive"</f>
        <v>PEPCO Incentive</v>
      </c>
      <c r="J21" s="1607"/>
      <c r="K21" s="220"/>
      <c r="L21" s="2821"/>
      <c r="M21" s="2821"/>
      <c r="N21" s="2821"/>
      <c r="O21" s="2821"/>
      <c r="P21" s="2821"/>
      <c r="Q21" s="2821"/>
      <c r="R21" s="2821"/>
      <c r="S21" s="318"/>
    </row>
    <row r="22" spans="1:20" ht="13.8"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4.4"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view="pageBreakPreview" zoomScale="85" zoomScaleNormal="90" zoomScaleSheetLayoutView="85" workbookViewId="0">
      <selection activeCell="B4" sqref="B4:J4"/>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5" t="s">
        <v>3773</v>
      </c>
      <c r="C4" s="3016"/>
      <c r="D4" s="3016"/>
      <c r="E4" s="3016"/>
      <c r="F4" s="3016"/>
      <c r="G4" s="3016"/>
      <c r="H4" s="3016"/>
      <c r="I4" s="3016"/>
      <c r="J4" s="3017"/>
    </row>
    <row r="5" spans="2:14" ht="15" customHeight="1">
      <c r="B5" s="3018" t="s">
        <v>3774</v>
      </c>
      <c r="C5" s="3019"/>
      <c r="D5" s="3019"/>
      <c r="E5" s="3019"/>
      <c r="F5" s="3019"/>
      <c r="G5" s="3019"/>
      <c r="H5" s="3019"/>
      <c r="I5" s="3019"/>
      <c r="J5" s="3020"/>
    </row>
    <row r="6" spans="2:14" ht="42.75" customHeight="1" thickBot="1">
      <c r="B6" s="3021"/>
      <c r="C6" s="3022"/>
      <c r="D6" s="3022"/>
      <c r="E6" s="3022"/>
      <c r="F6" s="3022"/>
      <c r="G6" s="3022"/>
      <c r="H6" s="3022"/>
      <c r="I6" s="3022"/>
      <c r="J6" s="3023"/>
    </row>
    <row r="7" spans="2:14" ht="10.5" customHeight="1">
      <c r="B7" s="3024"/>
      <c r="C7" s="3019"/>
      <c r="D7" s="3019"/>
      <c r="E7" s="3019"/>
      <c r="F7" s="3019"/>
      <c r="G7" s="3019"/>
      <c r="H7" s="3019"/>
      <c r="I7" s="3019"/>
      <c r="J7" s="3020"/>
    </row>
    <row r="8" spans="2:14" ht="35.25" customHeight="1">
      <c r="B8" s="3025" t="s">
        <v>3429</v>
      </c>
      <c r="C8" s="3026"/>
      <c r="D8" s="3026"/>
      <c r="E8" s="3026"/>
      <c r="F8" s="3026"/>
      <c r="G8" s="3026"/>
      <c r="H8" s="3026"/>
      <c r="I8" s="3026"/>
      <c r="J8" s="3027"/>
    </row>
    <row r="9" spans="2:14" ht="19.5" customHeight="1">
      <c r="B9" s="3025"/>
      <c r="C9" s="3026"/>
      <c r="D9" s="3026"/>
      <c r="E9" s="3026"/>
      <c r="F9" s="3026"/>
      <c r="G9" s="3026"/>
      <c r="H9" s="3026"/>
      <c r="I9" s="3026"/>
      <c r="J9" s="3027"/>
      <c r="L9" s="1446"/>
      <c r="M9" s="1446"/>
      <c r="N9" s="1446"/>
    </row>
    <row r="10" spans="2:14">
      <c r="B10" s="1443"/>
      <c r="C10" s="1444"/>
      <c r="D10" s="1444"/>
      <c r="E10" s="1444"/>
      <c r="F10" s="1444"/>
      <c r="G10" s="1444"/>
      <c r="H10" s="1444"/>
      <c r="I10" s="1444"/>
      <c r="J10" s="1445"/>
    </row>
    <row r="11" spans="2:14">
      <c r="B11" s="2987" t="s">
        <v>3430</v>
      </c>
      <c r="C11" s="2988"/>
      <c r="D11" s="2988"/>
      <c r="E11" s="2988"/>
      <c r="F11" s="1447"/>
      <c r="G11" s="1447"/>
      <c r="H11" s="1447"/>
      <c r="I11" s="1447"/>
      <c r="J11" s="1448"/>
    </row>
    <row r="12" spans="2:14" ht="21" customHeight="1">
      <c r="B12" s="2987" t="s">
        <v>3431</v>
      </c>
      <c r="C12" s="2988"/>
      <c r="D12" s="2988"/>
      <c r="E12" s="2988"/>
      <c r="F12" s="1447"/>
      <c r="G12" s="1447"/>
      <c r="H12" s="3014" t="s">
        <v>3432</v>
      </c>
      <c r="I12" s="3014"/>
      <c r="J12" s="1448"/>
      <c r="L12" s="1449"/>
    </row>
    <row r="13" spans="2:14" ht="48.75" customHeight="1">
      <c r="B13" s="3028" t="s">
        <v>3436</v>
      </c>
      <c r="C13" s="3029"/>
      <c r="D13" s="3029"/>
      <c r="E13" s="3029"/>
      <c r="F13" s="3029"/>
      <c r="G13" s="3029"/>
      <c r="H13" s="3029"/>
      <c r="I13" s="3029"/>
      <c r="J13" s="3030"/>
    </row>
    <row r="14" spans="2:14" ht="29.25" customHeight="1">
      <c r="B14" s="2995" t="s">
        <v>3768</v>
      </c>
      <c r="C14" s="2996"/>
      <c r="D14" s="2996"/>
      <c r="E14" s="2996"/>
      <c r="F14" s="2996"/>
      <c r="G14" s="2996"/>
      <c r="H14" s="2996"/>
      <c r="I14" s="2996"/>
      <c r="J14" s="2997"/>
    </row>
    <row r="15" spans="2:14" ht="33" customHeight="1">
      <c r="B15" s="2995" t="s">
        <v>3833</v>
      </c>
      <c r="C15" s="2998"/>
      <c r="D15" s="2998"/>
      <c r="E15" s="2998"/>
      <c r="F15" s="2998"/>
      <c r="G15" s="2998"/>
      <c r="H15" s="2998"/>
      <c r="I15" s="2998"/>
      <c r="J15" s="2999"/>
    </row>
    <row r="16" spans="2:14" ht="33" customHeight="1">
      <c r="B16" s="2995" t="s">
        <v>3834</v>
      </c>
      <c r="C16" s="2996"/>
      <c r="D16" s="2996"/>
      <c r="E16" s="2996"/>
      <c r="F16" s="2996"/>
      <c r="G16" s="2996"/>
      <c r="H16" s="2996"/>
      <c r="I16" s="2996"/>
      <c r="J16" s="2997"/>
    </row>
    <row r="17" spans="2:10" ht="53.25" customHeight="1">
      <c r="B17" s="1443"/>
      <c r="C17" s="2972" t="s">
        <v>3775</v>
      </c>
      <c r="D17" s="2972"/>
      <c r="E17" s="2972"/>
      <c r="F17" s="2972"/>
      <c r="G17" s="2972"/>
      <c r="H17" s="2972"/>
      <c r="I17" s="2972"/>
      <c r="J17" s="2973"/>
    </row>
    <row r="18" spans="2:10" ht="53.25" customHeight="1">
      <c r="B18" s="1443"/>
      <c r="C18" s="2998" t="s">
        <v>3772</v>
      </c>
      <c r="D18" s="2998"/>
      <c r="E18" s="2998"/>
      <c r="F18" s="2998"/>
      <c r="G18" s="2998"/>
      <c r="H18" s="2998"/>
      <c r="I18" s="2998"/>
      <c r="J18" s="2999"/>
    </row>
    <row r="19" spans="2:10" ht="53.25" customHeight="1">
      <c r="B19" s="1443"/>
      <c r="C19" s="2998" t="s">
        <v>3767</v>
      </c>
      <c r="D19" s="2998"/>
      <c r="E19" s="2998"/>
      <c r="F19" s="2998"/>
      <c r="G19" s="2998"/>
      <c r="H19" s="2998"/>
      <c r="I19" s="2998"/>
      <c r="J19" s="2999"/>
    </row>
    <row r="20" spans="2:10" ht="27.75" customHeight="1">
      <c r="B20" s="2995" t="s">
        <v>3835</v>
      </c>
      <c r="C20" s="2996"/>
      <c r="D20" s="2996"/>
      <c r="E20" s="2996"/>
      <c r="F20" s="2996"/>
      <c r="G20" s="2996"/>
      <c r="H20" s="2996"/>
      <c r="I20" s="2996"/>
      <c r="J20" s="2997"/>
    </row>
    <row r="21" spans="2:10" ht="29.25" customHeight="1">
      <c r="B21" s="2995" t="s">
        <v>3836</v>
      </c>
      <c r="C21" s="2996"/>
      <c r="D21" s="2996"/>
      <c r="E21" s="2996"/>
      <c r="F21" s="2996"/>
      <c r="G21" s="2996"/>
      <c r="H21" s="2996"/>
      <c r="I21" s="2996"/>
      <c r="J21" s="2997"/>
    </row>
    <row r="22" spans="2:10" ht="57.75" customHeight="1">
      <c r="B22" s="2995" t="s">
        <v>3837</v>
      </c>
      <c r="C22" s="2996"/>
      <c r="D22" s="2996"/>
      <c r="E22" s="2996"/>
      <c r="F22" s="2996"/>
      <c r="G22" s="2996"/>
      <c r="H22" s="2996"/>
      <c r="I22" s="2996"/>
      <c r="J22" s="2997"/>
    </row>
    <row r="23" spans="2:10" ht="41.25" customHeight="1">
      <c r="B23" s="3031" t="s">
        <v>3433</v>
      </c>
      <c r="C23" s="3012"/>
      <c r="D23" s="3012"/>
      <c r="E23" s="3012"/>
      <c r="F23" s="3012"/>
      <c r="G23" s="3012"/>
      <c r="H23" s="3012"/>
      <c r="I23" s="3012"/>
      <c r="J23" s="3013"/>
    </row>
    <row r="24" spans="2:10" ht="15" customHeight="1">
      <c r="B24" s="3032" t="s">
        <v>3769</v>
      </c>
      <c r="C24" s="3033"/>
      <c r="D24" s="3033"/>
      <c r="E24" s="3033"/>
      <c r="F24" s="3033"/>
      <c r="G24" s="3033"/>
      <c r="H24" s="3033"/>
      <c r="I24" s="3033"/>
      <c r="J24" s="3034"/>
    </row>
    <row r="25" spans="2:10">
      <c r="B25" s="3035"/>
      <c r="C25" s="3033"/>
      <c r="D25" s="3033"/>
      <c r="E25" s="3033"/>
      <c r="F25" s="3033"/>
      <c r="G25" s="3033"/>
      <c r="H25" s="3033"/>
      <c r="I25" s="3033"/>
      <c r="J25" s="3034"/>
    </row>
    <row r="26" spans="2:10">
      <c r="B26" s="3036"/>
      <c r="C26" s="3037"/>
      <c r="D26" s="3037"/>
      <c r="E26" s="3037"/>
      <c r="F26" s="3037"/>
      <c r="G26" s="3037"/>
      <c r="H26" s="3037"/>
      <c r="I26" s="3037"/>
      <c r="J26" s="3038"/>
    </row>
    <row r="27" spans="2:10">
      <c r="B27" s="3036"/>
      <c r="C27" s="3037"/>
      <c r="D27" s="3037"/>
      <c r="E27" s="3037"/>
      <c r="F27" s="3037"/>
      <c r="G27" s="3037"/>
      <c r="H27" s="3037"/>
      <c r="I27" s="3037"/>
      <c r="J27" s="3038"/>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39" t="s">
        <v>3434</v>
      </c>
      <c r="C32" s="3029"/>
      <c r="D32" s="3029"/>
      <c r="E32" s="3029"/>
      <c r="F32" s="3029"/>
      <c r="G32" s="3029"/>
      <c r="H32" s="3029"/>
      <c r="I32" s="3029"/>
      <c r="J32" s="3030"/>
    </row>
    <row r="33" spans="2:10" ht="33" hidden="1" customHeight="1">
      <c r="B33" s="1450"/>
      <c r="C33" s="1451"/>
      <c r="D33" s="1451"/>
      <c r="E33" s="1451"/>
      <c r="F33" s="1451"/>
      <c r="G33" s="1451"/>
      <c r="H33" s="1451"/>
      <c r="I33" s="1451"/>
      <c r="J33" s="1452"/>
    </row>
    <row r="34" spans="2:10" hidden="1">
      <c r="B34" s="3040" t="s">
        <v>3435</v>
      </c>
      <c r="C34" s="3009"/>
      <c r="D34" s="3009"/>
      <c r="E34" s="3009"/>
      <c r="F34" s="3009"/>
      <c r="G34" s="3009"/>
      <c r="H34" s="3009"/>
      <c r="I34" s="3009"/>
      <c r="J34" s="3010"/>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5" t="s">
        <v>3878</v>
      </c>
      <c r="F37" s="1444"/>
      <c r="G37" s="1444"/>
      <c r="H37" s="1444"/>
      <c r="I37" s="1444"/>
      <c r="J37" s="1444"/>
    </row>
    <row r="38" spans="2:10">
      <c r="B38" s="1444"/>
      <c r="C38" s="1444"/>
      <c r="D38" s="1444"/>
      <c r="E38" s="2896"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4" t="s">
        <v>3741</v>
      </c>
      <c r="C2" s="3354"/>
      <c r="D2" s="3354"/>
      <c r="E2" s="3354"/>
      <c r="F2" s="3354"/>
      <c r="G2" s="3354"/>
      <c r="H2" s="3354"/>
      <c r="I2" s="3355" t="s">
        <v>3450</v>
      </c>
      <c r="J2" s="3355"/>
      <c r="K2" s="24"/>
      <c r="N2" s="2"/>
    </row>
    <row r="3" spans="2:18" ht="12.9" customHeight="1">
      <c r="B3" s="2812" t="s">
        <v>204</v>
      </c>
      <c r="C3" s="2025"/>
      <c r="D3" s="36"/>
      <c r="E3" s="37"/>
      <c r="F3" s="37"/>
      <c r="G3" s="38"/>
      <c r="H3" s="37"/>
      <c r="I3" s="2893" t="str">
        <f>Utility_Copyrite</f>
        <v>Copyright © 2012 Potomac Electric Power Company</v>
      </c>
      <c r="J3" s="2025"/>
      <c r="K3" s="24"/>
      <c r="N3" s="2"/>
    </row>
    <row r="4" spans="2:18" ht="12.9" customHeight="1">
      <c r="B4" s="33"/>
      <c r="C4" s="2025"/>
      <c r="D4" s="36"/>
      <c r="E4" s="37"/>
      <c r="F4" s="37"/>
      <c r="G4" s="38"/>
      <c r="H4" s="37"/>
      <c r="I4" s="2893"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88"/>
      <c r="C7" s="3088"/>
      <c r="D7" s="3088"/>
      <c r="E7" s="3088"/>
      <c r="F7" s="3088"/>
      <c r="G7" s="3088"/>
      <c r="H7" s="3088"/>
      <c r="I7" s="3088"/>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2" t="s">
        <v>3442</v>
      </c>
      <c r="M10" s="3362"/>
      <c r="N10" s="3362"/>
      <c r="O10" s="46"/>
      <c r="P10" s="46"/>
      <c r="Q10" s="46"/>
    </row>
    <row r="11" spans="2:18" ht="39.9" customHeight="1" thickBot="1">
      <c r="B11" s="2058" t="s">
        <v>3069</v>
      </c>
      <c r="C11" s="3361" t="s">
        <v>3403</v>
      </c>
      <c r="D11" s="3361"/>
      <c r="E11" s="2059"/>
      <c r="F11" s="40" t="s">
        <v>211</v>
      </c>
      <c r="G11" s="40" t="s">
        <v>213</v>
      </c>
      <c r="H11" s="2810" t="s">
        <v>3827</v>
      </c>
      <c r="I11" s="40" t="str">
        <f>Utility_Name_Cap&amp;" Incentive"</f>
        <v>PEPCO Incentive</v>
      </c>
      <c r="J11" s="2025"/>
      <c r="K11" s="220"/>
      <c r="L11" s="1433"/>
      <c r="M11" s="1433"/>
      <c r="N11" s="1433"/>
      <c r="O11" s="1433"/>
    </row>
    <row r="12" spans="2:18" ht="12.75" customHeight="1">
      <c r="B12" s="2846"/>
      <c r="C12" s="3360"/>
      <c r="D12" s="3360"/>
      <c r="E12" s="2060"/>
      <c r="F12" s="2061"/>
      <c r="G12" s="2032">
        <f>F12*'R1 Sum'!$E$36</f>
        <v>0</v>
      </c>
      <c r="H12" s="2062"/>
      <c r="I12" s="2032">
        <f>IF(F12*0.3&lt;H12*0.8,F12*0.3,H12*0.8)</f>
        <v>0</v>
      </c>
      <c r="J12" s="2025"/>
      <c r="K12" s="220"/>
      <c r="L12" s="1432"/>
      <c r="M12" s="1432"/>
      <c r="N12" s="1432"/>
      <c r="O12" s="1432"/>
    </row>
    <row r="13" spans="2:18" ht="12.75" customHeight="1">
      <c r="B13" s="2942"/>
      <c r="C13" s="3364"/>
      <c r="D13" s="3364"/>
      <c r="E13" s="2943"/>
      <c r="F13" s="2944"/>
      <c r="G13" s="2945">
        <f>F13*'R1 Sum'!$E$36</f>
        <v>0</v>
      </c>
      <c r="H13" s="2946"/>
      <c r="I13" s="2945">
        <f>IF(F13*0.3&lt;H13*0.8,F13*0.3,H13*0.8)</f>
        <v>0</v>
      </c>
      <c r="J13" s="2025"/>
      <c r="K13" s="220"/>
      <c r="L13" s="1428"/>
      <c r="M13" s="1428"/>
      <c r="N13" s="1284"/>
      <c r="O13" s="1429"/>
      <c r="P13" s="1285"/>
      <c r="Q13" s="1285"/>
    </row>
    <row r="14" spans="2:18" ht="12.75" customHeight="1" thickBot="1">
      <c r="B14" s="2947"/>
      <c r="C14" s="3356"/>
      <c r="D14" s="3356"/>
      <c r="E14" s="2948"/>
      <c r="F14" s="2949"/>
      <c r="G14" s="2950">
        <f>F14*'R1 Sum'!$E$36</f>
        <v>0</v>
      </c>
      <c r="H14" s="2951"/>
      <c r="I14" s="2950">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88"/>
      <c r="C16" s="3088"/>
      <c r="D16" s="3088"/>
      <c r="E16" s="3088"/>
      <c r="F16" s="3088"/>
      <c r="G16" s="3088"/>
      <c r="H16" s="3088"/>
      <c r="I16" s="3088"/>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 customHeight="1" thickBot="1">
      <c r="B20" s="2058" t="s">
        <v>3069</v>
      </c>
      <c r="C20" s="3361" t="s">
        <v>3403</v>
      </c>
      <c r="D20" s="3361"/>
      <c r="E20" s="2059"/>
      <c r="F20" s="40" t="s">
        <v>211</v>
      </c>
      <c r="G20" s="40" t="s">
        <v>213</v>
      </c>
      <c r="H20" s="2810" t="s">
        <v>3827</v>
      </c>
      <c r="I20" s="2751" t="str">
        <f>Utility_Name_Cap&amp;" Incentive"</f>
        <v>PEPCO Incentive</v>
      </c>
      <c r="J20" s="2025"/>
      <c r="K20" s="220"/>
      <c r="L20" s="3350"/>
      <c r="M20" s="3350"/>
      <c r="N20" s="3363"/>
      <c r="O20" s="3365"/>
      <c r="P20" s="3350"/>
      <c r="Q20" s="3350"/>
    </row>
    <row r="21" spans="2:20" ht="12.75" customHeight="1">
      <c r="B21" s="2846"/>
      <c r="C21" s="3360"/>
      <c r="D21" s="3360"/>
      <c r="E21" s="2060"/>
      <c r="F21" s="2061"/>
      <c r="G21" s="2032">
        <f>F21*'R1 Sum'!$E$36</f>
        <v>0</v>
      </c>
      <c r="H21" s="2062"/>
      <c r="I21" s="2032">
        <f>IF(F21*0.3&lt;H21*0.8,F21*0.3,H21*0.8)</f>
        <v>0</v>
      </c>
      <c r="J21" s="2025"/>
      <c r="K21" s="220"/>
      <c r="L21" s="3350"/>
      <c r="M21" s="3350"/>
      <c r="N21" s="3363"/>
      <c r="O21" s="3365"/>
      <c r="P21" s="3350"/>
      <c r="Q21" s="3350"/>
    </row>
    <row r="22" spans="2:20" ht="12.75" customHeight="1">
      <c r="B22" s="2952"/>
      <c r="C22" s="3357"/>
      <c r="D22" s="3357"/>
      <c r="E22" s="2953"/>
      <c r="F22" s="2954"/>
      <c r="G22" s="2955">
        <f>F22*'R1 Sum'!$E$36</f>
        <v>0</v>
      </c>
      <c r="H22" s="2956"/>
      <c r="I22" s="2955">
        <f>IF(F22*0.3&lt;H22*0.8,F22*0.3,H22*0.8)</f>
        <v>0</v>
      </c>
      <c r="J22" s="2025"/>
      <c r="K22" s="220"/>
      <c r="L22" s="1428"/>
      <c r="M22" s="1428"/>
      <c r="N22" s="1284"/>
      <c r="O22" s="1429"/>
      <c r="P22" s="1285"/>
      <c r="Q22" s="1285"/>
    </row>
    <row r="23" spans="2:20" ht="12.75" customHeight="1" thickBot="1">
      <c r="B23" s="2947"/>
      <c r="C23" s="3356"/>
      <c r="D23" s="3356"/>
      <c r="E23" s="2948"/>
      <c r="F23" s="2949"/>
      <c r="G23" s="2950">
        <f>F23*'R1 Sum'!$E$36</f>
        <v>0</v>
      </c>
      <c r="H23" s="2951"/>
      <c r="I23" s="2950">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88"/>
      <c r="C25" s="3088"/>
      <c r="D25" s="3088"/>
      <c r="E25" s="3088"/>
      <c r="F25" s="3088"/>
      <c r="G25" s="3088"/>
      <c r="H25" s="3088"/>
      <c r="I25" s="3088"/>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 customHeight="1" thickBot="1">
      <c r="B29" s="2058" t="s">
        <v>3069</v>
      </c>
      <c r="C29" s="3361" t="s">
        <v>3403</v>
      </c>
      <c r="D29" s="3361"/>
      <c r="E29" s="2059"/>
      <c r="F29" s="40" t="s">
        <v>211</v>
      </c>
      <c r="G29" s="40" t="s">
        <v>213</v>
      </c>
      <c r="H29" s="2810" t="s">
        <v>3827</v>
      </c>
      <c r="I29" s="2751" t="str">
        <f>Utility_Name_Cap&amp;" Incentive"</f>
        <v>PEPCO Incentive</v>
      </c>
      <c r="J29" s="2025"/>
      <c r="K29" s="318"/>
      <c r="O29" s="318"/>
      <c r="P29" s="318"/>
      <c r="Q29" s="318"/>
      <c r="R29" s="318"/>
    </row>
    <row r="30" spans="2:20" ht="13.8" thickBot="1">
      <c r="B30" s="2846"/>
      <c r="C30" s="3360"/>
      <c r="D30" s="3360"/>
      <c r="E30" s="2060"/>
      <c r="F30" s="2061"/>
      <c r="G30" s="2032">
        <f>F30*'R1 Sum'!$E$36</f>
        <v>0</v>
      </c>
      <c r="H30" s="2062"/>
      <c r="I30" s="2032">
        <f>IF(F30*0.3&lt;H30*0.8,F30*0.3,H30*0.8)</f>
        <v>0</v>
      </c>
      <c r="J30" s="2025"/>
    </row>
    <row r="31" spans="2:20">
      <c r="B31" s="2952"/>
      <c r="C31" s="3357"/>
      <c r="D31" s="3357"/>
      <c r="E31" s="2953"/>
      <c r="F31" s="2954"/>
      <c r="G31" s="2955">
        <f>F31*'R1 Sum'!$E$36</f>
        <v>0</v>
      </c>
      <c r="H31" s="2956"/>
      <c r="I31" s="2955">
        <f>IF(F31*0.3&lt;H31*0.8,F31*0.3,H31*0.8)</f>
        <v>0</v>
      </c>
      <c r="J31" s="2025"/>
      <c r="L31" s="2762" t="s">
        <v>3069</v>
      </c>
      <c r="M31" s="2763" t="s">
        <v>2481</v>
      </c>
      <c r="N31" s="2764" t="s">
        <v>108</v>
      </c>
    </row>
    <row r="32" spans="2:20" ht="15" thickBot="1">
      <c r="B32" s="2947"/>
      <c r="C32" s="3356"/>
      <c r="D32" s="3356"/>
      <c r="E32" s="2948"/>
      <c r="F32" s="2949"/>
      <c r="G32" s="2950">
        <f>F32*'R1 Sum'!$E$36</f>
        <v>0</v>
      </c>
      <c r="H32" s="2951"/>
      <c r="I32" s="2950">
        <f>IF(F32*0.3&lt;H32*0.8,F32*0.3,H32*0.8)</f>
        <v>0</v>
      </c>
      <c r="J32" s="2025"/>
      <c r="L32" s="2765" t="s">
        <v>3373</v>
      </c>
      <c r="M32" s="2766" t="s">
        <v>3374</v>
      </c>
      <c r="N32" s="2767" t="s">
        <v>3375</v>
      </c>
    </row>
    <row r="33" spans="2:14" ht="15" thickBot="1">
      <c r="B33" s="2025"/>
      <c r="C33" s="2025"/>
      <c r="D33" s="2025"/>
      <c r="E33" s="2025"/>
      <c r="F33" s="2025"/>
      <c r="G33" s="2025"/>
      <c r="H33" s="2025"/>
      <c r="I33" s="2025"/>
      <c r="J33" s="2025"/>
      <c r="L33" s="2765" t="s">
        <v>3376</v>
      </c>
      <c r="M33" s="2766" t="s">
        <v>3377</v>
      </c>
      <c r="N33" s="2767" t="s">
        <v>3378</v>
      </c>
    </row>
    <row r="34" spans="2:14" ht="15" thickBot="1">
      <c r="B34" s="2056"/>
      <c r="C34" s="2056"/>
      <c r="D34" s="2056"/>
      <c r="E34" s="2056"/>
      <c r="F34" s="2056"/>
      <c r="G34" s="2056"/>
      <c r="H34" s="2056"/>
      <c r="I34" s="2056"/>
      <c r="J34" s="2025"/>
      <c r="L34" s="2765" t="s">
        <v>3379</v>
      </c>
      <c r="M34" s="2766" t="s">
        <v>3380</v>
      </c>
      <c r="N34" s="2767"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5" t="s">
        <v>3382</v>
      </c>
      <c r="M35" s="2766" t="s">
        <v>3383</v>
      </c>
      <c r="N35" s="2767" t="s">
        <v>3384</v>
      </c>
    </row>
    <row r="36" spans="2:14" ht="15" thickBot="1">
      <c r="L36" s="2765" t="s">
        <v>406</v>
      </c>
      <c r="M36" s="2766" t="s">
        <v>3385</v>
      </c>
      <c r="N36" s="2767" t="s">
        <v>3375</v>
      </c>
    </row>
    <row r="37" spans="2:14" ht="15" thickBot="1">
      <c r="L37" s="2765" t="s">
        <v>3386</v>
      </c>
      <c r="M37" s="2766" t="s">
        <v>3387</v>
      </c>
      <c r="N37" s="2767" t="s">
        <v>3375</v>
      </c>
    </row>
    <row r="38" spans="2:14" ht="15" thickBot="1">
      <c r="L38" s="2765" t="s">
        <v>3388</v>
      </c>
      <c r="M38" s="2766" t="s">
        <v>3389</v>
      </c>
      <c r="N38" s="2767" t="s">
        <v>3390</v>
      </c>
    </row>
    <row r="39" spans="2:14" ht="15" thickBot="1">
      <c r="L39" s="2765" t="s">
        <v>3391</v>
      </c>
      <c r="M39" s="2766" t="s">
        <v>3392</v>
      </c>
      <c r="N39" s="2767" t="s">
        <v>3393</v>
      </c>
    </row>
    <row r="40" spans="2:14" ht="15" thickBot="1">
      <c r="L40" s="2765" t="s">
        <v>3394</v>
      </c>
      <c r="M40" s="2766" t="s">
        <v>3395</v>
      </c>
      <c r="N40" s="2767" t="s">
        <v>2919</v>
      </c>
    </row>
    <row r="41" spans="2:14" ht="15" thickBot="1">
      <c r="L41" s="2765" t="s">
        <v>3396</v>
      </c>
      <c r="M41" s="2766" t="s">
        <v>3397</v>
      </c>
      <c r="N41" s="2767" t="s">
        <v>2919</v>
      </c>
    </row>
    <row r="42" spans="2:14" ht="15" thickBot="1">
      <c r="L42" s="2765" t="s">
        <v>3398</v>
      </c>
      <c r="M42" s="2766" t="s">
        <v>3399</v>
      </c>
      <c r="N42" s="2767" t="s">
        <v>2919</v>
      </c>
    </row>
    <row r="43" spans="2:14" ht="15" thickBot="1">
      <c r="L43" s="2765" t="s">
        <v>466</v>
      </c>
      <c r="M43" s="2768" t="s">
        <v>3400</v>
      </c>
      <c r="N43" s="2767"/>
    </row>
    <row r="44" spans="2:14" ht="15" thickBot="1">
      <c r="L44" s="2765" t="s">
        <v>473</v>
      </c>
      <c r="M44" s="2766" t="s">
        <v>3401</v>
      </c>
      <c r="N44" s="2767"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2" sqref="B2"/>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6" t="s">
        <v>478</v>
      </c>
      <c r="E2" s="3366"/>
      <c r="F2" s="3366"/>
      <c r="G2" s="3366"/>
      <c r="H2" s="3366"/>
      <c r="I2" s="3331" t="s">
        <v>3451</v>
      </c>
      <c r="J2" s="3331"/>
      <c r="K2" s="572"/>
      <c r="L2" s="19"/>
      <c r="M2" s="19"/>
    </row>
    <row r="3" spans="1:17" ht="12.9" customHeight="1">
      <c r="A3" s="572"/>
      <c r="B3" s="2898" t="str">
        <f>company</f>
        <v/>
      </c>
      <c r="C3" s="5"/>
      <c r="D3" s="6"/>
      <c r="E3" s="6"/>
      <c r="F3" s="2136"/>
      <c r="G3" s="6"/>
      <c r="H3" s="572"/>
      <c r="I3" s="572"/>
      <c r="J3" s="2893" t="str">
        <f>Utility_Copyrite</f>
        <v>Copyright © 2012 Potomac Electric Power Company</v>
      </c>
      <c r="K3" s="572"/>
      <c r="L3" s="19"/>
      <c r="M3" s="19"/>
    </row>
    <row r="4" spans="1:17" ht="12.9" customHeight="1">
      <c r="A4" s="26"/>
      <c r="B4" s="572"/>
      <c r="C4" s="5"/>
      <c r="D4" s="6"/>
      <c r="E4" s="6"/>
      <c r="F4" s="2136"/>
      <c r="G4" s="6"/>
      <c r="H4" s="572"/>
      <c r="I4" s="572"/>
      <c r="J4" s="2893" t="str">
        <f>Utility_Rights</f>
        <v>All Rights Reserved</v>
      </c>
      <c r="K4" s="572"/>
      <c r="L4" s="19"/>
      <c r="M4" s="19"/>
    </row>
    <row r="5" spans="1:17" ht="12.9" customHeight="1">
      <c r="A5" s="26"/>
      <c r="B5" s="572"/>
      <c r="C5" s="5"/>
      <c r="D5" s="6"/>
      <c r="E5" s="6"/>
      <c r="F5" s="2136"/>
      <c r="G5" s="6"/>
      <c r="H5" s="572"/>
      <c r="I5" s="572"/>
      <c r="J5" s="2893"/>
      <c r="K5" s="572"/>
      <c r="L5" s="19"/>
      <c r="M5" s="19"/>
    </row>
    <row r="6" spans="1:17" ht="12.9" customHeight="1">
      <c r="A6" s="26"/>
      <c r="B6" s="572"/>
      <c r="C6" s="5"/>
      <c r="D6" s="6"/>
      <c r="E6" s="6"/>
      <c r="F6" s="2136"/>
      <c r="G6" s="6"/>
      <c r="H6" s="572"/>
      <c r="I6" s="572"/>
      <c r="J6" s="2893"/>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67" t="s">
        <v>3736</v>
      </c>
      <c r="C8" s="3367"/>
      <c r="D8" s="3367"/>
      <c r="E8" s="3367"/>
      <c r="F8" s="3367"/>
      <c r="G8" s="3367"/>
      <c r="H8" s="3367"/>
      <c r="I8" s="3367"/>
      <c r="J8" s="3367"/>
      <c r="K8" s="572"/>
      <c r="L8" s="19"/>
      <c r="M8" s="3369" t="s">
        <v>3452</v>
      </c>
      <c r="N8" s="3369"/>
      <c r="O8" s="3369"/>
      <c r="P8" s="3369"/>
      <c r="Q8" s="3369"/>
    </row>
    <row r="9" spans="1:17" ht="15.75" customHeight="1">
      <c r="A9" s="2140"/>
      <c r="B9" s="3368" t="s">
        <v>2172</v>
      </c>
      <c r="C9" s="3368"/>
      <c r="D9" s="3368"/>
      <c r="E9" s="3368"/>
      <c r="F9" s="3368"/>
      <c r="G9" s="3368"/>
      <c r="H9" s="3368"/>
      <c r="I9" s="3368"/>
      <c r="J9" s="3368"/>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67"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67"/>
      <c r="D12" s="3367"/>
      <c r="E12" s="3367"/>
      <c r="F12" s="3367"/>
      <c r="G12" s="3367"/>
      <c r="H12" s="3367"/>
      <c r="I12" s="3367"/>
      <c r="J12" s="3367"/>
      <c r="K12" s="2082"/>
    </row>
    <row r="13" spans="1:17" ht="13.8">
      <c r="A13" s="572"/>
      <c r="B13" s="2141" t="s">
        <v>406</v>
      </c>
      <c r="C13" s="2142"/>
      <c r="D13" s="2142"/>
      <c r="E13" s="2142"/>
      <c r="F13" s="2142"/>
      <c r="G13" s="2142"/>
      <c r="H13" s="2142"/>
      <c r="I13" s="2142"/>
      <c r="J13" s="2142"/>
      <c r="K13" s="2082"/>
    </row>
    <row r="14" spans="1:17" ht="56.25" customHeight="1">
      <c r="A14" s="572"/>
      <c r="B14" s="3367" t="s">
        <v>51</v>
      </c>
      <c r="C14" s="3367"/>
      <c r="D14" s="3367"/>
      <c r="E14" s="3367"/>
      <c r="F14" s="3367"/>
      <c r="G14" s="3367"/>
      <c r="H14" s="3367"/>
      <c r="I14" s="3367"/>
      <c r="J14" s="3367"/>
      <c r="K14" s="2082"/>
    </row>
    <row r="15" spans="1:17" ht="13.8">
      <c r="A15" s="572"/>
      <c r="B15" s="2141" t="s">
        <v>186</v>
      </c>
      <c r="C15" s="2142"/>
      <c r="D15" s="2142"/>
      <c r="E15" s="2142"/>
      <c r="F15" s="2142"/>
      <c r="G15" s="2142"/>
      <c r="H15" s="2142"/>
      <c r="I15" s="2142"/>
      <c r="J15" s="2142"/>
      <c r="K15" s="2082"/>
    </row>
    <row r="16" spans="1:17" ht="43.5" customHeight="1">
      <c r="A16" s="572"/>
      <c r="B16" s="3367" t="s">
        <v>3413</v>
      </c>
      <c r="C16" s="3367"/>
      <c r="D16" s="3367"/>
      <c r="E16" s="3367"/>
      <c r="F16" s="3367"/>
      <c r="G16" s="3367"/>
      <c r="H16" s="3367"/>
      <c r="I16" s="3367"/>
      <c r="J16" s="3367"/>
      <c r="K16" s="2082"/>
    </row>
    <row r="17" spans="1:11" ht="15.75" customHeight="1">
      <c r="A17" s="572"/>
      <c r="B17" s="2141" t="s">
        <v>473</v>
      </c>
      <c r="C17" s="2142"/>
      <c r="D17" s="2142"/>
      <c r="E17" s="2142"/>
      <c r="F17" s="2142"/>
      <c r="G17" s="2142"/>
      <c r="H17" s="2142"/>
      <c r="I17" s="2142"/>
      <c r="J17" s="2142"/>
      <c r="K17" s="2082"/>
    </row>
    <row r="18" spans="1:11" ht="43.5" customHeight="1">
      <c r="A18" s="572"/>
      <c r="B18" s="3367" t="s">
        <v>3880</v>
      </c>
      <c r="C18" s="3367"/>
      <c r="D18" s="3367"/>
      <c r="E18" s="3367"/>
      <c r="F18" s="3367"/>
      <c r="G18" s="3367"/>
      <c r="H18" s="3367"/>
      <c r="I18" s="3367"/>
      <c r="J18" s="3367"/>
      <c r="K18" s="2082"/>
    </row>
    <row r="19" spans="1:11" ht="13.8">
      <c r="A19" s="572"/>
      <c r="B19" s="2141" t="s">
        <v>350</v>
      </c>
      <c r="C19" s="2142"/>
      <c r="D19" s="2142"/>
      <c r="E19" s="2142"/>
      <c r="F19" s="2142"/>
      <c r="G19" s="2142"/>
      <c r="H19" s="2142"/>
      <c r="I19" s="2142"/>
      <c r="J19" s="2142"/>
      <c r="K19" s="2082"/>
    </row>
    <row r="20" spans="1:11" ht="35.25" customHeight="1">
      <c r="A20" s="572"/>
      <c r="B20" s="3367" t="s">
        <v>52</v>
      </c>
      <c r="C20" s="3367"/>
      <c r="D20" s="3367"/>
      <c r="E20" s="3367"/>
      <c r="F20" s="3367"/>
      <c r="G20" s="3367"/>
      <c r="H20" s="3367"/>
      <c r="I20" s="3367"/>
      <c r="J20" s="3367"/>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69"/>
      <c r="R91" s="3069"/>
      <c r="S91" s="3069"/>
      <c r="T91" s="3069"/>
      <c r="U91" s="3069"/>
      <c r="V91" s="3069"/>
      <c r="W91" s="3069"/>
      <c r="X91" s="534"/>
      <c r="Y91" s="534"/>
    </row>
    <row r="92" spans="17:25">
      <c r="Q92" s="534"/>
      <c r="R92" s="534"/>
      <c r="S92" s="534"/>
      <c r="T92" s="534"/>
      <c r="U92" s="534"/>
      <c r="V92" s="534"/>
      <c r="W92" s="534"/>
      <c r="X92" s="534"/>
      <c r="Y92" s="534"/>
    </row>
    <row r="93" spans="17:25" ht="42.75" customHeight="1">
      <c r="Q93" s="3069"/>
      <c r="R93" s="3069"/>
      <c r="S93" s="3069"/>
      <c r="T93" s="3069"/>
      <c r="U93" s="3069"/>
      <c r="V93" s="3069"/>
      <c r="W93" s="3069"/>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BC199"/>
  <sheetViews>
    <sheetView view="pageBreakPreview" topLeftCell="B1" zoomScale="90" zoomScaleSheetLayoutView="90" workbookViewId="0">
      <selection activeCell="B1" sqref="B1:P1"/>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51" width="0" style="87" hidden="1" customWidth="1"/>
    <col min="52" max="52" width="46" style="87" hidden="1" customWidth="1"/>
    <col min="53" max="53" width="15.88671875" style="87" hidden="1" customWidth="1"/>
    <col min="54" max="54" width="0" style="87" hidden="1" customWidth="1"/>
    <col min="55" max="16384" width="9.109375" style="87"/>
  </cols>
  <sheetData>
    <row r="1" spans="1:54" ht="23.4" thickBot="1">
      <c r="A1" s="572"/>
      <c r="B1" s="3370" t="s">
        <v>3204</v>
      </c>
      <c r="C1" s="3370"/>
      <c r="D1" s="3370"/>
      <c r="E1" s="3370"/>
      <c r="F1" s="3370"/>
      <c r="G1" s="3370"/>
      <c r="H1" s="3370"/>
      <c r="I1" s="3370"/>
      <c r="J1" s="3370"/>
      <c r="K1" s="3370"/>
      <c r="L1" s="3370"/>
      <c r="M1" s="3370"/>
      <c r="N1" s="3370"/>
      <c r="O1" s="3370"/>
      <c r="P1" s="3370"/>
      <c r="Q1" s="572"/>
      <c r="R1" s="572"/>
      <c r="S1" s="572"/>
      <c r="T1" s="2143"/>
      <c r="U1" s="2144" t="s">
        <v>396</v>
      </c>
      <c r="V1" s="2145"/>
      <c r="W1" s="2145"/>
      <c r="X1" s="2145"/>
      <c r="Y1" s="2145"/>
      <c r="Z1" s="2145"/>
      <c r="AA1" s="2145"/>
      <c r="AB1" s="2254"/>
      <c r="AC1" s="2254"/>
      <c r="AD1" s="2145"/>
      <c r="AE1" s="2145"/>
      <c r="AF1" s="2145"/>
      <c r="AG1" s="2145"/>
      <c r="AH1" s="2145"/>
      <c r="AI1" s="572"/>
      <c r="AJ1" s="572"/>
    </row>
    <row r="2" spans="1:54" ht="13.5" customHeight="1">
      <c r="A2" s="572"/>
      <c r="B2" s="2731" t="str">
        <f>company</f>
        <v/>
      </c>
      <c r="C2" s="2147"/>
      <c r="D2" s="2147"/>
      <c r="E2" s="2147"/>
      <c r="F2" s="2147"/>
      <c r="G2" s="2147"/>
      <c r="H2" s="2147"/>
      <c r="I2" s="2147"/>
      <c r="J2" s="2147"/>
      <c r="K2" s="2147"/>
      <c r="L2" s="2147"/>
      <c r="M2" s="2147"/>
      <c r="N2" s="2147"/>
      <c r="O2" s="2147"/>
      <c r="P2" s="2732"/>
      <c r="Q2" s="572"/>
      <c r="R2" s="572"/>
      <c r="S2" s="572"/>
      <c r="T2" s="672"/>
      <c r="U2" s="672"/>
      <c r="V2" s="624"/>
      <c r="W2" s="624"/>
      <c r="X2" s="624"/>
      <c r="Y2" s="624"/>
      <c r="Z2" s="624"/>
      <c r="AA2" s="624"/>
      <c r="AB2" s="2255"/>
      <c r="AC2" s="2255"/>
      <c r="AD2" s="672"/>
      <c r="AE2" s="672"/>
      <c r="AF2" s="672"/>
      <c r="AG2" s="672"/>
      <c r="AH2" s="672"/>
      <c r="AI2" s="572"/>
      <c r="AJ2" s="572"/>
    </row>
    <row r="3" spans="1:54" ht="31.5" customHeight="1" thickBot="1">
      <c r="A3" s="572"/>
      <c r="B3" s="3377" t="s">
        <v>3203</v>
      </c>
      <c r="C3" s="3378"/>
      <c r="D3" s="3378"/>
      <c r="E3" s="3378"/>
      <c r="F3" s="3378"/>
      <c r="G3" s="3378"/>
      <c r="H3" s="3378"/>
      <c r="I3" s="3378"/>
      <c r="J3" s="3378"/>
      <c r="K3" s="3378"/>
      <c r="L3" s="2148"/>
      <c r="M3" s="2148"/>
      <c r="N3" s="2148"/>
      <c r="O3" s="2148"/>
      <c r="P3" s="2733"/>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54" ht="20.25" customHeight="1" thickBot="1">
      <c r="A4" s="572"/>
      <c r="B4" s="3377" t="s">
        <v>3766</v>
      </c>
      <c r="C4" s="3378"/>
      <c r="D4" s="3378"/>
      <c r="E4" s="3378"/>
      <c r="F4" s="3378"/>
      <c r="G4" s="3378"/>
      <c r="H4" s="3378"/>
      <c r="I4" s="3378"/>
      <c r="J4" s="3378"/>
      <c r="K4" s="3378"/>
      <c r="L4" s="2152"/>
      <c r="M4" s="2152"/>
      <c r="N4" s="2152"/>
      <c r="O4" s="2152"/>
      <c r="P4" s="2158"/>
      <c r="Q4" s="572"/>
      <c r="R4" s="572"/>
      <c r="S4" s="572"/>
      <c r="T4" s="1398"/>
      <c r="U4" s="3381" t="s">
        <v>3545</v>
      </c>
      <c r="V4" s="2150" t="s">
        <v>191</v>
      </c>
      <c r="W4" s="2150" t="s">
        <v>193</v>
      </c>
      <c r="X4" s="2256" t="s">
        <v>187</v>
      </c>
      <c r="Y4" s="2258" t="s">
        <v>169</v>
      </c>
      <c r="Z4" s="2149" t="s">
        <v>170</v>
      </c>
      <c r="AA4" s="2150" t="s">
        <v>171</v>
      </c>
      <c r="AB4" s="3383" t="s">
        <v>174</v>
      </c>
      <c r="AC4" s="3384"/>
      <c r="AD4" s="3384"/>
      <c r="AE4" s="3383" t="s">
        <v>175</v>
      </c>
      <c r="AF4" s="3384"/>
      <c r="AG4" s="3384"/>
      <c r="AH4" s="3385"/>
      <c r="AI4" s="572"/>
      <c r="AJ4" s="572"/>
    </row>
    <row r="5" spans="1:54" ht="51" customHeight="1">
      <c r="A5" s="572"/>
      <c r="B5" s="2153"/>
      <c r="C5" s="3371" t="s">
        <v>2090</v>
      </c>
      <c r="D5" s="3371"/>
      <c r="E5" s="3371"/>
      <c r="F5" s="3371"/>
      <c r="G5" s="3371"/>
      <c r="H5" s="3371"/>
      <c r="I5" s="3371"/>
      <c r="J5" s="3371"/>
      <c r="K5" s="3371"/>
      <c r="L5" s="3372"/>
      <c r="M5" s="3371"/>
      <c r="N5" s="3371"/>
      <c r="O5" s="3371"/>
      <c r="P5" s="3373"/>
      <c r="Q5" s="572"/>
      <c r="R5" s="572"/>
      <c r="S5" s="572"/>
      <c r="T5" s="2154"/>
      <c r="U5" s="3382"/>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54" ht="12.75" customHeight="1">
      <c r="A6" s="572"/>
      <c r="B6" s="2156"/>
      <c r="C6" s="2152"/>
      <c r="D6" s="2152"/>
      <c r="E6" s="2152"/>
      <c r="F6" s="2152"/>
      <c r="G6" s="2152"/>
      <c r="H6" s="2152"/>
      <c r="I6" s="2152"/>
      <c r="J6" s="2152"/>
      <c r="K6" s="2152"/>
      <c r="L6" s="2157"/>
      <c r="M6" s="3379"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54" ht="12.75" customHeight="1">
      <c r="A7" s="572"/>
      <c r="B7" s="2163"/>
      <c r="C7" s="2164"/>
      <c r="D7" s="2165" t="s">
        <v>158</v>
      </c>
      <c r="E7" s="2165" t="s">
        <v>2072</v>
      </c>
      <c r="F7" s="2165"/>
      <c r="G7" s="2165" t="s">
        <v>2073</v>
      </c>
      <c r="H7" s="2166" t="s">
        <v>158</v>
      </c>
      <c r="I7" s="2167" t="s">
        <v>159</v>
      </c>
      <c r="J7" s="2167"/>
      <c r="K7" s="2167"/>
      <c r="L7" s="2168"/>
      <c r="M7" s="3379"/>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54"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0"/>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c r="BA8" s="87" t="s">
        <v>3891</v>
      </c>
      <c r="BB8" s="87" t="s">
        <v>3892</v>
      </c>
    </row>
    <row r="9" spans="1:54" ht="14.4" thickTop="1">
      <c r="A9" s="572"/>
      <c r="B9" s="2181" t="s">
        <v>224</v>
      </c>
      <c r="C9" s="2182"/>
      <c r="D9" s="2720"/>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c r="BB9" s="2181" t="s">
        <v>224</v>
      </c>
    </row>
    <row r="10" spans="1:54">
      <c r="A10" s="572"/>
      <c r="B10" s="2188"/>
      <c r="C10" s="2189" t="str">
        <f>IF(ISNA(BB10), "", BB10)</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c r="BA10" s="2200" t="str">
        <f>IF(ISNA(BB10), '[1]Indoor Lighting'!$E$2&amp;", "&amp;'[1]Indoor Lighting'!$I$2, "")</f>
        <v/>
      </c>
      <c r="BB10" s="2189" t="str">
        <f>IF(OR('[1]Indoor Lighting'!$E$2="Incandescent",'[1]Indoor Lighting'!$E$2="Halogen"),VLOOKUP('[1]Indoor Lighting'!$E$2&amp;", "&amp;'[1]Indoor Lighting'!$I$2,[1]LightTrans!$A$2:$B$83,2,FALSE), "")</f>
        <v/>
      </c>
    </row>
    <row r="11" spans="1:54">
      <c r="A11" s="572"/>
      <c r="B11" s="2200"/>
      <c r="C11" s="2189" t="str">
        <f t="shared" ref="C11:C74" si="5">IF(ISNA(BB11), "", BB11)</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6">IF(C11="","",VLOOKUP(I11,sched1,3,FALSE))</f>
        <v/>
      </c>
      <c r="K11" s="2196" t="str">
        <f t="shared" ref="K11:K20" si="7">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c r="AY11" s="87" t="str">
        <f>CONCATENATE(BA10,BA11,BA12,BA13,BA14,BA15,BA16,BA17,BA18,BA19,BA20,BA21,BA22,BA23,BA24,BA25,BA26,BA27,BA28,BA29,BA30,BA31,BA32,BA33,BA34,BA35,BA36,BA37,BA38,BA39,BA40,BA41,BA42,BA43,BA44,BA45,BA46,BA47,BA48,BA49,BA50,BA51,BA52,BA53,BA54,BA55,BA56,BA57,BA58,BA59,BA60,BA61,BA62,BA63,BA64,BA65,BA66,BA67,BA68,BA69,BA70,BA71,BA72,BA73,BA74,BA75,BA76,BA77,BA78,BA79,BA80,BA81,BA82,BA83,BA84,BA85,BA86,BA87,BA88,BA89,BA90,BA91,BA92,BA93,BA94,BA95,BA96,BA97,BA98,BA99,BA100,BA101,BA102,BA103,BA104,BA105,BA106,BA107,BA108,BA109,BA110,BA111,BA112,BA113,BA114,BA115,BA116,BA117,BA118,BA119,BA120,BA121,BA122,BA123,BA124,BA125,BA126,BA127,BA128,BA129,BA130,BA131,BA132,BA133,BA134,BA135,BA136,BA137,BA138,BA139,BA140,BA141,BA142,BA143,BA144,BA145,BA146,BA147,BA148,BA149,BA150,BA151,BA152,BA153,BA154,BA155,BA156,BA157,BA158,BA159,BA160,BA161,BA162,BA163,BA164,BA165,BA166,BA167,BA168,BA169)</f>
        <v/>
      </c>
      <c r="BA11" s="2200" t="str">
        <f>IF(ISNA(BB11),  '[1]Indoor Lighting'!$E$3&amp;", "&amp;'[1]Indoor Lighting'!$I$3, "")</f>
        <v/>
      </c>
      <c r="BB11" s="2189" t="str">
        <f>IF(OR('[1]Indoor Lighting'!$E$3="Incandescent",'[1]Indoor Lighting'!$E$3="Halogen"),VLOOKUP('[1]Indoor Lighting'!$E$3&amp;", "&amp;'[1]Indoor Lighting'!$I$3,[1]LightTrans!$A$2:$B$83,2,FALSE), "")</f>
        <v/>
      </c>
    </row>
    <row r="12" spans="1:54">
      <c r="A12" s="572"/>
      <c r="B12" s="2200"/>
      <c r="C12" s="2189" t="str">
        <f t="shared" si="5"/>
        <v/>
      </c>
      <c r="D12" s="2190" t="str">
        <f>IF(C12="", "", IF(OR('[1]Indoor Lighting'!$E$4="Incandescent",'[1]Indoor Lighting'!$E$4="Halogen"), '[1]Indoor Lighting'!$L$4, ""))</f>
        <v/>
      </c>
      <c r="E12" s="2191"/>
      <c r="F12" s="2192"/>
      <c r="G12" s="2193" t="str">
        <f t="shared" ref="G12:G20" si="8">IF(C12="","",VLOOKUP(C12,lighting,7,FALSE))</f>
        <v/>
      </c>
      <c r="H12" s="2194" t="str">
        <f t="shared" ref="H12:H20" si="9">IF(C12="","",(G12*D12)/1000)</f>
        <v/>
      </c>
      <c r="I12" s="2219" t="str">
        <f>IF(C12="", "", IF(OR('[1]Indoor Lighting'!$E$4="Incandescent",'[1]Indoor Lighting'!$E$4="Halogen"), "A", ""))</f>
        <v/>
      </c>
      <c r="J12" s="2195" t="str">
        <f t="shared" si="6"/>
        <v/>
      </c>
      <c r="K12" s="2196" t="str">
        <f t="shared" si="7"/>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c r="BA12" s="2200" t="str">
        <f>IF(ISNA(BB12), '[1]Indoor Lighting'!$E$4&amp;", "&amp;'[1]Indoor Lighting'!$I$4, "")</f>
        <v/>
      </c>
      <c r="BB12" s="2189" t="str">
        <f>IF(OR('[1]Indoor Lighting'!$E$4="Incandescent",'[1]Indoor Lighting'!$E$4="Halogen"),VLOOKUP('[1]Indoor Lighting'!$E$4&amp;", "&amp;'[1]Indoor Lighting'!$I$4,[1]LightTrans!$A$2:$B$83,2,FALSE), "")</f>
        <v/>
      </c>
    </row>
    <row r="13" spans="1:54">
      <c r="A13" s="572"/>
      <c r="B13" s="2200"/>
      <c r="C13" s="2189" t="str">
        <f t="shared" si="5"/>
        <v/>
      </c>
      <c r="D13" s="2190" t="str">
        <f>IF(C13="","",IF(OR('[1]Indoor Lighting'!$E$5="Incandescent",'[1]Indoor Lighting'!$E$5="Halogen"),'[1]Indoor Lighting'!$L$5,""))</f>
        <v/>
      </c>
      <c r="E13" s="2191"/>
      <c r="F13" s="2192"/>
      <c r="G13" s="2193" t="str">
        <f t="shared" si="8"/>
        <v/>
      </c>
      <c r="H13" s="2194" t="str">
        <f t="shared" si="9"/>
        <v/>
      </c>
      <c r="I13" s="2219" t="str">
        <f>IF(C13="","",IF(OR('[1]Indoor Lighting'!$E$5="Incandescent",'[1]Indoor Lighting'!$E$5="Halogen"),"A",""))</f>
        <v/>
      </c>
      <c r="J13" s="2195" t="str">
        <f t="shared" si="6"/>
        <v/>
      </c>
      <c r="K13" s="2196" t="str">
        <f t="shared" si="7"/>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c r="BA13" s="2200" t="str">
        <f>IF(ISNA(BB13),'[1]Indoor Lighting'!$E$5&amp;", "&amp;'[1]Indoor Lighting'!$I$5, "")</f>
        <v/>
      </c>
      <c r="BB13" s="2189" t="str">
        <f>IF(OR('[1]Indoor Lighting'!$E$5="Incandescent",'[1]Indoor Lighting'!$E$5="Halogen"),VLOOKUP('[1]Indoor Lighting'!$E$5&amp;", "&amp;'[1]Indoor Lighting'!$I$5,[1]LightTrans!$A$2:$B$83,2,FALSE), "")</f>
        <v/>
      </c>
    </row>
    <row r="14" spans="1:54">
      <c r="A14" s="572"/>
      <c r="B14" s="2200"/>
      <c r="C14" s="2189" t="str">
        <f t="shared" si="5"/>
        <v/>
      </c>
      <c r="D14" s="2190" t="str">
        <f>IF(C14="","",IF(OR('[1]Indoor Lighting'!$E$6="Incandescent",'[1]Indoor Lighting'!$E$6="Halogen"),'[1]Indoor Lighting'!$L$6,""))</f>
        <v/>
      </c>
      <c r="E14" s="2191"/>
      <c r="F14" s="2192"/>
      <c r="G14" s="2193" t="str">
        <f t="shared" si="8"/>
        <v/>
      </c>
      <c r="H14" s="2194" t="str">
        <f t="shared" si="9"/>
        <v/>
      </c>
      <c r="I14" s="2219" t="str">
        <f>IF(C14="", "", IF(OR('[1]Indoor Lighting'!$E$6="Incandescent",'[1]Indoor Lighting'!$E$6="Halogen"), "A", ""))</f>
        <v/>
      </c>
      <c r="J14" s="2195" t="str">
        <f t="shared" si="6"/>
        <v/>
      </c>
      <c r="K14" s="2196" t="str">
        <f t="shared" si="7"/>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c r="BA14" s="2200" t="str">
        <f>IF(ISNA(BB14), '[1]Indoor Lighting'!$E$6&amp;", "&amp;'[1]Indoor Lighting'!$I$6, "")</f>
        <v/>
      </c>
      <c r="BB14" s="2189" t="str">
        <f>IF(OR('[1]Indoor Lighting'!$E$6="Incandescent",'[1]Indoor Lighting'!$E$6="Halogen"),VLOOKUP('[1]Indoor Lighting'!$E$6&amp;", "&amp;'[1]Indoor Lighting'!$I$6,[1]LightTrans!$A$2:$B$83,2,FALSE), "")</f>
        <v/>
      </c>
    </row>
    <row r="15" spans="1:54">
      <c r="A15" s="572"/>
      <c r="B15" s="2200"/>
      <c r="C15" s="2189" t="str">
        <f t="shared" si="5"/>
        <v/>
      </c>
      <c r="D15" s="2190" t="str">
        <f>IF(C15="", "", IF(OR('[1]Indoor Lighting'!$E$7="Incandescent",'[1]Indoor Lighting'!$E$7="Halogen"), '[1]Indoor Lighting'!$L$7, ""))</f>
        <v/>
      </c>
      <c r="E15" s="2191"/>
      <c r="F15" s="2192" t="s">
        <v>157</v>
      </c>
      <c r="G15" s="2193" t="str">
        <f t="shared" si="8"/>
        <v/>
      </c>
      <c r="H15" s="2194" t="str">
        <f t="shared" si="9"/>
        <v/>
      </c>
      <c r="I15" s="2219" t="str">
        <f>IF(C15="", "", IF(OR('[1]Indoor Lighting'!$E$7="Incandescent",'[1]Indoor Lighting'!$E$7="Halogen"), "A", ""))</f>
        <v/>
      </c>
      <c r="J15" s="2195" t="str">
        <f t="shared" si="6"/>
        <v/>
      </c>
      <c r="K15" s="2196" t="str">
        <f t="shared" si="7"/>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c r="BA15" s="2200" t="str">
        <f>IF(ISNA(BB15), '[1]Indoor Lighting'!$E$7&amp;", "&amp;'[1]Indoor Lighting'!$I$7, "")</f>
        <v/>
      </c>
      <c r="BB15" s="2189" t="str">
        <f>IF(OR('[1]Indoor Lighting'!$E$7="Incandescent",'[1]Indoor Lighting'!$E$7="Halogen"),VLOOKUP('[1]Indoor Lighting'!$E$7&amp;", "&amp;'[1]Indoor Lighting'!$I$7,[1]LightTrans!$A$2:$B$83,2,FALSE), "")</f>
        <v/>
      </c>
    </row>
    <row r="16" spans="1:54" ht="12" customHeight="1">
      <c r="A16" s="572"/>
      <c r="B16" s="2200"/>
      <c r="C16" s="2189" t="str">
        <f t="shared" si="5"/>
        <v/>
      </c>
      <c r="D16" s="2190" t="str">
        <f>IF(C16="", "", IF(OR('[1]Indoor Lighting'!$E$8="Incandescent",'[1]Indoor Lighting'!$E$8="Halogen"), '[1]Indoor Lighting'!$L$8, ""))</f>
        <v/>
      </c>
      <c r="E16" s="2191"/>
      <c r="F16" s="2192" t="s">
        <v>157</v>
      </c>
      <c r="G16" s="2193" t="str">
        <f t="shared" si="8"/>
        <v/>
      </c>
      <c r="H16" s="2194" t="str">
        <f t="shared" si="9"/>
        <v/>
      </c>
      <c r="I16" s="2219" t="str">
        <f>IF(C16="", "", IF(OR('[1]Indoor Lighting'!$E$8="Incandescent",'[1]Indoor Lighting'!$E$8="Halogen"), "A", ""))</f>
        <v/>
      </c>
      <c r="J16" s="2195" t="str">
        <f t="shared" si="6"/>
        <v/>
      </c>
      <c r="K16" s="2196" t="str">
        <f t="shared" si="7"/>
        <v/>
      </c>
      <c r="L16" s="2197" t="str">
        <f>IF(C16="", "", IF(OR('[1]Indoor Lighting'!$E$8="Incandescent",'[1]Indoor Lighting'!$E$8="Halogen"), '[1]Indoor Lighting'!$B$8, ""))</f>
        <v/>
      </c>
      <c r="M16" s="2198"/>
      <c r="N16" s="2198"/>
      <c r="O16" s="2198"/>
      <c r="P16" s="2199"/>
      <c r="Q16" s="572"/>
      <c r="R16" s="572"/>
      <c r="S16" s="572"/>
      <c r="BA16" s="2200" t="str">
        <f>IF(ISNA(BB16), '[1]Indoor Lighting'!$E$8&amp;", "&amp;'[1]Indoor Lighting'!$I$8, "")</f>
        <v/>
      </c>
      <c r="BB16" s="2189" t="str">
        <f>IF(OR('[1]Indoor Lighting'!$E$8="Incandescent",'[1]Indoor Lighting'!$E$8="Halogen"),VLOOKUP('[1]Indoor Lighting'!$E$8&amp;", "&amp;'[1]Indoor Lighting'!$I$8,[1]LightTrans!$A$2:$B$83,2,FALSE), "")</f>
        <v/>
      </c>
    </row>
    <row r="17" spans="1:54">
      <c r="A17" s="572"/>
      <c r="B17" s="2200"/>
      <c r="C17" s="2189" t="str">
        <f t="shared" si="5"/>
        <v/>
      </c>
      <c r="D17" s="2190" t="str">
        <f>IF(C17="", "", IF(OR('[1]Indoor Lighting'!$E$9="Incandescent",'[1]Indoor Lighting'!$E$9="Halogen"), '[1]Indoor Lighting'!$L$9, ""))</f>
        <v/>
      </c>
      <c r="E17" s="2191"/>
      <c r="F17" s="2192" t="s">
        <v>157</v>
      </c>
      <c r="G17" s="2193" t="str">
        <f t="shared" si="8"/>
        <v/>
      </c>
      <c r="H17" s="2194" t="str">
        <f t="shared" si="9"/>
        <v/>
      </c>
      <c r="I17" s="2219" t="str">
        <f>IF(C17="","",IF(OR('[1]Indoor Lighting'!$E$9="Incandescent",'[1]Indoor Lighting'!$E$9="Halogen"),"A",""))</f>
        <v/>
      </c>
      <c r="J17" s="2195" t="str">
        <f t="shared" si="6"/>
        <v/>
      </c>
      <c r="K17" s="2196" t="str">
        <f t="shared" si="7"/>
        <v/>
      </c>
      <c r="L17" s="2197" t="str">
        <f>IF(C17="","",IF(OR('[1]Indoor Lighting'!$E$9="Incandescent",'[1]Indoor Lighting'!$E$9="Halogen"),'[1]Indoor Lighting'!$B$9,""))</f>
        <v/>
      </c>
      <c r="M17" s="2198"/>
      <c r="N17" s="2198"/>
      <c r="O17" s="2198"/>
      <c r="P17" s="2199"/>
      <c r="Q17" s="572"/>
      <c r="R17" s="572"/>
      <c r="S17" s="572"/>
      <c r="AI17" s="169"/>
      <c r="AJ17" s="169"/>
      <c r="BA17" s="2200" t="str">
        <f>IF(ISNA(BB17), '[1]Indoor Lighting'!$E$9&amp;", "&amp;'[1]Indoor Lighting'!$I$9, "")</f>
        <v/>
      </c>
      <c r="BB17" s="2189" t="str">
        <f>IF(OR('[1]Indoor Lighting'!$E$9="Incandescent",'[1]Indoor Lighting'!$E$9="Halogen"),VLOOKUP('[1]Indoor Lighting'!$E$9&amp;", "&amp;'[1]Indoor Lighting'!$I$9,[1]LightTrans!$A$2:$B$83,2,FALSE), "")</f>
        <v/>
      </c>
    </row>
    <row r="18" spans="1:54">
      <c r="A18" s="572"/>
      <c r="B18" s="2200"/>
      <c r="C18" s="2189" t="str">
        <f t="shared" si="5"/>
        <v/>
      </c>
      <c r="D18" s="2190" t="str">
        <f>IF(C18="", "", IF(OR('[1]Indoor Lighting'!$E$10="Incandescent",'[1]Indoor Lighting'!$E$10="Halogen"), '[1]Indoor Lighting'!$L$10, ""))</f>
        <v/>
      </c>
      <c r="E18" s="2191"/>
      <c r="F18" s="2192" t="s">
        <v>157</v>
      </c>
      <c r="G18" s="2193" t="str">
        <f t="shared" si="8"/>
        <v/>
      </c>
      <c r="H18" s="2194" t="str">
        <f t="shared" si="9"/>
        <v/>
      </c>
      <c r="I18" s="2219" t="str">
        <f>IF(C18="", "", IF(OR('[1]Indoor Lighting'!$E$10="Incandescent",'[1]Indoor Lighting'!$E$10="Halogen"), "A", ""))</f>
        <v/>
      </c>
      <c r="J18" s="2195" t="str">
        <f t="shared" si="6"/>
        <v/>
      </c>
      <c r="K18" s="2196" t="str">
        <f t="shared" si="7"/>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c r="BA18" s="2200" t="str">
        <f>IF(ISNA(BB18), '[1]Indoor Lighting'!$E$10&amp;", "&amp;'[1]Indoor Lighting'!$I$10, "")</f>
        <v/>
      </c>
      <c r="BB18" s="2189" t="str">
        <f>IF(OR('[1]Indoor Lighting'!$E$10="Incandescent",'[1]Indoor Lighting'!$E$10="Halogen"),VLOOKUP('[1]Indoor Lighting'!$E$10&amp;", "&amp;'[1]Indoor Lighting'!$I$10,[1]LightTrans!$A$2:$B$83,2,FALSE), "")</f>
        <v/>
      </c>
    </row>
    <row r="19" spans="1:54">
      <c r="A19" s="572"/>
      <c r="B19" s="2188"/>
      <c r="C19" s="2189" t="str">
        <f t="shared" si="5"/>
        <v/>
      </c>
      <c r="D19" s="2190" t="str">
        <f>IF(C19="", "", IF(OR('[1]Indoor Lighting'!$E$11="Incandescent",'[1]Indoor Lighting'!$E$11="Halogen"), '[1]Indoor Lighting'!$L$11, ""))</f>
        <v/>
      </c>
      <c r="E19" s="2191"/>
      <c r="F19" s="2192"/>
      <c r="G19" s="2193" t="str">
        <f t="shared" si="8"/>
        <v/>
      </c>
      <c r="H19" s="2194" t="str">
        <f t="shared" si="9"/>
        <v/>
      </c>
      <c r="I19" s="2219" t="str">
        <f>IF(C19="", "", IF(OR('[1]Indoor Lighting'!$E$11="Incandescent",'[1]Indoor Lighting'!$E$11="Halogen"), "A", ""))</f>
        <v/>
      </c>
      <c r="J19" s="2195" t="str">
        <f t="shared" si="6"/>
        <v/>
      </c>
      <c r="K19" s="2196" t="str">
        <f t="shared" si="7"/>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c r="BA19" s="2200" t="str">
        <f>IF(ISNA(BB19), '[1]Indoor Lighting'!$E$11&amp;", "&amp;'[1]Indoor Lighting'!$I$11, "")</f>
        <v/>
      </c>
      <c r="BB19" s="2189" t="str">
        <f>IF(OR('[1]Indoor Lighting'!$E$11="Incandescent",'[1]Indoor Lighting'!$E$11="Halogen"),VLOOKUP('[1]Indoor Lighting'!$E$11&amp;", "&amp;'[1]Indoor Lighting'!$I$11,[1]LightTrans!$A$2:$B$83,2,FALSE), "")</f>
        <v/>
      </c>
    </row>
    <row r="20" spans="1:54">
      <c r="A20" s="572"/>
      <c r="B20" s="2200"/>
      <c r="C20" s="2189" t="str">
        <f t="shared" si="5"/>
        <v/>
      </c>
      <c r="D20" s="2190" t="str">
        <f>IF(C20="", "", IF(OR('[1]Indoor Lighting'!$E$12="Incandescent",'[1]Indoor Lighting'!$E$12="Halogen"), '[1]Indoor Lighting'!$L$12, ""))</f>
        <v/>
      </c>
      <c r="E20" s="2191"/>
      <c r="F20" s="2192"/>
      <c r="G20" s="2193" t="str">
        <f t="shared" si="8"/>
        <v/>
      </c>
      <c r="H20" s="2194" t="str">
        <f t="shared" si="9"/>
        <v/>
      </c>
      <c r="I20" s="2219" t="str">
        <f>IF(C20="", "", IF(OR('[1]Indoor Lighting'!$E$12="Incandescent",'[1]Indoor Lighting'!$E$12="Halogen"), "A", ""))</f>
        <v/>
      </c>
      <c r="J20" s="2195" t="str">
        <f t="shared" si="6"/>
        <v/>
      </c>
      <c r="K20" s="2196" t="str">
        <f t="shared" si="7"/>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c r="BA20" s="2200" t="str">
        <f>IF(ISNA(BB20), '[1]Indoor Lighting'!$E$12&amp;", "&amp;'[1]Indoor Lighting'!$I$12, "")</f>
        <v/>
      </c>
      <c r="BB20" s="2189" t="str">
        <f>IF(OR('[1]Indoor Lighting'!$E$12="Incandescent",'[1]Indoor Lighting'!$E$12="Halogen"),VLOOKUP('[1]Indoor Lighting'!$E$12&amp;", "&amp;'[1]Indoor Lighting'!$I$12,[1]LightTrans!$A$2:$B$83,2,FALSE), "")</f>
        <v/>
      </c>
    </row>
    <row r="21" spans="1:54">
      <c r="A21" s="572"/>
      <c r="B21" s="2200"/>
      <c r="C21" s="2189" t="str">
        <f t="shared" si="5"/>
        <v/>
      </c>
      <c r="D21" s="2190" t="str">
        <f>IF(C21="", "", IF(OR('[1]Indoor Lighting'!$E$13="Incandescent",'[1]Indoor Lighting'!$E$13="Halogen"), '[1]Indoor Lighting'!$L$13, ""))</f>
        <v/>
      </c>
      <c r="E21" s="2191"/>
      <c r="F21" s="2192"/>
      <c r="G21" s="2193" t="str">
        <f t="shared" ref="G21:G33" si="10">IF(C21="","",VLOOKUP(C21,lighting,7,FALSE))</f>
        <v/>
      </c>
      <c r="H21" s="2194" t="str">
        <f t="shared" ref="H21:H33" si="11">IF(C21="","",(G21*D21)/1000)</f>
        <v/>
      </c>
      <c r="I21" s="2219" t="str">
        <f>IF(C21="", "", IF(OR('[1]Indoor Lighting'!$E$13="Incandescent",'[1]Indoor Lighting'!$E$13="Halogen"), "A", ""))</f>
        <v/>
      </c>
      <c r="J21" s="2195" t="str">
        <f t="shared" ref="J21:J33" si="12">IF(C21="","",VLOOKUP(I21,sched1,3,FALSE))</f>
        <v/>
      </c>
      <c r="K21" s="2196" t="str">
        <f t="shared" ref="K21:K33" si="13">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c r="BA21" s="2200" t="str">
        <f>IF(ISNA(BB21), '[1]Indoor Lighting'!$E$13&amp;", "&amp;'[1]Indoor Lighting'!$I$13, "")</f>
        <v/>
      </c>
      <c r="BB21" s="2189" t="str">
        <f>IF(OR('[1]Indoor Lighting'!$E$13="Incandescent",'[1]Indoor Lighting'!$E$13="Halogen"),VLOOKUP('[1]Indoor Lighting'!$E$13&amp;", "&amp;'[1]Indoor Lighting'!$I$13,[1]LightTrans!$A$2:$B$83,2,FALSE), "")</f>
        <v/>
      </c>
    </row>
    <row r="22" spans="1:54">
      <c r="A22" s="572"/>
      <c r="B22" s="2200"/>
      <c r="C22" s="2189" t="str">
        <f t="shared" si="5"/>
        <v/>
      </c>
      <c r="D22" s="2190" t="str">
        <f>IF(C22="", "", IF(OR('[1]Indoor Lighting'!$E$14="Incandescent",'[1]Indoor Lighting'!$E$14="Halogen"), '[1]Indoor Lighting'!$L$14, ""))</f>
        <v/>
      </c>
      <c r="E22" s="2191"/>
      <c r="F22" s="2192"/>
      <c r="G22" s="2193" t="str">
        <f t="shared" si="10"/>
        <v/>
      </c>
      <c r="H22" s="2194" t="str">
        <f t="shared" si="11"/>
        <v/>
      </c>
      <c r="I22" s="2219" t="str">
        <f>IF(C22="", "", IF(OR('[1]Indoor Lighting'!$E$14="Incandescent",'[1]Indoor Lighting'!$E$14="Halogen"), "A", ""))</f>
        <v/>
      </c>
      <c r="J22" s="2195" t="str">
        <f t="shared" si="12"/>
        <v/>
      </c>
      <c r="K22" s="2196" t="str">
        <f t="shared" si="13"/>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c r="BA22" s="2200" t="str">
        <f>IF(ISNA(BB22),'[1]Indoor Lighting'!$E$14&amp;", "&amp;'[1]Indoor Lighting'!$I$14,"")</f>
        <v/>
      </c>
      <c r="BB22" s="2189" t="str">
        <f>IF(OR('[1]Indoor Lighting'!$E$14="Incandescent",'[1]Indoor Lighting'!$E$14="Halogen"),VLOOKUP('[1]Indoor Lighting'!$E$14&amp;", "&amp;'[1]Indoor Lighting'!$I$14,[1]LightTrans!$A$2:$B$83,2,FALSE), "")</f>
        <v/>
      </c>
    </row>
    <row r="23" spans="1:54">
      <c r="A23" s="572"/>
      <c r="B23" s="2200"/>
      <c r="C23" s="2189" t="str">
        <f t="shared" si="5"/>
        <v/>
      </c>
      <c r="D23" s="2190" t="str">
        <f>IF(C23="", "", IF(OR('[1]Indoor Lighting'!$E$15="Incandescent",'[1]Indoor Lighting'!$E$15="Halogen"), '[1]Indoor Lighting'!$L$15, ""))</f>
        <v/>
      </c>
      <c r="E23" s="2191"/>
      <c r="F23" s="2192"/>
      <c r="G23" s="2193" t="str">
        <f t="shared" ref="G23" si="14">IF(C23="","",VLOOKUP(C23,lighting,7,FALSE))</f>
        <v/>
      </c>
      <c r="H23" s="2194" t="str">
        <f t="shared" ref="H23" si="15">IF(C23="","",(G23*D23)/1000)</f>
        <v/>
      </c>
      <c r="I23" s="2219" t="str">
        <f>IF(C23="", "", IF(OR('[1]Indoor Lighting'!$E$15="Incandescent",'[1]Indoor Lighting'!$E$15="Halogen"), "A", ""))</f>
        <v/>
      </c>
      <c r="J23" s="2195" t="str">
        <f t="shared" ref="J23" si="16">IF(C23="","",VLOOKUP(I23,sched1,3,FALSE))</f>
        <v/>
      </c>
      <c r="K23" s="2196" t="str">
        <f t="shared" ref="K23" si="17">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c r="BA23" s="2200" t="str">
        <f>IF(ISNA(BB23), '[1]Indoor Lighting'!$E$15&amp;", "&amp;'[1]Indoor Lighting'!$I$15, "")</f>
        <v/>
      </c>
      <c r="BB23" s="2189" t="str">
        <f>IF(OR('[1]Indoor Lighting'!$E$15="Incandescent",'[1]Indoor Lighting'!$E$15="Halogen"),VLOOKUP('[1]Indoor Lighting'!$E$15&amp;", "&amp;'[1]Indoor Lighting'!$I$15,[1]LightTrans!$A$2:$B$83,2,FALSE), "")</f>
        <v/>
      </c>
    </row>
    <row r="24" spans="1:54">
      <c r="A24" s="572"/>
      <c r="B24" s="2200"/>
      <c r="C24" s="2189" t="str">
        <f t="shared" si="5"/>
        <v/>
      </c>
      <c r="D24" s="2190" t="str">
        <f>IF(C24="", "", IF(OR('[1]Outdoor Lighting'!$D$2="Incandescent",'[1]Outdoor Lighting'!$D$2="Halogen"), '[1]Outdoor Lighting'!$J$2, ""))</f>
        <v/>
      </c>
      <c r="E24" s="2191"/>
      <c r="F24" s="2192"/>
      <c r="G24" s="2193" t="str">
        <f t="shared" si="10"/>
        <v/>
      </c>
      <c r="H24" s="2194" t="str">
        <f t="shared" si="11"/>
        <v/>
      </c>
      <c r="I24" s="2219" t="str">
        <f>IF(C24="", "", IF(OR('[1]Outdoor Lighting'!$D$2="Incandescent",'[1]Outdoor Lighting'!$D$2="Halogen"), "I", ""))</f>
        <v/>
      </c>
      <c r="J24" s="2195" t="str">
        <f t="shared" si="12"/>
        <v/>
      </c>
      <c r="K24" s="2196" t="str">
        <f t="shared" si="13"/>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c r="BA24" s="2200" t="str">
        <f>IF(ISNA(BB24), '[1]Outdoor Lighting'!$D$2&amp;", "&amp;'[1]Outdoor Lighting'!$H$2, "")</f>
        <v/>
      </c>
      <c r="BB24" s="2189" t="str">
        <f>IF(OR('[1]Outdoor Lighting'!$D$2="Incandescent",'[1]Outdoor Lighting'!$D$2="Halogen"),VLOOKUP('[1]Outdoor Lighting'!$D$2&amp;", "&amp;'[1]Outdoor Lighting'!$H$2,[1]LightTrans!$A$2:$B$83,2,FALSE), "")</f>
        <v/>
      </c>
    </row>
    <row r="25" spans="1:54">
      <c r="A25" s="572"/>
      <c r="B25" s="2200"/>
      <c r="C25" s="2189" t="str">
        <f t="shared" si="5"/>
        <v/>
      </c>
      <c r="D25" s="2190" t="str">
        <f>IF(C25="", "", IF(OR('[1]Outdoor Lighting'!$D$3="Incandescent",'[1]Outdoor Lighting'!$D$3="Halogen"), '[1]Outdoor Lighting'!$J$3, ""))</f>
        <v/>
      </c>
      <c r="E25" s="2191"/>
      <c r="F25" s="2192"/>
      <c r="G25" s="2193" t="str">
        <f t="shared" si="10"/>
        <v/>
      </c>
      <c r="H25" s="2194" t="str">
        <f t="shared" si="11"/>
        <v/>
      </c>
      <c r="I25" s="2219" t="str">
        <f>IF(C25="", "", IF(OR('[1]Outdoor Lighting'!$D$3="Incandescent",'[1]Outdoor Lighting'!$D$3="Halogen"), "I", ""))</f>
        <v/>
      </c>
      <c r="J25" s="2195" t="str">
        <f t="shared" si="12"/>
        <v/>
      </c>
      <c r="K25" s="2196" t="str">
        <f t="shared" si="13"/>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c r="BA25" s="2200" t="str">
        <f>IF(ISNA(BB25), '[1]Outdoor Lighting'!$D$3&amp;", "&amp;'[1]Outdoor Lighting'!$H$3, "")</f>
        <v/>
      </c>
      <c r="BB25" s="2189" t="str">
        <f>IF(OR('[1]Outdoor Lighting'!$D$3="Incandescent",'[1]Outdoor Lighting'!$D$3="Halogen"),VLOOKUP('[1]Outdoor Lighting'!$D$3&amp;", "&amp;'[1]Outdoor Lighting'!$H$3,[1]LightTrans!$A$2:$B$83,2,FALSE), "")</f>
        <v/>
      </c>
    </row>
    <row r="26" spans="1:54">
      <c r="A26" s="572"/>
      <c r="B26" s="2200"/>
      <c r="C26" s="2189" t="str">
        <f t="shared" si="5"/>
        <v/>
      </c>
      <c r="D26" s="2190" t="str">
        <f>IF(C26="", "", IF(OR('[1]Outdoor Lighting'!$D$4="Incandescent",'[1]Outdoor Lighting'!$D$4="Halogen"), '[1]Outdoor Lighting'!$J$4, ""))</f>
        <v/>
      </c>
      <c r="E26" s="2191"/>
      <c r="F26" s="2192"/>
      <c r="G26" s="2193" t="str">
        <f t="shared" si="10"/>
        <v/>
      </c>
      <c r="H26" s="2194" t="str">
        <f t="shared" si="11"/>
        <v/>
      </c>
      <c r="I26" s="2219" t="str">
        <f>IF(C26="", "", IF(OR('[1]Outdoor Lighting'!$D$4="Incandescent",'[1]Outdoor Lighting'!$D$4="Halogen"), "I", ""))</f>
        <v/>
      </c>
      <c r="J26" s="2195" t="str">
        <f t="shared" si="12"/>
        <v/>
      </c>
      <c r="K26" s="2196" t="str">
        <f t="shared" si="13"/>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c r="BA26" s="2200" t="str">
        <f>IF(ISNA(BB26), '[1]Outdoor Lighting'!$D$4&amp;", "&amp;'[1]Outdoor Lighting'!$H$4, "")</f>
        <v/>
      </c>
      <c r="BB26" s="2189" t="str">
        <f>IF(OR('[1]Outdoor Lighting'!$D$4="Incandescent",'[1]Outdoor Lighting'!$D$4="Halogen"),VLOOKUP('[1]Outdoor Lighting'!$D$4&amp;", "&amp;'[1]Outdoor Lighting'!$H$4,[1]LightTrans!$A$2:$B$83,2,FALSE), "")</f>
        <v/>
      </c>
    </row>
    <row r="27" spans="1:54">
      <c r="A27" s="572"/>
      <c r="B27" s="2200"/>
      <c r="C27" s="2189" t="str">
        <f t="shared" si="5"/>
        <v/>
      </c>
      <c r="D27" s="2190" t="str">
        <f>IF(C27="", "", IF(OR('[1]Outdoor Lighting'!$D$5="Incandescent",'[1]Outdoor Lighting'!$D$5="Halogen"), '[1]Outdoor Lighting'!$J$5, ""))</f>
        <v/>
      </c>
      <c r="E27" s="2191"/>
      <c r="F27" s="2192"/>
      <c r="G27" s="2193" t="str">
        <f t="shared" si="10"/>
        <v/>
      </c>
      <c r="H27" s="2194" t="str">
        <f t="shared" si="11"/>
        <v/>
      </c>
      <c r="I27" s="2219" t="str">
        <f>IF(C27="", "", IF(OR('[1]Outdoor Lighting'!$D$5="Incandescent",'[1]Outdoor Lighting'!$D$5="Halogen"), "I", ""))</f>
        <v/>
      </c>
      <c r="J27" s="2195" t="str">
        <f t="shared" si="12"/>
        <v/>
      </c>
      <c r="K27" s="2196" t="str">
        <f t="shared" si="13"/>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c r="BA27" s="2200" t="str">
        <f>IF(ISNA(BB27), '[1]Outdoor Lighting'!$D$5&amp;", "&amp;'[1]Outdoor Lighting'!$H$5, "")</f>
        <v/>
      </c>
      <c r="BB27" s="2189" t="str">
        <f>IF(OR('[1]Outdoor Lighting'!$D$5="Incandescent",'[1]Outdoor Lighting'!$D$5="Halogen"),VLOOKUP('[1]Outdoor Lighting'!$D$5&amp;", "&amp;'[1]Outdoor Lighting'!$H$5,[1]LightTrans!$A$2:$B$83,2,FALSE), "")</f>
        <v/>
      </c>
    </row>
    <row r="28" spans="1:54">
      <c r="A28" s="572"/>
      <c r="B28" s="2200"/>
      <c r="C28" s="2189" t="str">
        <f t="shared" si="5"/>
        <v/>
      </c>
      <c r="D28" s="2190" t="str">
        <f>IF(C28="", "", IF(OR('[1]Outdoor Lighting'!$D$6="Incandescent",'[1]Outdoor Lighting'!$D$6="Halogen"), '[1]Outdoor Lighting'!$J$6, ""))</f>
        <v/>
      </c>
      <c r="E28" s="2191"/>
      <c r="F28" s="2192"/>
      <c r="G28" s="2193" t="str">
        <f t="shared" si="10"/>
        <v/>
      </c>
      <c r="H28" s="2194" t="str">
        <f t="shared" si="11"/>
        <v/>
      </c>
      <c r="I28" s="2219" t="str">
        <f>IF(C28="", "", IF(OR('[1]Outdoor Lighting'!$D$6="Incandescent",'[1]Outdoor Lighting'!$D$6="Halogen"), "I", ""))</f>
        <v/>
      </c>
      <c r="J28" s="2195" t="str">
        <f t="shared" si="12"/>
        <v/>
      </c>
      <c r="K28" s="2196" t="str">
        <f t="shared" si="13"/>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c r="BA28" s="2200" t="str">
        <f>IF(ISNA(BB28), '[1]Outdoor Lighting'!$D$6&amp;", "&amp;'[1]Outdoor Lighting'!$H$6, "")</f>
        <v/>
      </c>
      <c r="BB28" s="2189" t="str">
        <f>IF(OR('[1]Outdoor Lighting'!$D$6="Incandescent",'[1]Outdoor Lighting'!$D$6="Halogen"),VLOOKUP('[1]Outdoor Lighting'!$D$6&amp;", "&amp;'[1]Outdoor Lighting'!$H$6,[1]LightTrans!$A$2:$B$83,2,FALSE), "")</f>
        <v/>
      </c>
    </row>
    <row r="29" spans="1:54">
      <c r="A29" s="572"/>
      <c r="B29" s="2200"/>
      <c r="C29" s="2189" t="str">
        <f t="shared" si="5"/>
        <v/>
      </c>
      <c r="D29" s="2190" t="str">
        <f>IF(C29="", "", IF(OR('[1]Outdoor Lighting'!$D$7="Incandescent",'[1]Outdoor Lighting'!$D$7="Halogen"), '[1]Outdoor Lighting'!$J$7, ""))</f>
        <v/>
      </c>
      <c r="E29" s="2191"/>
      <c r="F29" s="2192"/>
      <c r="G29" s="2193" t="str">
        <f t="shared" si="10"/>
        <v/>
      </c>
      <c r="H29" s="2194" t="str">
        <f t="shared" si="11"/>
        <v/>
      </c>
      <c r="I29" s="2219" t="str">
        <f>IF(C29="", "", IF(OR('[1]Outdoor Lighting'!$D$7="Incandescent",'[1]Outdoor Lighting'!$D$7="Halogen"), "I", ""))</f>
        <v/>
      </c>
      <c r="J29" s="2195" t="str">
        <f t="shared" si="12"/>
        <v/>
      </c>
      <c r="K29" s="2196" t="str">
        <f t="shared" si="13"/>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c r="BA29" s="2200" t="str">
        <f>IF(ISNA(BB29), '[1]Outdoor Lighting'!$D$7&amp;", "&amp;'[1]Outdoor Lighting'!$H$7, "")</f>
        <v/>
      </c>
      <c r="BB29" s="2189" t="str">
        <f>IF(OR('[1]Outdoor Lighting'!$D$7="Incandescent",'[1]Outdoor Lighting'!$D$7="Halogen"),VLOOKUP('[1]Outdoor Lighting'!$D$7&amp;", "&amp;'[1]Outdoor Lighting'!$H$7,[1]LightTrans!$A$2:$B$83,2,FALSE), "")</f>
        <v/>
      </c>
    </row>
    <row r="30" spans="1:54">
      <c r="A30" s="572"/>
      <c r="B30" s="2200"/>
      <c r="C30" s="2189" t="str">
        <f t="shared" si="5"/>
        <v/>
      </c>
      <c r="D30" s="2190" t="str">
        <f>IF(C30="", "", IF(OR('[1]Outdoor Lighting'!$D$8="Incandescent",'[1]Outdoor Lighting'!$D$8="Halogen"), '[1]Outdoor Lighting'!$J$8, ""))</f>
        <v/>
      </c>
      <c r="E30" s="2191"/>
      <c r="F30" s="2192"/>
      <c r="G30" s="2193" t="str">
        <f t="shared" si="10"/>
        <v/>
      </c>
      <c r="H30" s="2194" t="str">
        <f t="shared" si="11"/>
        <v/>
      </c>
      <c r="I30" s="2219" t="str">
        <f>IF(C30="", "", IF(OR('[1]Outdoor Lighting'!$D$8="Incandescent",'[1]Outdoor Lighting'!$D$8="Halogen"), "I", ""))</f>
        <v/>
      </c>
      <c r="J30" s="2195" t="str">
        <f t="shared" si="12"/>
        <v/>
      </c>
      <c r="K30" s="2196" t="str">
        <f t="shared" si="13"/>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c r="BA30" s="2200" t="str">
        <f>IF(ISNA(BB30), '[1]Outdoor Lighting'!$D$8&amp;", "&amp;'[1]Outdoor Lighting'!$H$8, "")</f>
        <v/>
      </c>
      <c r="BB30" s="2189" t="str">
        <f>IF(OR('[1]Outdoor Lighting'!$D$8="Incandescent",'[1]Outdoor Lighting'!$D$8="Halogen"),VLOOKUP('[1]Outdoor Lighting'!$D$8&amp;", "&amp;'[1]Outdoor Lighting'!$H$8,[1]LightTrans!$A$2:$B$83,2,FALSE), "")</f>
        <v/>
      </c>
    </row>
    <row r="31" spans="1:54">
      <c r="A31" s="572"/>
      <c r="B31" s="2200"/>
      <c r="C31" s="2189" t="str">
        <f t="shared" si="5"/>
        <v/>
      </c>
      <c r="D31" s="2190" t="str">
        <f>IF(C31="", "", IF(OR('[1]Outdoor Lighting'!$D$9="Incandescent",'[1]Outdoor Lighting'!$D$9="Halogen"), '[1]Outdoor Lighting'!$J$9, ""))</f>
        <v/>
      </c>
      <c r="E31" s="2191"/>
      <c r="F31" s="2192"/>
      <c r="G31" s="2193" t="str">
        <f t="shared" si="10"/>
        <v/>
      </c>
      <c r="H31" s="2194" t="str">
        <f t="shared" si="11"/>
        <v/>
      </c>
      <c r="I31" s="2219" t="str">
        <f>IF(C31="", "", IF(OR('[1]Outdoor Lighting'!$D$9="Incandescent",'[1]Outdoor Lighting'!$D$9="Halogen"), "I", ""))</f>
        <v/>
      </c>
      <c r="J31" s="2195" t="str">
        <f t="shared" si="12"/>
        <v/>
      </c>
      <c r="K31" s="2196" t="str">
        <f t="shared" si="13"/>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c r="BA31" s="2200" t="str">
        <f>IF(ISNA(BB31), '[1]Outdoor Lighting'!$D$9&amp;", "&amp;'[1]Outdoor Lighting'!$H$9, "")</f>
        <v/>
      </c>
      <c r="BB31" s="2189" t="str">
        <f>IF(OR('[1]Outdoor Lighting'!$D$9="Incandescent",'[1]Outdoor Lighting'!$D$9="Halogen"),VLOOKUP('[1]Outdoor Lighting'!$D$9&amp;", "&amp;'[1]Outdoor Lighting'!$H$9,[1]LightTrans!$A$2:$B$83,2,FALSE), "")</f>
        <v/>
      </c>
    </row>
    <row r="32" spans="1:54" ht="14.4" customHeight="1">
      <c r="A32" s="572"/>
      <c r="B32" s="2200"/>
      <c r="C32" s="2189" t="str">
        <f t="shared" si="5"/>
        <v/>
      </c>
      <c r="D32" s="2190" t="str">
        <f>IF(C32="", "", IF(OR('[1]Outdoor Lighting'!$D$10="Incandescent",'[1]Outdoor Lighting'!$D$10="Halogen"), '[1]Outdoor Lighting'!$J$10, ""))</f>
        <v/>
      </c>
      <c r="E32" s="2191"/>
      <c r="F32" s="2192"/>
      <c r="G32" s="2193" t="str">
        <f t="shared" si="10"/>
        <v/>
      </c>
      <c r="H32" s="2194" t="str">
        <f t="shared" si="11"/>
        <v/>
      </c>
      <c r="I32" s="2219" t="str">
        <f>IF(C32="", "", IF(OR('[1]Outdoor Lighting'!$D$10="Incandescent",'[1]Outdoor Lighting'!$D$10="Halogen"), "I", ""))</f>
        <v/>
      </c>
      <c r="J32" s="2195" t="str">
        <f t="shared" si="12"/>
        <v/>
      </c>
      <c r="K32" s="2196" t="str">
        <f t="shared" si="13"/>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c r="BA32" s="2200" t="str">
        <f>IF(ISNA(BB32), '[1]Outdoor Lighting'!$D$10&amp;", "&amp;'[1]Outdoor Lighting'!$H$10, "")</f>
        <v/>
      </c>
      <c r="BB32" s="2189" t="str">
        <f>IF(OR('[1]Outdoor Lighting'!$D$10="Incandescent",'[1]Outdoor Lighting'!$D$10="Halogen"),VLOOKUP('[1]Outdoor Lighting'!$D$10&amp;", "&amp;'[1]Outdoor Lighting'!$H$10,[1]LightTrans!$A$2:$B$83,2,FALSE), "")</f>
        <v/>
      </c>
    </row>
    <row r="33" spans="1:54">
      <c r="A33" s="572"/>
      <c r="B33" s="2200"/>
      <c r="C33" s="2189" t="str">
        <f t="shared" si="5"/>
        <v/>
      </c>
      <c r="D33" s="2190" t="str">
        <f>IF(C33="", "", IF(OR('[1]Outdoor Lighting'!$D$11="Incandescent",'[1]Outdoor Lighting'!$D$11="Halogen"), '[1]Outdoor Lighting'!$J$11, ""))</f>
        <v/>
      </c>
      <c r="E33" s="2191"/>
      <c r="F33" s="2192"/>
      <c r="G33" s="2193" t="str">
        <f t="shared" si="10"/>
        <v/>
      </c>
      <c r="H33" s="2194" t="str">
        <f t="shared" si="11"/>
        <v/>
      </c>
      <c r="I33" s="2219" t="str">
        <f>IF(C33="", "", IF(OR('[1]Outdoor Lighting'!$D$11="Incandescent",'[1]Outdoor Lighting'!$D$11="Halogen"), "I", ""))</f>
        <v/>
      </c>
      <c r="J33" s="2195" t="str">
        <f t="shared" si="12"/>
        <v/>
      </c>
      <c r="K33" s="2196" t="str">
        <f t="shared" si="13"/>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c r="BA33" s="2200" t="str">
        <f>IF(ISNA(BB33), '[1]Outdoor Lighting'!$D$11&amp;", "&amp;'[1]Outdoor Lighting'!$H$11, "")</f>
        <v/>
      </c>
      <c r="BB33" s="2189" t="str">
        <f>IF(OR('[1]Outdoor Lighting'!$D$11="Incandescent",'[1]Outdoor Lighting'!$D$11="Halogen"),VLOOKUP('[1]Outdoor Lighting'!$D$11&amp;", "&amp;'[1]Outdoor Lighting'!$H$11,[1]LightTrans!$A$2:$B$83,2,FALSE), "")</f>
        <v/>
      </c>
    </row>
    <row r="34" spans="1:54">
      <c r="A34" s="572"/>
      <c r="B34" s="2181" t="s">
        <v>226</v>
      </c>
      <c r="C34" s="2182"/>
      <c r="D34" s="2227"/>
      <c r="E34" s="2207"/>
      <c r="F34" s="2208"/>
      <c r="G34" s="2209"/>
      <c r="H34" s="2210"/>
      <c r="I34" s="2186"/>
      <c r="J34" s="2211"/>
      <c r="K34" s="2212"/>
      <c r="L34" s="2213"/>
      <c r="M34" s="2214"/>
      <c r="N34" s="2214"/>
      <c r="O34" s="2214"/>
      <c r="P34" s="2215"/>
      <c r="Q34" s="572"/>
      <c r="R34" s="572"/>
      <c r="S34" s="572"/>
      <c r="AJ34" s="87"/>
      <c r="AK34" s="87"/>
      <c r="BB34" s="2181" t="s">
        <v>226</v>
      </c>
    </row>
    <row r="35" spans="1:54">
      <c r="A35" s="572"/>
      <c r="B35" s="2200"/>
      <c r="C35" s="2189" t="str">
        <f t="shared" si="5"/>
        <v/>
      </c>
      <c r="D35" s="2189" t="str">
        <f>IF(C35="", "", IF('[1]Indoor Lighting'!$E$2="CFL",  '[1]Indoor Lighting'!$L$2, ""))</f>
        <v/>
      </c>
      <c r="E35" s="2191"/>
      <c r="F35" s="2192"/>
      <c r="G35" s="2193" t="str">
        <f t="shared" ref="G35:G41" si="18">IF(C35="","",VLOOKUP(C35,lighting,7,FALSE))</f>
        <v/>
      </c>
      <c r="H35" s="2194" t="str">
        <f t="shared" ref="H35:H41" si="19">IF(C35="","",(G35*D35)/1000)</f>
        <v/>
      </c>
      <c r="I35" s="2189" t="str">
        <f>IF(C35="", "", IF('[1]Indoor Lighting'!$E$2="CFL",  "A", ""))</f>
        <v/>
      </c>
      <c r="J35" s="2195" t="str">
        <f t="shared" ref="J35:J41" si="20">IF(C35="","",VLOOKUP(I35,sched1,3,FALSE))</f>
        <v/>
      </c>
      <c r="K35" s="2196" t="str">
        <f t="shared" ref="K35:K41" si="21">IF(C35="","",J35*H35)</f>
        <v/>
      </c>
      <c r="L35" s="2189" t="str">
        <f>IF(C35="", "", IF('[1]Indoor Lighting'!$E$2="CFL",  '[1]Indoor Lighting'!$B$2, ""))</f>
        <v/>
      </c>
      <c r="M35" s="2198"/>
      <c r="N35" s="2198"/>
      <c r="O35" s="2198"/>
      <c r="P35" s="2199"/>
      <c r="Q35" s="572"/>
      <c r="R35" s="572"/>
      <c r="S35" s="572"/>
      <c r="AJ35" s="87"/>
      <c r="AK35" s="87"/>
      <c r="BA35" s="2200" t="str">
        <f>IF(ISNA(BB35), '[1]Indoor Lighting'!$E$2&amp;", "&amp;'[1]Indoor Lighting'!$I$2, "")</f>
        <v/>
      </c>
      <c r="BB35" s="2189" t="str">
        <f>IF('[1]Indoor Lighting'!$E$2="CFL", VLOOKUP('[1]Indoor Lighting'!$E$2&amp;", "&amp;'[1]Indoor Lighting'!$I$2, [1]LightTrans!$A$2:$B$83, 2, FALSE), "")</f>
        <v/>
      </c>
    </row>
    <row r="36" spans="1:54">
      <c r="A36" s="572"/>
      <c r="B36" s="2200"/>
      <c r="C36" s="2189" t="str">
        <f t="shared" si="5"/>
        <v/>
      </c>
      <c r="D36" s="2189" t="str">
        <f>IF(C36="", "", IF('[1]Indoor Lighting'!$E$3="CFL",  '[1]Indoor Lighting'!$L$3, ""))</f>
        <v/>
      </c>
      <c r="E36" s="2191"/>
      <c r="F36" s="2192"/>
      <c r="G36" s="2193" t="str">
        <f t="shared" si="18"/>
        <v/>
      </c>
      <c r="H36" s="2194" t="str">
        <f t="shared" si="19"/>
        <v/>
      </c>
      <c r="I36" s="2189" t="str">
        <f>IF(C36="", "", IF('[1]Indoor Lighting'!$E$3="CFL",  "A", ""))</f>
        <v/>
      </c>
      <c r="J36" s="2195" t="str">
        <f t="shared" si="20"/>
        <v/>
      </c>
      <c r="K36" s="2196" t="str">
        <f t="shared" si="21"/>
        <v/>
      </c>
      <c r="L36" s="2189" t="str">
        <f>IF(C36="", "", IF('[1]Indoor Lighting'!$E$3="CFL",  '[1]Indoor Lighting'!$B$3, ""))</f>
        <v/>
      </c>
      <c r="M36" s="2198"/>
      <c r="N36" s="2198"/>
      <c r="O36" s="2198"/>
      <c r="P36" s="2199"/>
      <c r="Q36" s="572"/>
      <c r="R36" s="572"/>
      <c r="S36" s="572"/>
      <c r="AJ36" s="87"/>
      <c r="AK36" s="87"/>
      <c r="BA36" s="2200" t="str">
        <f>IF(ISNA(BB36),  '[1]Indoor Lighting'!$E$3&amp;", "&amp;'[1]Indoor Lighting'!$I$3, "")</f>
        <v/>
      </c>
      <c r="BB36" s="2189" t="str">
        <f>IF('[1]Indoor Lighting'!$E$3="CFL", VLOOKUP('[1]Indoor Lighting'!$E$3&amp;", "&amp;'[1]Indoor Lighting'!$I$3, [1]LightTrans!$A$2:$B$83, 2, FALSE), "")</f>
        <v/>
      </c>
    </row>
    <row r="37" spans="1:54">
      <c r="A37" s="572"/>
      <c r="B37" s="2200"/>
      <c r="C37" s="2189" t="str">
        <f t="shared" si="5"/>
        <v/>
      </c>
      <c r="D37" s="2189" t="str">
        <f>IF(C37="", "", IF('[1]Indoor Lighting'!$E$4="CFL",  '[1]Indoor Lighting'!$L$4, ""))</f>
        <v/>
      </c>
      <c r="E37" s="2191"/>
      <c r="F37" s="2192"/>
      <c r="G37" s="2193" t="str">
        <f t="shared" si="18"/>
        <v/>
      </c>
      <c r="H37" s="2194" t="str">
        <f t="shared" si="19"/>
        <v/>
      </c>
      <c r="I37" s="2189" t="str">
        <f>IF(C37="", "", IF('[1]Indoor Lighting'!$E$4="CFL",  "A", ""))</f>
        <v/>
      </c>
      <c r="J37" s="2195" t="str">
        <f t="shared" si="20"/>
        <v/>
      </c>
      <c r="K37" s="2196" t="str">
        <f t="shared" si="21"/>
        <v/>
      </c>
      <c r="L37" s="2189" t="str">
        <f>IF(C37="", "", IF('[1]Indoor Lighting'!$E$4="CFL",  '[1]Indoor Lighting'!$B$4, ""))</f>
        <v/>
      </c>
      <c r="M37" s="2198"/>
      <c r="N37" s="2198"/>
      <c r="O37" s="2198"/>
      <c r="P37" s="2199"/>
      <c r="Q37" s="572"/>
      <c r="R37" s="572"/>
      <c r="S37" s="572"/>
      <c r="AJ37" s="87"/>
      <c r="AK37" s="87"/>
      <c r="BA37" s="2200" t="str">
        <f>IF(ISNA(BB37), '[1]Indoor Lighting'!$E$4&amp;", "&amp;'[1]Indoor Lighting'!$I$4, "")</f>
        <v/>
      </c>
      <c r="BB37" s="2189" t="str">
        <f>IF('[1]Indoor Lighting'!$E$4="CFL", VLOOKUP('[1]Indoor Lighting'!$E$4&amp;", "&amp;'[1]Indoor Lighting'!$I$4, [1]LightTrans!$A$2:$B$83, 2, FALSE), "")</f>
        <v/>
      </c>
    </row>
    <row r="38" spans="1:54">
      <c r="A38" s="572"/>
      <c r="B38" s="2200"/>
      <c r="C38" s="2189" t="str">
        <f t="shared" si="5"/>
        <v/>
      </c>
      <c r="D38" s="2189" t="str">
        <f>IF(C38="", "", IF('[1]Indoor Lighting'!$E$5="CFL",  '[1]Indoor Lighting'!$L$5, ""))</f>
        <v/>
      </c>
      <c r="E38" s="2191"/>
      <c r="F38" s="2192"/>
      <c r="G38" s="2193" t="str">
        <f t="shared" si="18"/>
        <v/>
      </c>
      <c r="H38" s="2194" t="str">
        <f t="shared" si="19"/>
        <v/>
      </c>
      <c r="I38" s="2189" t="str">
        <f>IF(C38="", "", IF('[1]Indoor Lighting'!$E$5="CFL",  "A", ""))</f>
        <v/>
      </c>
      <c r="J38" s="2195" t="str">
        <f t="shared" si="20"/>
        <v/>
      </c>
      <c r="K38" s="2196" t="str">
        <f t="shared" si="21"/>
        <v/>
      </c>
      <c r="L38" s="2189" t="str">
        <f>IF(C38="", "", IF('[1]Indoor Lighting'!$E$5="CFL",  '[1]Indoor Lighting'!$B$5, ""))</f>
        <v/>
      </c>
      <c r="M38" s="2198"/>
      <c r="N38" s="2198"/>
      <c r="O38" s="2198"/>
      <c r="P38" s="2199"/>
      <c r="Q38" s="572"/>
      <c r="R38" s="572"/>
      <c r="S38" s="572"/>
      <c r="AJ38" s="87"/>
      <c r="AK38" s="87"/>
      <c r="BA38" s="2200" t="str">
        <f>IF(ISNA(BB38),'[1]Indoor Lighting'!$E$5&amp;", "&amp;'[1]Indoor Lighting'!$I$5, "")</f>
        <v/>
      </c>
      <c r="BB38" s="2189" t="str">
        <f>IF('[1]Indoor Lighting'!$E$5="CFL", VLOOKUP('[1]Indoor Lighting'!$E$5&amp;", "&amp;'[1]Indoor Lighting'!$I$5, [1]LightTrans!$A$2:$B$83, 2, FALSE), "")</f>
        <v/>
      </c>
    </row>
    <row r="39" spans="1:54">
      <c r="A39" s="572"/>
      <c r="B39" s="2200"/>
      <c r="C39" s="2189" t="str">
        <f t="shared" si="5"/>
        <v/>
      </c>
      <c r="D39" s="2189" t="str">
        <f>IF(C39="", "", IF('[1]Indoor Lighting'!$E$6="CFL",  '[1]Indoor Lighting'!$L$6, ""))</f>
        <v/>
      </c>
      <c r="E39" s="2191"/>
      <c r="F39" s="2192"/>
      <c r="G39" s="2193" t="str">
        <f t="shared" si="18"/>
        <v/>
      </c>
      <c r="H39" s="2194" t="str">
        <f t="shared" si="19"/>
        <v/>
      </c>
      <c r="I39" s="2189" t="str">
        <f>IF(C39="", "", IF('[1]Indoor Lighting'!$E$6="CFL",  "A", ""))</f>
        <v/>
      </c>
      <c r="J39" s="2195" t="str">
        <f t="shared" si="20"/>
        <v/>
      </c>
      <c r="K39" s="2196" t="str">
        <f t="shared" si="21"/>
        <v/>
      </c>
      <c r="L39" s="2189" t="str">
        <f>IF(C39="", "", IF('[1]Indoor Lighting'!$E$6="CFL",  '[1]Indoor Lighting'!$B$6, ""))</f>
        <v/>
      </c>
      <c r="M39" s="2198"/>
      <c r="N39" s="2198"/>
      <c r="O39" s="2198"/>
      <c r="P39" s="2199"/>
      <c r="Q39" s="572"/>
      <c r="R39" s="572"/>
      <c r="S39" s="572"/>
      <c r="AJ39" s="87"/>
      <c r="AK39" s="87"/>
      <c r="BA39" s="2200" t="str">
        <f>IF(ISNA(BB39), '[1]Indoor Lighting'!$E$6&amp;", "&amp;'[1]Indoor Lighting'!$I$6, "")</f>
        <v/>
      </c>
      <c r="BB39" s="2189" t="str">
        <f>IF('[1]Indoor Lighting'!$E$6="CFL", VLOOKUP('[1]Indoor Lighting'!$E$6&amp;", "&amp;'[1]Indoor Lighting'!$I$6, [1]LightTrans!$A$2:$B$83, 2, FALSE), "")</f>
        <v/>
      </c>
    </row>
    <row r="40" spans="1:54">
      <c r="A40" s="572"/>
      <c r="B40" s="2200"/>
      <c r="C40" s="2189" t="str">
        <f t="shared" si="5"/>
        <v/>
      </c>
      <c r="D40" s="2189" t="str">
        <f>IF(C40="", "", IF('[1]Indoor Lighting'!$E$7="CFL",  '[1]Indoor Lighting'!$L$7, ""))</f>
        <v/>
      </c>
      <c r="E40" s="2191"/>
      <c r="F40" s="2192" t="s">
        <v>157</v>
      </c>
      <c r="G40" s="2193" t="str">
        <f t="shared" si="18"/>
        <v/>
      </c>
      <c r="H40" s="2194" t="str">
        <f t="shared" si="19"/>
        <v/>
      </c>
      <c r="I40" s="2189" t="str">
        <f>IF(C40="", "", IF('[1]Indoor Lighting'!$E$7="CFL",  "A", ""))</f>
        <v/>
      </c>
      <c r="J40" s="2195" t="str">
        <f t="shared" si="20"/>
        <v/>
      </c>
      <c r="K40" s="2196" t="str">
        <f t="shared" si="21"/>
        <v/>
      </c>
      <c r="L40" s="2189" t="str">
        <f>IF(C40="", "", IF('[1]Indoor Lighting'!$E$7="CFL",  '[1]Indoor Lighting'!$B$7, ""))</f>
        <v/>
      </c>
      <c r="M40" s="2198"/>
      <c r="N40" s="2198"/>
      <c r="O40" s="2198"/>
      <c r="P40" s="2199"/>
      <c r="Q40" s="572"/>
      <c r="R40" s="572"/>
      <c r="S40" s="572"/>
      <c r="AK40" s="87"/>
      <c r="BA40" s="2200" t="str">
        <f>IF(ISNA(BB40), '[1]Indoor Lighting'!$E$7&amp;", "&amp;'[1]Indoor Lighting'!$I$7, "")</f>
        <v/>
      </c>
      <c r="BB40" s="2189" t="str">
        <f>IF('[1]Indoor Lighting'!$E$7="CFL", VLOOKUP('[1]Indoor Lighting'!$E$7&amp;", "&amp;'[1]Indoor Lighting'!$I$7, [1]LightTrans!$A$2:$B$83, 2, FALSE), "")</f>
        <v/>
      </c>
    </row>
    <row r="41" spans="1:54">
      <c r="A41" s="572"/>
      <c r="B41" s="2200"/>
      <c r="C41" s="2189" t="str">
        <f t="shared" si="5"/>
        <v/>
      </c>
      <c r="D41" s="2189" t="str">
        <f>IF(C41="", "", IF('[1]Indoor Lighting'!$E$8="CFL",  '[1]Indoor Lighting'!$L$8, ""))</f>
        <v/>
      </c>
      <c r="E41" s="2191"/>
      <c r="F41" s="2192" t="s">
        <v>157</v>
      </c>
      <c r="G41" s="2193" t="str">
        <f t="shared" si="18"/>
        <v/>
      </c>
      <c r="H41" s="2194" t="str">
        <f t="shared" si="19"/>
        <v/>
      </c>
      <c r="I41" s="2189" t="str">
        <f>IF(C41="", "", IF('[1]Indoor Lighting'!$E$8="CFL",  "A", ""))</f>
        <v/>
      </c>
      <c r="J41" s="2195" t="str">
        <f t="shared" si="20"/>
        <v/>
      </c>
      <c r="K41" s="2196" t="str">
        <f t="shared" si="21"/>
        <v/>
      </c>
      <c r="L41" s="2189" t="str">
        <f>IF(C41="", "", IF('[1]Indoor Lighting'!$E$8="CFL",  '[1]Indoor Lighting'!$B$8, ""))</f>
        <v/>
      </c>
      <c r="M41" s="2198"/>
      <c r="N41" s="2198"/>
      <c r="O41" s="2198"/>
      <c r="P41" s="2199"/>
      <c r="Q41" s="572"/>
      <c r="R41" s="572"/>
      <c r="S41" s="572"/>
      <c r="AK41" s="87"/>
      <c r="BA41" s="2200" t="str">
        <f>IF(ISNA(BB41), '[1]Indoor Lighting'!$E$8&amp;", "&amp;'[1]Indoor Lighting'!$I$8, "")</f>
        <v/>
      </c>
      <c r="BB41" s="2189" t="str">
        <f>IF('[1]Indoor Lighting'!$E$8="CFL", VLOOKUP('[1]Indoor Lighting'!$E$8&amp;", "&amp;'[1]Indoor Lighting'!$I$8, [1]LightTrans!$A$2:$B$83, 2, FALSE), "")</f>
        <v/>
      </c>
    </row>
    <row r="42" spans="1:54">
      <c r="A42" s="572"/>
      <c r="B42" s="2200"/>
      <c r="C42" s="2189" t="str">
        <f t="shared" si="5"/>
        <v/>
      </c>
      <c r="D42" s="2189" t="str">
        <f>IF(C42="", "", IF('[1]Indoor Lighting'!$E$9="CFL",  '[1]Indoor Lighting'!$L$9, ""))</f>
        <v/>
      </c>
      <c r="E42" s="2191"/>
      <c r="F42" s="2192" t="s">
        <v>157</v>
      </c>
      <c r="G42" s="2193" t="str">
        <f t="shared" ref="G42:G58" si="22">IF(C42="","",VLOOKUP(C42,lighting,7,FALSE))</f>
        <v/>
      </c>
      <c r="H42" s="2194" t="str">
        <f>IF(C42="","",(G42*D42)/1000)</f>
        <v/>
      </c>
      <c r="I42" s="2189" t="str">
        <f>IF(C42="", "", IF('[1]Indoor Lighting'!$E$9="CFL",  "A", ""))</f>
        <v/>
      </c>
      <c r="J42" s="2195" t="str">
        <f t="shared" ref="J42:J58" si="23">IF(C42="","",VLOOKUP(I42,sched1,3,FALSE))</f>
        <v/>
      </c>
      <c r="K42" s="2196" t="str">
        <f>IF(C42="","",J42*H42)</f>
        <v/>
      </c>
      <c r="L42" s="2189" t="str">
        <f>IF(C42="", "", IF('[1]Indoor Lighting'!$E$9="CFL",  '[1]Indoor Lighting'!$B$9, ""))</f>
        <v/>
      </c>
      <c r="M42" s="2198"/>
      <c r="N42" s="2198"/>
      <c r="O42" s="2198"/>
      <c r="P42" s="2199"/>
      <c r="Q42" s="572"/>
      <c r="R42" s="572"/>
      <c r="S42" s="572"/>
      <c r="AK42" s="87"/>
      <c r="BA42" s="2200" t="str">
        <f>IF(ISNA(BB42), '[1]Indoor Lighting'!$E$9&amp;", "&amp;'[1]Indoor Lighting'!$I$9, "")</f>
        <v/>
      </c>
      <c r="BB42" s="2189" t="str">
        <f>IF('[1]Indoor Lighting'!$E$9="CFL", VLOOKUP('[1]Indoor Lighting'!$E$9&amp;", "&amp;'[1]Indoor Lighting'!$I$9, [1]LightTrans!$A$2:$B$83, 2, FALSE), "")</f>
        <v/>
      </c>
    </row>
    <row r="43" spans="1:54">
      <c r="A43" s="572"/>
      <c r="B43" s="2200"/>
      <c r="C43" s="2189" t="str">
        <f t="shared" si="5"/>
        <v/>
      </c>
      <c r="D43" s="2189" t="str">
        <f>IF(C43="", "", IF('[1]Indoor Lighting'!$E$10="CFL",  '[1]Indoor Lighting'!$L$10, ""))</f>
        <v/>
      </c>
      <c r="E43" s="2191"/>
      <c r="F43" s="2192" t="s">
        <v>157</v>
      </c>
      <c r="G43" s="2193" t="str">
        <f t="shared" si="22"/>
        <v/>
      </c>
      <c r="H43" s="2194" t="str">
        <f>IF(C43="","",(G43*D43)/1000)</f>
        <v/>
      </c>
      <c r="I43" s="2189" t="str">
        <f>IF(C43="", "", IF('[1]Indoor Lighting'!$E$10="CFL",  "A", ""))</f>
        <v/>
      </c>
      <c r="J43" s="2195" t="str">
        <f t="shared" si="23"/>
        <v/>
      </c>
      <c r="K43" s="2196" t="str">
        <f>IF(C43="","",J43*H43)</f>
        <v/>
      </c>
      <c r="L43" s="2189" t="str">
        <f>IF(C43="", "", IF('[1]Indoor Lighting'!$E$10="CFL",  '[1]Indoor Lighting'!$B$10, ""))</f>
        <v/>
      </c>
      <c r="M43" s="2198"/>
      <c r="N43" s="2198"/>
      <c r="O43" s="2198"/>
      <c r="P43" s="2199"/>
      <c r="Q43" s="572"/>
      <c r="R43" s="572"/>
      <c r="S43" s="572"/>
      <c r="AK43" s="87"/>
      <c r="BA43" s="2200" t="str">
        <f>IF(ISNA(BB43), '[1]Indoor Lighting'!$E$10&amp;", "&amp;'[1]Indoor Lighting'!$I$10, "")</f>
        <v/>
      </c>
      <c r="BB43" s="2189" t="str">
        <f>IF('[1]Indoor Lighting'!$E$10="CFL", VLOOKUP('[1]Indoor Lighting'!$E$10&amp;", "&amp;'[1]Indoor Lighting'!$I$10, [1]LightTrans!$A$2:$B$83, 2, FALSE), "")</f>
        <v/>
      </c>
    </row>
    <row r="44" spans="1:54">
      <c r="A44" s="572"/>
      <c r="B44" s="2200"/>
      <c r="C44" s="2189" t="str">
        <f t="shared" si="5"/>
        <v/>
      </c>
      <c r="D44" s="2189" t="str">
        <f>IF(C44="", "", IF('[1]Indoor Lighting'!$E$11="CFL",  '[1]Indoor Lighting'!$L$11, ""))</f>
        <v/>
      </c>
      <c r="E44" s="2191"/>
      <c r="F44" s="2192"/>
      <c r="G44" s="2193" t="str">
        <f t="shared" si="22"/>
        <v/>
      </c>
      <c r="H44" s="2194" t="str">
        <f t="shared" ref="H44:H58" si="24">IF(C44="","",(G44*D44)/1000)</f>
        <v/>
      </c>
      <c r="I44" s="2189" t="str">
        <f>IF(C44="", "", IF('[1]Indoor Lighting'!$E$11="CFL",  "A", ""))</f>
        <v/>
      </c>
      <c r="J44" s="2195" t="str">
        <f t="shared" si="23"/>
        <v/>
      </c>
      <c r="K44" s="2196" t="str">
        <f t="shared" ref="K44:K58" si="25">IF(C44="","",J44*H44)</f>
        <v/>
      </c>
      <c r="L44" s="2189" t="str">
        <f>IF(C44="", "", IF('[1]Indoor Lighting'!$E$11="CFL",  '[1]Indoor Lighting'!$B$11, ""))</f>
        <v/>
      </c>
      <c r="M44" s="2198"/>
      <c r="N44" s="2198"/>
      <c r="O44" s="2198"/>
      <c r="P44" s="2199"/>
      <c r="Q44" s="572"/>
      <c r="R44" s="572"/>
      <c r="S44" s="572"/>
      <c r="AK44" s="87"/>
      <c r="BA44" s="2200" t="str">
        <f>IF(ISNA(BB44), '[1]Indoor Lighting'!$E$11&amp;", "&amp;'[1]Indoor Lighting'!$I$11, "")</f>
        <v/>
      </c>
      <c r="BB44" s="2189" t="str">
        <f>IF('[1]Indoor Lighting'!$E$11="CFL", VLOOKUP('[1]Indoor Lighting'!$E$11&amp;", "&amp;'[1]Indoor Lighting'!$I$11, [1]LightTrans!$A$2:$B$83, 2, FALSE), "")</f>
        <v/>
      </c>
    </row>
    <row r="45" spans="1:54">
      <c r="A45" s="572"/>
      <c r="B45" s="2200"/>
      <c r="C45" s="2189" t="str">
        <f t="shared" si="5"/>
        <v/>
      </c>
      <c r="D45" s="2189" t="str">
        <f>IF(C45="", "", IF('[1]Indoor Lighting'!$E$12="CFL",  '[1]Indoor Lighting'!$L$12, ""))</f>
        <v/>
      </c>
      <c r="E45" s="2191"/>
      <c r="F45" s="2192"/>
      <c r="G45" s="2193" t="str">
        <f t="shared" si="22"/>
        <v/>
      </c>
      <c r="H45" s="2194" t="str">
        <f t="shared" si="24"/>
        <v/>
      </c>
      <c r="I45" s="2189" t="str">
        <f>IF(C45="", "", IF('[1]Indoor Lighting'!$E$12="CFL",  "A", ""))</f>
        <v/>
      </c>
      <c r="J45" s="2195" t="str">
        <f t="shared" si="23"/>
        <v/>
      </c>
      <c r="K45" s="2196" t="str">
        <f t="shared" si="25"/>
        <v/>
      </c>
      <c r="L45" s="2189" t="str">
        <f>IF(C45="", "", IF('[1]Indoor Lighting'!$E$12="CFL",  '[1]Indoor Lighting'!$B$12, ""))</f>
        <v/>
      </c>
      <c r="M45" s="2198"/>
      <c r="N45" s="2198"/>
      <c r="O45" s="2198"/>
      <c r="P45" s="2199"/>
      <c r="Q45" s="572"/>
      <c r="R45" s="572"/>
      <c r="S45" s="572"/>
      <c r="AK45" s="87"/>
      <c r="BA45" s="2200" t="str">
        <f>IF(ISNA(BB45), '[1]Indoor Lighting'!$E$12&amp;", "&amp;'[1]Indoor Lighting'!$I$12, "")</f>
        <v/>
      </c>
      <c r="BB45" s="2189" t="str">
        <f>IF('[1]Indoor Lighting'!$E$12="CFL", VLOOKUP('[1]Indoor Lighting'!$E$12&amp;", "&amp;'[1]Indoor Lighting'!$I$12, [1]LightTrans!$A$2:$B$83, 2, FALSE), "")</f>
        <v/>
      </c>
    </row>
    <row r="46" spans="1:54">
      <c r="A46" s="572"/>
      <c r="B46" s="2200"/>
      <c r="C46" s="2189" t="str">
        <f t="shared" si="5"/>
        <v/>
      </c>
      <c r="D46" s="2189" t="str">
        <f>IF(C46="", "", IF('[1]Indoor Lighting'!$E$13="CFL",  '[1]Indoor Lighting'!$L$13, ""))</f>
        <v/>
      </c>
      <c r="E46" s="2191"/>
      <c r="F46" s="2192"/>
      <c r="G46" s="2193" t="str">
        <f t="shared" si="22"/>
        <v/>
      </c>
      <c r="H46" s="2194" t="str">
        <f t="shared" si="24"/>
        <v/>
      </c>
      <c r="I46" s="2189" t="str">
        <f>IF(C46="", "", IF('[1]Indoor Lighting'!$E$13="CFL",  "A", ""))</f>
        <v/>
      </c>
      <c r="J46" s="2195" t="str">
        <f t="shared" si="23"/>
        <v/>
      </c>
      <c r="K46" s="2196" t="str">
        <f t="shared" si="25"/>
        <v/>
      </c>
      <c r="L46" s="2189" t="str">
        <f>IF(C46="", "", IF('[1]Indoor Lighting'!$E$13="CFL",  '[1]Indoor Lighting'!$B$13, ""))</f>
        <v/>
      </c>
      <c r="M46" s="2198"/>
      <c r="N46" s="2198"/>
      <c r="O46" s="2198"/>
      <c r="P46" s="2199"/>
      <c r="Q46" s="572"/>
      <c r="R46" s="572"/>
      <c r="S46" s="572"/>
      <c r="AK46" s="87"/>
      <c r="BA46" s="2200" t="str">
        <f>IF(ISNA(BB46), '[1]Indoor Lighting'!$E$13&amp;", "&amp;'[1]Indoor Lighting'!$I$13, "")</f>
        <v/>
      </c>
      <c r="BB46" s="2189" t="str">
        <f>IF('[1]Indoor Lighting'!$E$13="CFL", VLOOKUP('[1]Indoor Lighting'!$E$13&amp;", "&amp;'[1]Indoor Lighting'!$I$13, [1]LightTrans!$A$2:$B$83, 2, FALSE), "")</f>
        <v/>
      </c>
    </row>
    <row r="47" spans="1:54">
      <c r="A47" s="572"/>
      <c r="B47" s="2200"/>
      <c r="C47" s="2189" t="str">
        <f t="shared" si="5"/>
        <v/>
      </c>
      <c r="D47" s="2189" t="str">
        <f>IF(C47="", "", IF('[1]Indoor Lighting'!$E$14="CFL",  '[1]Indoor Lighting'!$L$14, ""))</f>
        <v/>
      </c>
      <c r="E47" s="2191"/>
      <c r="F47" s="2192"/>
      <c r="G47" s="2193" t="str">
        <f t="shared" si="22"/>
        <v/>
      </c>
      <c r="H47" s="2194" t="str">
        <f t="shared" si="24"/>
        <v/>
      </c>
      <c r="I47" s="2189" t="str">
        <f>IF(C47="", "", IF('[1]Indoor Lighting'!$E$14="CFL",  "A", ""))</f>
        <v/>
      </c>
      <c r="J47" s="2195" t="str">
        <f t="shared" si="23"/>
        <v/>
      </c>
      <c r="K47" s="2196" t="str">
        <f t="shared" si="25"/>
        <v/>
      </c>
      <c r="L47" s="2189" t="str">
        <f>IF(C47="", "", IF('[1]Indoor Lighting'!$E$14="CFL",  '[1]Indoor Lighting'!$B$14, ""))</f>
        <v/>
      </c>
      <c r="M47" s="2198"/>
      <c r="N47" s="2198"/>
      <c r="O47" s="2198"/>
      <c r="P47" s="2199"/>
      <c r="Q47" s="572"/>
      <c r="R47" s="572"/>
      <c r="S47" s="572"/>
      <c r="AK47" s="87"/>
      <c r="BA47" s="2200" t="str">
        <f>IF(ISNA(BB47),'[1]Indoor Lighting'!$E$14&amp;", "&amp;'[1]Indoor Lighting'!$I$14,"")</f>
        <v/>
      </c>
      <c r="BB47" s="2216" t="str">
        <f>IF('[1]Indoor Lighting'!$E$14="CFL", VLOOKUP('[1]Indoor Lighting'!$E$14&amp;", "&amp;'[1]Indoor Lighting'!$I$14, [1]LightTrans!$A$2:$B$83, 2, FALSE), "")</f>
        <v/>
      </c>
    </row>
    <row r="48" spans="1:54">
      <c r="A48" s="572"/>
      <c r="B48" s="2200"/>
      <c r="C48" s="2189" t="str">
        <f t="shared" si="5"/>
        <v/>
      </c>
      <c r="D48" s="2189" t="str">
        <f>IF(C48="", "", IF('[1]Indoor Lighting'!$E$15="CFL",  '[1]Indoor Lighting'!$L$15, ""))</f>
        <v/>
      </c>
      <c r="E48" s="2191"/>
      <c r="F48" s="2192"/>
      <c r="G48" s="2193" t="str">
        <f t="shared" ref="G48" si="26">IF(C48="","",VLOOKUP(C48,lighting,7,FALSE))</f>
        <v/>
      </c>
      <c r="H48" s="2194" t="str">
        <f t="shared" ref="H48" si="27">IF(C48="","",(G48*D48)/1000)</f>
        <v/>
      </c>
      <c r="I48" s="2189" t="str">
        <f>IF(C48="", "", IF('[1]Indoor Lighting'!$E$15="CFL",  "A", ""))</f>
        <v/>
      </c>
      <c r="J48" s="2195" t="str">
        <f t="shared" ref="J48" si="28">IF(C48="","",VLOOKUP(I48,sched1,3,FALSE))</f>
        <v/>
      </c>
      <c r="K48" s="2196" t="str">
        <f t="shared" ref="K48" si="29">IF(C48="","",J48*H48)</f>
        <v/>
      </c>
      <c r="L48" s="2189" t="str">
        <f>IF(C48="", "", IF('[1]Indoor Lighting'!$E$15="CFL",  '[1]Indoor Lighting'!$B$15, ""))</f>
        <v/>
      </c>
      <c r="M48" s="2198"/>
      <c r="N48" s="2198"/>
      <c r="O48" s="2198"/>
      <c r="P48" s="2199"/>
      <c r="Q48" s="572"/>
      <c r="R48" s="572"/>
      <c r="S48" s="572"/>
      <c r="AK48" s="87"/>
      <c r="BA48" s="2200" t="str">
        <f>IF(ISNA(BB48), '[1]Indoor Lighting'!$E$15&amp;", "&amp;'[1]Indoor Lighting'!$I$15, "")</f>
        <v/>
      </c>
      <c r="BB48" s="2216" t="str">
        <f>IF('[1]Indoor Lighting'!$E$15="CFL", VLOOKUP('[1]Indoor Lighting'!$E$15&amp;", "&amp;'[1]Indoor Lighting'!$I$15, [1]LightTrans!$A$2:$B$83, 2, FALSE), "")</f>
        <v/>
      </c>
    </row>
    <row r="49" spans="1:54">
      <c r="A49" s="572"/>
      <c r="B49" s="2200"/>
      <c r="C49" s="2189" t="str">
        <f t="shared" si="5"/>
        <v/>
      </c>
      <c r="D49" s="2190" t="str">
        <f>IF(C49="", "", IF('[1]Outdoor Lighting'!$D$2="CFL", '[1]Outdoor Lighting'!$J$2, ""))</f>
        <v/>
      </c>
      <c r="E49" s="2191"/>
      <c r="F49" s="2192"/>
      <c r="G49" s="2193" t="str">
        <f t="shared" si="22"/>
        <v/>
      </c>
      <c r="H49" s="2194" t="str">
        <f t="shared" si="24"/>
        <v/>
      </c>
      <c r="I49" s="2219" t="str">
        <f>IF(C49="", "", IF('[1]Outdoor Lighting'!$D$2="CFL", "I", ""))</f>
        <v/>
      </c>
      <c r="J49" s="2195" t="str">
        <f t="shared" si="23"/>
        <v/>
      </c>
      <c r="K49" s="2196" t="str">
        <f t="shared" si="25"/>
        <v/>
      </c>
      <c r="L49" s="2197" t="str">
        <f>IF(C49="", "", IF('[1]Outdoor Lighting'!$D$2="CFL", "Outside "&amp;'[1]Outdoor Lighting'!$B$2, ""))</f>
        <v/>
      </c>
      <c r="M49" s="2198"/>
      <c r="N49" s="2198"/>
      <c r="O49" s="2198"/>
      <c r="P49" s="2199"/>
      <c r="Q49" s="572"/>
      <c r="R49" s="572"/>
      <c r="S49" s="572"/>
      <c r="AK49" s="87"/>
      <c r="BA49" s="2200" t="str">
        <f>IF(ISNA(BB49), '[1]Outdoor Lighting'!$D$2&amp;", "&amp;'[1]Outdoor Lighting'!$H$2, "")</f>
        <v/>
      </c>
      <c r="BB49" s="2189" t="str">
        <f>IF('[1]Outdoor Lighting'!$D$2="CFL", VLOOKUP('[1]Outdoor Lighting'!$D$2&amp;", "&amp;'[1]Outdoor Lighting'!$H$2, [1]LightTrans!$A$2:$B$83, 2, FALSE), "")</f>
        <v/>
      </c>
    </row>
    <row r="50" spans="1:54">
      <c r="A50" s="572"/>
      <c r="B50" s="2200"/>
      <c r="C50" s="2189" t="str">
        <f t="shared" si="5"/>
        <v/>
      </c>
      <c r="D50" s="2190" t="str">
        <f>IF(C50="", "", IF('[1]Outdoor Lighting'!$D$3="CFL", '[1]Outdoor Lighting'!$J$3, ""))</f>
        <v/>
      </c>
      <c r="E50" s="2191"/>
      <c r="F50" s="2192"/>
      <c r="G50" s="2193" t="str">
        <f t="shared" si="22"/>
        <v/>
      </c>
      <c r="H50" s="2194" t="str">
        <f t="shared" si="24"/>
        <v/>
      </c>
      <c r="I50" s="2219" t="str">
        <f>IF(C50="", "", IF('[1]Outdoor Lighting'!$D$3="CFL", "I", ""))</f>
        <v/>
      </c>
      <c r="J50" s="2195" t="str">
        <f t="shared" si="23"/>
        <v/>
      </c>
      <c r="K50" s="2196" t="str">
        <f t="shared" si="25"/>
        <v/>
      </c>
      <c r="L50" s="2197" t="str">
        <f>IF(C50="", "", IF('[1]Outdoor Lighting'!$D$3="CFL", "Outside "&amp;'[1]Outdoor Lighting'!$B$3, ""))</f>
        <v/>
      </c>
      <c r="M50" s="2198"/>
      <c r="N50" s="2198"/>
      <c r="O50" s="2198"/>
      <c r="P50" s="2199"/>
      <c r="Q50" s="572"/>
      <c r="R50" s="572"/>
      <c r="S50" s="572"/>
      <c r="AK50" s="87"/>
      <c r="BA50" s="2200" t="str">
        <f>IF(ISNA(BB50), '[1]Outdoor Lighting'!$D$3&amp;", "&amp;'[1]Outdoor Lighting'!$H$3, "")</f>
        <v/>
      </c>
      <c r="BB50" s="2189" t="str">
        <f>IF('[1]Outdoor Lighting'!$D$3="CFL", VLOOKUP('[1]Outdoor Lighting'!$D$3&amp;", "&amp;'[1]Outdoor Lighting'!$H$3, [1]LightTrans!$A$2:$B$83, 2, FALSE), "")</f>
        <v/>
      </c>
    </row>
    <row r="51" spans="1:54">
      <c r="A51" s="572"/>
      <c r="B51" s="2200"/>
      <c r="C51" s="2189" t="str">
        <f t="shared" si="5"/>
        <v/>
      </c>
      <c r="D51" s="2190" t="str">
        <f>IF(C51="", "", IF('[1]Outdoor Lighting'!$D$4="CFL", '[1]Outdoor Lighting'!$J$4, ""))</f>
        <v/>
      </c>
      <c r="E51" s="2191"/>
      <c r="F51" s="2192"/>
      <c r="G51" s="2193" t="str">
        <f t="shared" si="22"/>
        <v/>
      </c>
      <c r="H51" s="2194" t="str">
        <f t="shared" si="24"/>
        <v/>
      </c>
      <c r="I51" s="2219" t="str">
        <f>IF(C51="", "", IF('[1]Outdoor Lighting'!$D$4="CFL", "I", ""))</f>
        <v/>
      </c>
      <c r="J51" s="2195" t="str">
        <f t="shared" si="23"/>
        <v/>
      </c>
      <c r="K51" s="2196" t="str">
        <f t="shared" si="25"/>
        <v/>
      </c>
      <c r="L51" s="2197" t="str">
        <f>IF(C51="", "", IF('[1]Outdoor Lighting'!$D$4="CFL", "Outside "&amp;'[1]Outdoor Lighting'!$B$4, ""))</f>
        <v/>
      </c>
      <c r="M51" s="2198"/>
      <c r="N51" s="2198"/>
      <c r="O51" s="2198"/>
      <c r="P51" s="2199"/>
      <c r="Q51" s="572"/>
      <c r="R51" s="572"/>
      <c r="S51" s="572"/>
      <c r="AK51" s="87"/>
      <c r="BA51" s="2200" t="str">
        <f>IF(ISNA(BB51), '[1]Outdoor Lighting'!$D$4&amp;", "&amp;'[1]Outdoor Lighting'!$H$4, "")</f>
        <v/>
      </c>
      <c r="BB51" s="2189" t="str">
        <f>IF('[1]Outdoor Lighting'!$D$4="CFL", VLOOKUP('[1]Outdoor Lighting'!$D$4&amp;", "&amp;'[1]Outdoor Lighting'!$H$4, [1]LightTrans!$A$2:$B$83, 2, FALSE), "")</f>
        <v/>
      </c>
    </row>
    <row r="52" spans="1:54">
      <c r="A52" s="572"/>
      <c r="B52" s="2200"/>
      <c r="C52" s="2189" t="str">
        <f t="shared" si="5"/>
        <v/>
      </c>
      <c r="D52" s="2190" t="str">
        <f>IF(C52="", "", IF('[1]Outdoor Lighting'!$D$5="CFL", '[1]Outdoor Lighting'!$J$5, ""))</f>
        <v/>
      </c>
      <c r="E52" s="2191"/>
      <c r="F52" s="2192"/>
      <c r="G52" s="2193" t="str">
        <f t="shared" si="22"/>
        <v/>
      </c>
      <c r="H52" s="2194" t="str">
        <f t="shared" si="24"/>
        <v/>
      </c>
      <c r="I52" s="2219" t="str">
        <f>IF(C52="","",IF('[1]Outdoor Lighting'!$D$5="CFL","I",""))</f>
        <v/>
      </c>
      <c r="J52" s="2195" t="str">
        <f t="shared" si="23"/>
        <v/>
      </c>
      <c r="K52" s="2196" t="str">
        <f t="shared" si="25"/>
        <v/>
      </c>
      <c r="L52" s="2197" t="str">
        <f>IF(C52="","",IF('[1]Outdoor Lighting'!$D$5="CFL","Outside "&amp;'[1]Outdoor Lighting'!$B$5,""))</f>
        <v/>
      </c>
      <c r="M52" s="2198"/>
      <c r="N52" s="2198"/>
      <c r="O52" s="2198"/>
      <c r="P52" s="2199"/>
      <c r="Q52" s="572"/>
      <c r="R52" s="572"/>
      <c r="S52" s="572"/>
      <c r="AK52" s="87"/>
      <c r="BA52" s="2200" t="str">
        <f>IF(ISNA(BB52), '[1]Outdoor Lighting'!$D$5&amp;", "&amp;'[1]Outdoor Lighting'!$H$5, "")</f>
        <v/>
      </c>
      <c r="BB52" s="2189" t="str">
        <f>IF('[1]Outdoor Lighting'!$D$5="CFL", VLOOKUP('[1]Outdoor Lighting'!$D$5&amp;", "&amp;'[1]Outdoor Lighting'!$H$5, [1]LightTrans!$A$2:$B$83, 2, FALSE), "")</f>
        <v/>
      </c>
    </row>
    <row r="53" spans="1:54">
      <c r="A53" s="572"/>
      <c r="B53" s="2200"/>
      <c r="C53" s="2189" t="str">
        <f t="shared" si="5"/>
        <v/>
      </c>
      <c r="D53" s="2190" t="str">
        <f>IF(C53="", "", IF('[1]Outdoor Lighting'!$D$6="CFL", '[1]Outdoor Lighting'!$J$6, ""))</f>
        <v/>
      </c>
      <c r="E53" s="2191"/>
      <c r="F53" s="2192"/>
      <c r="G53" s="2193" t="str">
        <f t="shared" si="22"/>
        <v/>
      </c>
      <c r="H53" s="2194" t="str">
        <f t="shared" si="24"/>
        <v/>
      </c>
      <c r="I53" s="2219" t="str">
        <f>IF(C53="", "", IF('[1]Outdoor Lighting'!$D$6="CFL", "I", ""))</f>
        <v/>
      </c>
      <c r="J53" s="2195" t="str">
        <f t="shared" si="23"/>
        <v/>
      </c>
      <c r="K53" s="2196" t="str">
        <f t="shared" si="25"/>
        <v/>
      </c>
      <c r="L53" s="2197" t="str">
        <f>IF(C53="", "", IF('[1]Outdoor Lighting'!$D$6="CFL","Outside "&amp; '[1]Outdoor Lighting'!$B$6, ""))</f>
        <v/>
      </c>
      <c r="M53" s="2198"/>
      <c r="N53" s="2198"/>
      <c r="O53" s="2198"/>
      <c r="P53" s="2199"/>
      <c r="Q53" s="572"/>
      <c r="R53" s="572"/>
      <c r="S53" s="572"/>
      <c r="AK53" s="87"/>
      <c r="BA53" s="2200" t="str">
        <f>IF(ISNA(BB53), '[1]Outdoor Lighting'!$D$6&amp;", "&amp;'[1]Outdoor Lighting'!$H$6, "")</f>
        <v/>
      </c>
      <c r="BB53" s="2189" t="str">
        <f>IF('[1]Outdoor Lighting'!$D$6="CFL", VLOOKUP('[1]Outdoor Lighting'!$D$6&amp;", "&amp;'[1]Outdoor Lighting'!$H$6, [1]LightTrans!$A$2:$B$83, 2, FALSE), "")</f>
        <v/>
      </c>
    </row>
    <row r="54" spans="1:54">
      <c r="A54" s="572"/>
      <c r="B54" s="2200"/>
      <c r="C54" s="2189" t="str">
        <f t="shared" si="5"/>
        <v/>
      </c>
      <c r="D54" s="2190" t="str">
        <f>IF(C54="", "", IF('[1]Outdoor Lighting'!$D$7="CFL", '[1]Outdoor Lighting'!$J$7, ""))</f>
        <v/>
      </c>
      <c r="E54" s="2191"/>
      <c r="F54" s="2192"/>
      <c r="G54" s="2193" t="str">
        <f t="shared" si="22"/>
        <v/>
      </c>
      <c r="H54" s="2194" t="str">
        <f t="shared" si="24"/>
        <v/>
      </c>
      <c r="I54" s="2219" t="str">
        <f>IF(C54="", "", IF('[1]Outdoor Lighting'!$D$7="CFL", "I", ""))</f>
        <v/>
      </c>
      <c r="J54" s="2195" t="str">
        <f t="shared" si="23"/>
        <v/>
      </c>
      <c r="K54" s="2196" t="str">
        <f t="shared" si="25"/>
        <v/>
      </c>
      <c r="L54" s="2197" t="str">
        <f>IF(C54="", "", IF('[1]Outdoor Lighting'!$D$7="CFL", "Outside "&amp;'[1]Outdoor Lighting'!$B$7, ""))</f>
        <v/>
      </c>
      <c r="M54" s="2198"/>
      <c r="N54" s="2198"/>
      <c r="O54" s="2198"/>
      <c r="P54" s="2199"/>
      <c r="Q54" s="572"/>
      <c r="R54" s="572"/>
      <c r="S54" s="572"/>
      <c r="AK54" s="87"/>
      <c r="BA54" s="2200" t="str">
        <f>IF(ISNA(BB54), '[1]Outdoor Lighting'!$D$7&amp;", "&amp;'[1]Outdoor Lighting'!$H$7, "")</f>
        <v/>
      </c>
      <c r="BB54" s="2189" t="str">
        <f>IF('[1]Outdoor Lighting'!$D$7="CFL", VLOOKUP('[1]Outdoor Lighting'!$D$7&amp;", "&amp;'[1]Outdoor Lighting'!$H$7, [1]LightTrans!$A$2:$B$83, 2, FALSE), "")</f>
        <v/>
      </c>
    </row>
    <row r="55" spans="1:54">
      <c r="A55" s="572"/>
      <c r="B55" s="2200"/>
      <c r="C55" s="2189" t="str">
        <f t="shared" si="5"/>
        <v/>
      </c>
      <c r="D55" s="2190" t="str">
        <f>IF(C55="", "", IF('[1]Outdoor Lighting'!$D$8="CFL", '[1]Outdoor Lighting'!$J$8, ""))</f>
        <v/>
      </c>
      <c r="E55" s="2191"/>
      <c r="F55" s="2192"/>
      <c r="G55" s="2193" t="str">
        <f t="shared" si="22"/>
        <v/>
      </c>
      <c r="H55" s="2194" t="str">
        <f t="shared" si="24"/>
        <v/>
      </c>
      <c r="I55" s="2219" t="str">
        <f>IF(C55="","",IF('[1]Outdoor Lighting'!$D$8="CFL","I",""))</f>
        <v/>
      </c>
      <c r="J55" s="2195" t="str">
        <f t="shared" si="23"/>
        <v/>
      </c>
      <c r="K55" s="2196" t="str">
        <f t="shared" si="25"/>
        <v/>
      </c>
      <c r="L55" s="2197" t="str">
        <f>IF(C55="","",IF('[1]Outdoor Lighting'!$D$8="CFL","Outside "&amp;'[1]Outdoor Lighting'!$B$8,""))</f>
        <v/>
      </c>
      <c r="M55" s="2198"/>
      <c r="N55" s="2198"/>
      <c r="O55" s="2198"/>
      <c r="P55" s="2199"/>
      <c r="Q55" s="572"/>
      <c r="R55" s="572"/>
      <c r="S55" s="572"/>
      <c r="AK55" s="87"/>
      <c r="BA55" s="2200" t="str">
        <f>IF(ISNA(BB55), '[1]Outdoor Lighting'!$D$8&amp;", "&amp;'[1]Outdoor Lighting'!$H$8, "")</f>
        <v/>
      </c>
      <c r="BB55" s="2189" t="str">
        <f>IF('[1]Outdoor Lighting'!$D$8="CFL", VLOOKUP('[1]Outdoor Lighting'!$D$8&amp;", "&amp;'[1]Outdoor Lighting'!$H$8, [1]LightTrans!$A$2:$B$83, 2, FALSE), "")</f>
        <v/>
      </c>
    </row>
    <row r="56" spans="1:54">
      <c r="A56" s="572"/>
      <c r="B56" s="2200"/>
      <c r="C56" s="2189" t="str">
        <f t="shared" si="5"/>
        <v/>
      </c>
      <c r="D56" s="2190" t="str">
        <f>IF(C56="","",IF('[1]Outdoor Lighting'!$D$9="CFL",'[1]Outdoor Lighting'!$J$9,""))</f>
        <v/>
      </c>
      <c r="E56" s="2191"/>
      <c r="F56" s="2192"/>
      <c r="G56" s="2193" t="str">
        <f t="shared" si="22"/>
        <v/>
      </c>
      <c r="H56" s="2194" t="str">
        <f t="shared" si="24"/>
        <v/>
      </c>
      <c r="I56" s="2219" t="str">
        <f>IF(C56="", "", IF('[1]Outdoor Lighting'!$D$9="CFL", "I", ""))</f>
        <v/>
      </c>
      <c r="J56" s="2195" t="str">
        <f t="shared" si="23"/>
        <v/>
      </c>
      <c r="K56" s="2196" t="str">
        <f t="shared" si="25"/>
        <v/>
      </c>
      <c r="L56" s="2197" t="str">
        <f>IF(C56="", "", IF('[1]Outdoor Lighting'!$D$9="CFL", "Outside "&amp;'[1]Outdoor Lighting'!$B$9, ""))</f>
        <v/>
      </c>
      <c r="M56" s="2198"/>
      <c r="N56" s="2198"/>
      <c r="O56" s="2198"/>
      <c r="P56" s="2199"/>
      <c r="Q56" s="572"/>
      <c r="R56" s="572"/>
      <c r="S56" s="572"/>
      <c r="AK56" s="87"/>
      <c r="BA56" s="2200" t="str">
        <f>IF(ISNA(BB56), '[1]Outdoor Lighting'!$D$9&amp;", "&amp;'[1]Outdoor Lighting'!$H$9, "")</f>
        <v/>
      </c>
      <c r="BB56" s="2189" t="str">
        <f>IF('[1]Outdoor Lighting'!$D$9="CFL", VLOOKUP('[1]Outdoor Lighting'!$D$9&amp;", "&amp;'[1]Outdoor Lighting'!$H$9, [1]LightTrans!$A$2:$B$83, 2, FALSE), "")</f>
        <v/>
      </c>
    </row>
    <row r="57" spans="1:54">
      <c r="A57" s="572"/>
      <c r="B57" s="2200"/>
      <c r="C57" s="2189" t="str">
        <f t="shared" si="5"/>
        <v/>
      </c>
      <c r="D57" s="2190" t="str">
        <f>IF(C57="","",IF('[1]Outdoor Lighting'!$D$10="CFL",'[1]Outdoor Lighting'!$J$10,""))</f>
        <v/>
      </c>
      <c r="E57" s="2191"/>
      <c r="F57" s="2192"/>
      <c r="G57" s="2193" t="str">
        <f t="shared" si="22"/>
        <v/>
      </c>
      <c r="H57" s="2194" t="str">
        <f t="shared" si="24"/>
        <v/>
      </c>
      <c r="I57" s="2219" t="str">
        <f>IF(C57="","",IF('[1]Outdoor Lighting'!$D$10="CFL","I",""))</f>
        <v/>
      </c>
      <c r="J57" s="2195" t="str">
        <f t="shared" si="23"/>
        <v/>
      </c>
      <c r="K57" s="2196" t="str">
        <f t="shared" si="25"/>
        <v/>
      </c>
      <c r="L57" s="2197" t="str">
        <f>IF(C57="","",IF('[1]Outdoor Lighting'!$D$10="CFL","Outside "&amp;'[1]Outdoor Lighting'!$B$10,""))</f>
        <v/>
      </c>
      <c r="M57" s="2198"/>
      <c r="N57" s="2198"/>
      <c r="O57" s="2198"/>
      <c r="P57" s="2199"/>
      <c r="Q57" s="572"/>
      <c r="R57" s="572"/>
      <c r="S57" s="572"/>
      <c r="AK57" s="87"/>
      <c r="BA57" s="2200" t="str">
        <f>IF(ISNA(BB57), '[1]Outdoor Lighting'!$D$10&amp;", "&amp;'[1]Outdoor Lighting'!$H$10, "")</f>
        <v/>
      </c>
      <c r="BB57" s="2189" t="str">
        <f>IF('[1]Outdoor Lighting'!$D$10="CFL", VLOOKUP('[1]Outdoor Lighting'!$D$10&amp;", "&amp;'[1]Outdoor Lighting'!$H$10, [1]LightTrans!$A$2:$B$83, 2, FALSE), "")</f>
        <v/>
      </c>
    </row>
    <row r="58" spans="1:54">
      <c r="A58" s="572"/>
      <c r="B58" s="2200"/>
      <c r="C58" s="2189" t="str">
        <f t="shared" si="5"/>
        <v/>
      </c>
      <c r="D58" s="2190" t="str">
        <f>IF(C58="","",IF('[1]Outdoor Lighting'!$D$11="CFL",'[1]Outdoor Lighting'!$J$11,""))</f>
        <v/>
      </c>
      <c r="E58" s="2191"/>
      <c r="F58" s="2192" t="s">
        <v>157</v>
      </c>
      <c r="G58" s="2193" t="str">
        <f t="shared" si="22"/>
        <v/>
      </c>
      <c r="H58" s="2194" t="str">
        <f t="shared" si="24"/>
        <v/>
      </c>
      <c r="I58" s="2219" t="str">
        <f>IF(C58="","",IF('[1]Outdoor Lighting'!$D$11="CFL","I",""))</f>
        <v/>
      </c>
      <c r="J58" s="2195" t="str">
        <f t="shared" si="23"/>
        <v/>
      </c>
      <c r="K58" s="2196" t="str">
        <f t="shared" si="25"/>
        <v/>
      </c>
      <c r="L58" s="2197" t="str">
        <f>IF(C58="","",IF('[1]Outdoor Lighting'!$D$11="CFL","Outside "&amp;'[1]Outdoor Lighting'!$B$11,""))</f>
        <v/>
      </c>
      <c r="M58" s="2198"/>
      <c r="N58" s="2198"/>
      <c r="O58" s="2198"/>
      <c r="P58" s="2199"/>
      <c r="Q58" s="572"/>
      <c r="R58" s="572"/>
      <c r="S58" s="572"/>
      <c r="AK58" s="87"/>
      <c r="BA58" s="2200" t="str">
        <f>IF(ISNA(BB58), '[1]Outdoor Lighting'!$D$11&amp;", "&amp;'[1]Outdoor Lighting'!$H$11, "")</f>
        <v/>
      </c>
      <c r="BB58" s="2189" t="str">
        <f>IF('[1]Outdoor Lighting'!$D$11="CFL", VLOOKUP('[1]Outdoor Lighting'!$D$11&amp;", "&amp;'[1]Outdoor Lighting'!$H$11, [1]LightTrans!$A$2:$B$83, 2, FALSE), "")</f>
        <v/>
      </c>
    </row>
    <row r="59" spans="1:54">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c r="BB59" s="2181" t="s">
        <v>225</v>
      </c>
    </row>
    <row r="60" spans="1:54">
      <c r="A60" s="572"/>
      <c r="B60" s="2200"/>
      <c r="C60" s="2189" t="str">
        <f t="shared" si="5"/>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30">IF(C60="","",(G60*D60)/1000)</f>
        <v/>
      </c>
      <c r="I60" s="2219" t="str">
        <f>IF(C60="","",IF(OR('[1]Indoor Lighting'!$E$2="T5", ISNUMBER(FIND("T8", '[1]Indoor Lighting'!$E$2)), ISNUMBER(FIND("T12", '[1]Indoor Lighting'!$E$2))),  "A", ""))</f>
        <v/>
      </c>
      <c r="J60" s="2195" t="str">
        <f>IF(C60="","",VLOOKUP(I60,sched1,3,FALSE))</f>
        <v/>
      </c>
      <c r="K60" s="2196" t="str">
        <f t="shared" ref="K60:K65" si="31">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c r="BA60" s="2200" t="str">
        <f>IF(ISNA(BB60), '[1]Indoor Lighting'!$E$2&amp;", "&amp;'[1]Indoor Lighting'!$J$2, "")</f>
        <v/>
      </c>
      <c r="BB60" s="2189" t="str">
        <f>IF(OR('[1]Indoor Lighting'!$E$2="T5", ISNUMBER(FIND("T8", '[1]Indoor Lighting'!$E$2)), ISNUMBER(FIND("T12", '[1]Indoor Lighting'!$E$2))), VLOOKUP('[1]Indoor Lighting'!$E$2&amp;", "&amp;'[1]Indoor Lighting'!$J$2, [1]LightTrans!$A$2:$B$83, 2, FALSE), "")</f>
        <v/>
      </c>
    </row>
    <row r="61" spans="1:54">
      <c r="A61" s="572"/>
      <c r="B61" s="2200"/>
      <c r="C61" s="2189" t="str">
        <f t="shared" si="5"/>
        <v/>
      </c>
      <c r="D61" s="2189" t="str">
        <f>IF(C61="","",IF(OR('[1]Indoor Lighting'!$E$3="T5", ISNUMBER(FIND("T8", '[1]Indoor Lighting'!$E$3)), ISNUMBER(FIND("T12", '[1]Indoor Lighting'!$E$3))),  '[1]Indoor Lighting'!$L$3, ""))</f>
        <v/>
      </c>
      <c r="E61" s="2191"/>
      <c r="F61" s="2192"/>
      <c r="G61" s="2193" t="str">
        <f>IF(C61="","",VLOOKUP(C61,'Data light kwh'!$B$4:$J$989,7,FALSE))</f>
        <v/>
      </c>
      <c r="H61" s="2194" t="str">
        <f t="shared" si="30"/>
        <v/>
      </c>
      <c r="I61" s="2219" t="str">
        <f>IF(C61="","",IF(OR('[1]Indoor Lighting'!$E$3="T5",ISNUMBER(FIND("T8",'[1]Indoor Lighting'!$E$3)),ISNUMBER(FIND("T12",'[1]Indoor Lighting'!$E$3))),"A",""))</f>
        <v/>
      </c>
      <c r="J61" s="2195" t="str">
        <f>IF(C61="","",VLOOKUP(I61,sched1,3,FALSE))</f>
        <v/>
      </c>
      <c r="K61" s="2196" t="str">
        <f t="shared" si="31"/>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c r="BA61" s="2200" t="str">
        <f>IF(ISNA(BB61),  '[1]Indoor Lighting'!$E$3&amp;", "&amp;'[1]Indoor Lighting'!$J$3, "")</f>
        <v/>
      </c>
      <c r="BB61" s="2189" t="str">
        <f>IF(OR('[1]Indoor Lighting'!$E$3="T5", ISNUMBER(FIND("T8", '[1]Indoor Lighting'!$E$3)), ISNUMBER(FIND("T12", '[1]Indoor Lighting'!$E$3))), VLOOKUP('[1]Indoor Lighting'!$E$3&amp;", "&amp;'[1]Indoor Lighting'!$J$3, [1]LightTrans!$A$2:$B$83, 2, FALSE), "")</f>
        <v/>
      </c>
    </row>
    <row r="62" spans="1:54">
      <c r="A62" s="572"/>
      <c r="B62" s="2200"/>
      <c r="C62" s="2189" t="str">
        <f t="shared" si="5"/>
        <v/>
      </c>
      <c r="D62" s="2189" t="str">
        <f>IF(C62="","",IF(OR('[1]Indoor Lighting'!$E$4="T5", ISNUMBER(FIND("T8", '[1]Indoor Lighting'!$E$4)), ISNUMBER(FIND("T12", '[1]Indoor Lighting'!$E$4))),  '[1]Indoor Lighting'!$L$4, ""))</f>
        <v/>
      </c>
      <c r="E62" s="2191"/>
      <c r="F62" s="2192"/>
      <c r="G62" s="2193" t="str">
        <f>IF(C62="","",VLOOKUP(C62,'Data light kwh'!$B$4:$J$989,7,FALSE))</f>
        <v/>
      </c>
      <c r="H62" s="2194" t="str">
        <f t="shared" si="30"/>
        <v/>
      </c>
      <c r="I62" s="2219" t="str">
        <f>IF(C62="","",IF(OR('[1]Indoor Lighting'!$E$4="T5", ISNUMBER(FIND("T8", '[1]Indoor Lighting'!$E$4)), ISNUMBER(FIND("T12", '[1]Indoor Lighting'!$E$4))),  "A", ""))</f>
        <v/>
      </c>
      <c r="J62" s="2195" t="str">
        <f>IF(C62="","",VLOOKUP(I62,sched1,3,FALSE))</f>
        <v/>
      </c>
      <c r="K62" s="2196" t="str">
        <f t="shared" si="31"/>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c r="BA62" s="2200" t="str">
        <f>IF(ISNA(BB62), '[1]Indoor Lighting'!$E$4&amp;", "&amp;'[1]Indoor Lighting'!$J$4, "")</f>
        <v/>
      </c>
      <c r="BB62" s="2189" t="str">
        <f>IF(OR('[1]Indoor Lighting'!$E$4="T5", ISNUMBER(FIND("T8", '[1]Indoor Lighting'!$E$4)), ISNUMBER(FIND("T12", '[1]Indoor Lighting'!$E$4))), VLOOKUP('[1]Indoor Lighting'!$E$4&amp;", "&amp;'[1]Indoor Lighting'!$J$4, [1]LightTrans!$A$2:$B$83, 2, FALSE), "")</f>
        <v/>
      </c>
    </row>
    <row r="63" spans="1:54">
      <c r="A63" s="572"/>
      <c r="B63" s="2200"/>
      <c r="C63" s="2189" t="str">
        <f t="shared" si="5"/>
        <v/>
      </c>
      <c r="D63" s="2189" t="str">
        <f>IF(C63="","",IF(OR('[1]Indoor Lighting'!$E$5="T5", ISNUMBER(FIND("T8", '[1]Indoor Lighting'!$E$5)), ISNUMBER(FIND("T12", '[1]Indoor Lighting'!$E$5))),  '[1]Indoor Lighting'!$L$5, ""))</f>
        <v/>
      </c>
      <c r="E63" s="2191"/>
      <c r="F63" s="2192"/>
      <c r="G63" s="2193" t="str">
        <f>IF(C63="","",VLOOKUP(C63,'Data light kwh'!$B$4:$J$989,7,FALSE))</f>
        <v/>
      </c>
      <c r="H63" s="2194" t="str">
        <f t="shared" si="30"/>
        <v/>
      </c>
      <c r="I63" s="2219" t="str">
        <f>IF(C63="","",IF(OR('[1]Indoor Lighting'!$E$5="T5", ISNUMBER(FIND("T8", '[1]Indoor Lighting'!$E$5)), ISNUMBER(FIND("T12", '[1]Indoor Lighting'!$E$5))),  "A", ""))</f>
        <v/>
      </c>
      <c r="J63" s="2195" t="str">
        <f>IF(C63="","",VLOOKUP(I63,sched1,3,FALSE))</f>
        <v/>
      </c>
      <c r="K63" s="2196" t="str">
        <f t="shared" si="31"/>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c r="BA63" s="2200" t="str">
        <f>IF(ISNA(BB63),'[1]Indoor Lighting'!$E$5&amp;", "&amp;'[1]Indoor Lighting'!$J$5, "")</f>
        <v/>
      </c>
      <c r="BB63" s="2189" t="str">
        <f>IF(OR('[1]Indoor Lighting'!$E$5="T5", ISNUMBER(FIND("T8", '[1]Indoor Lighting'!$E$5)), ISNUMBER(FIND("T12", '[1]Indoor Lighting'!$E$5))), VLOOKUP('[1]Indoor Lighting'!$E$5&amp;", "&amp;'[1]Indoor Lighting'!$J$5, [1]LightTrans!$A$2:$B$83, 2, FALSE), "")</f>
        <v/>
      </c>
    </row>
    <row r="64" spans="1:54">
      <c r="A64" s="572"/>
      <c r="B64" s="2200"/>
      <c r="C64" s="2189" t="str">
        <f t="shared" si="5"/>
        <v/>
      </c>
      <c r="D64" s="2189" t="str">
        <f>IF(C64="","",IF(OR('[1]Indoor Lighting'!$E$6="T5", ISNUMBER(FIND("T8", '[1]Indoor Lighting'!$E$6)), ISNUMBER(FIND("T12", '[1]Indoor Lighting'!$E$6))),  '[1]Indoor Lighting'!$L$6, ""))</f>
        <v/>
      </c>
      <c r="E64" s="2191"/>
      <c r="F64" s="2192"/>
      <c r="G64" s="2193" t="str">
        <f>IF(C64="","",VLOOKUP(C64,'Data light kwh'!$B$4:$J$989,7,FALSE))</f>
        <v/>
      </c>
      <c r="H64" s="2194" t="str">
        <f t="shared" si="30"/>
        <v/>
      </c>
      <c r="I64" s="2219" t="str">
        <f>IF(C64="","",IF(OR('[1]Indoor Lighting'!$E$6="T5", ISNUMBER(FIND("T8", '[1]Indoor Lighting'!$E$6)), ISNUMBER(FIND("T12", '[1]Indoor Lighting'!$E$6))),  "A", ""))</f>
        <v/>
      </c>
      <c r="J64" s="2195" t="str">
        <f>IF(C64="","",VLOOKUP(I64,sched1,3,FALSE))</f>
        <v/>
      </c>
      <c r="K64" s="2196" t="str">
        <f t="shared" si="31"/>
        <v/>
      </c>
      <c r="L64" s="2219" t="str">
        <f>IF(C64="","",IF(OR('[1]Indoor Lighting'!$E$6="T5", ISNUMBER(FIND("T8", '[1]Indoor Lighting'!$E$6)), ISNUMBER(FIND("T12", '[1]Indoor Lighting'!$E$6))),  '[1]Indoor Lighting'!$B$6, ""))</f>
        <v/>
      </c>
      <c r="M64" s="2198"/>
      <c r="N64" s="2198"/>
      <c r="O64" s="2198"/>
      <c r="P64" s="2199"/>
      <c r="Q64" s="572"/>
      <c r="R64" s="572"/>
      <c r="S64" s="572"/>
      <c r="AJ64" s="87"/>
      <c r="AK64" s="87"/>
      <c r="BA64" s="2200" t="str">
        <f>IF(ISNA(BB64), '[1]Indoor Lighting'!$E$6&amp;", "&amp;'[1]Indoor Lighting'!$J$6, "")</f>
        <v/>
      </c>
      <c r="BB64" s="2189" t="str">
        <f>IF(OR('[1]Indoor Lighting'!$E$6="T5", ISNUMBER(FIND("T8", '[1]Indoor Lighting'!$E$6)), ISNUMBER(FIND("T12", '[1]Indoor Lighting'!$E$6))), VLOOKUP('[1]Indoor Lighting'!$E$6&amp;", "&amp;'[1]Indoor Lighting'!$J$6, [1]LightTrans!$A$2:$B$83, 2, FALSE), "")</f>
        <v/>
      </c>
    </row>
    <row r="65" spans="1:54">
      <c r="A65" s="572"/>
      <c r="B65" s="2200"/>
      <c r="C65" s="2189" t="str">
        <f t="shared" si="5"/>
        <v/>
      </c>
      <c r="D65" s="2189" t="str">
        <f>IF(C65="","",IF(OR('[1]Indoor Lighting'!$E$7="T5", ISNUMBER(FIND("T8", '[1]Indoor Lighting'!$E$7)), ISNUMBER(FIND("T12", '[1]Indoor Lighting'!$E$7))),  '[1]Indoor Lighting'!$L$7, ""))</f>
        <v/>
      </c>
      <c r="E65" s="2191"/>
      <c r="F65" s="2192" t="s">
        <v>157</v>
      </c>
      <c r="G65" s="2193" t="str">
        <f>IF(C65="","",VLOOKUP(C65,lighting,7,FALSE))</f>
        <v/>
      </c>
      <c r="H65" s="2194" t="str">
        <f t="shared" si="30"/>
        <v/>
      </c>
      <c r="I65" s="2219" t="str">
        <f>IF(C65="","",IF(OR('[1]Indoor Lighting'!$E$7="T5",ISNUMBER(FIND("T8",'[1]Indoor Lighting'!$E$7)),ISNUMBER(FIND("T12",'[1]Indoor Lighting'!$E$7))),"A",""))</f>
        <v/>
      </c>
      <c r="J65" s="2195" t="str">
        <f t="shared" ref="J65:J85" si="32">IF(C65="","",VLOOKUP(I65,sched1,3,FALSE))</f>
        <v/>
      </c>
      <c r="K65" s="2196" t="str">
        <f t="shared" si="31"/>
        <v/>
      </c>
      <c r="L65" s="2219" t="str">
        <f>IF(C65="","",IF(OR('[1]Indoor Lighting'!$E$7="T5", ISNUMBER(FIND("T8", '[1]Indoor Lighting'!$E$7)), ISNUMBER(FIND("T12", '[1]Indoor Lighting'!$E$7))),  '[1]Indoor Lighting'!$B$7, ""))</f>
        <v/>
      </c>
      <c r="M65" s="2198"/>
      <c r="N65" s="2198"/>
      <c r="O65" s="2198"/>
      <c r="P65" s="2199"/>
      <c r="Q65" s="572"/>
      <c r="R65" s="572"/>
      <c r="S65" s="572"/>
      <c r="AJ65" s="87"/>
      <c r="AK65" s="87"/>
      <c r="BA65" s="2200" t="str">
        <f>IF(ISNA(BB65), '[1]Indoor Lighting'!$E$7&amp;", "&amp;'[1]Indoor Lighting'!$J$7, "")</f>
        <v/>
      </c>
      <c r="BB65" s="2189" t="str">
        <f>IF(OR('[1]Indoor Lighting'!$E$7="T5", ISNUMBER(FIND("T8", '[1]Indoor Lighting'!$E$7)), ISNUMBER(FIND("T12", '[1]Indoor Lighting'!$E$7))), VLOOKUP('[1]Indoor Lighting'!$E$7&amp;", "&amp;'[1]Indoor Lighting'!$J$7, [1]LightTrans!$A$2:$B$83, 2, FALSE), "")</f>
        <v/>
      </c>
    </row>
    <row r="66" spans="1:54">
      <c r="A66" s="572"/>
      <c r="B66" s="2200"/>
      <c r="C66" s="2189" t="str">
        <f t="shared" si="5"/>
        <v/>
      </c>
      <c r="D66" s="2189" t="str">
        <f>IF(C66="","",IF(OR('[1]Indoor Lighting'!$E$8="T5", ISNUMBER(FIND("T8", '[1]Indoor Lighting'!$E$8)), ISNUMBER(FIND("T12", '[1]Indoor Lighting'!$E$8))),  '[1]Indoor Lighting'!$L$8, ""))</f>
        <v/>
      </c>
      <c r="E66" s="2191"/>
      <c r="F66" s="2192" t="s">
        <v>157</v>
      </c>
      <c r="G66" s="2193" t="str">
        <f t="shared" ref="G66:G85" si="33">IF(C66="","",VLOOKUP(C66,lighting,7,FALSE))</f>
        <v/>
      </c>
      <c r="H66" s="2194" t="str">
        <f t="shared" ref="H66:H85" si="34">IF(C66="","",(G66*D66)/1000)</f>
        <v/>
      </c>
      <c r="I66" s="2219" t="str">
        <f>IF(C66="","",IF(OR('[1]Indoor Lighting'!$E$8="T5", ISNUMBER(FIND("T8", '[1]Indoor Lighting'!$E$8)), ISNUMBER(FIND("T12", '[1]Indoor Lighting'!$E$8))),  "A", ""))</f>
        <v/>
      </c>
      <c r="J66" s="2195" t="str">
        <f t="shared" si="32"/>
        <v/>
      </c>
      <c r="K66" s="2196" t="str">
        <f t="shared" ref="K66:K85" si="35">IF(C66="","",J66*H66)</f>
        <v/>
      </c>
      <c r="L66" s="2219" t="str">
        <f>IF(C66="","",IF(OR('[1]Indoor Lighting'!$E$8="T5", ISNUMBER(FIND("T8", '[1]Indoor Lighting'!$E$8)), ISNUMBER(FIND("T12", '[1]Indoor Lighting'!$E$8))),  '[1]Indoor Lighting'!$B$8, ""))</f>
        <v/>
      </c>
      <c r="M66" s="2198"/>
      <c r="N66" s="2198"/>
      <c r="O66" s="2198"/>
      <c r="P66" s="2199"/>
      <c r="Q66" s="572"/>
      <c r="R66" s="572"/>
      <c r="S66" s="572"/>
      <c r="AJ66" s="87"/>
      <c r="AK66" s="87"/>
      <c r="BA66" s="2200" t="str">
        <f>IF(ISNA(BB66), '[1]Indoor Lighting'!$E$8&amp;", "&amp;'[1]Indoor Lighting'!$J$8, "")</f>
        <v/>
      </c>
      <c r="BB66" s="2189" t="str">
        <f>IF(OR('[1]Indoor Lighting'!$E$8="T5", ISNUMBER(FIND("T8", '[1]Indoor Lighting'!$E$8)), ISNUMBER(FIND("T12", '[1]Indoor Lighting'!$E$8))), VLOOKUP('[1]Indoor Lighting'!$E$8&amp;", "&amp;'[1]Indoor Lighting'!$J$8, [1]LightTrans!$A$2:$B$83, 2, FALSE), "")</f>
        <v/>
      </c>
    </row>
    <row r="67" spans="1:54">
      <c r="A67" s="572"/>
      <c r="B67" s="2200"/>
      <c r="C67" s="2189" t="str">
        <f t="shared" si="5"/>
        <v/>
      </c>
      <c r="D67" s="2189" t="str">
        <f>IF(C67="","",IF(OR('[1]Indoor Lighting'!$E$9="T5", ISNUMBER(FIND("T8", '[1]Indoor Lighting'!$E$9)), ISNUMBER(FIND("T12", '[1]Indoor Lighting'!$E$9))),  '[1]Indoor Lighting'!$L$9, ""))</f>
        <v/>
      </c>
      <c r="E67" s="2191"/>
      <c r="F67" s="2192" t="s">
        <v>157</v>
      </c>
      <c r="G67" s="2193" t="str">
        <f t="shared" si="33"/>
        <v/>
      </c>
      <c r="H67" s="2194" t="str">
        <f t="shared" si="34"/>
        <v/>
      </c>
      <c r="I67" s="2219" t="str">
        <f>IF(C67="","",IF(OR('[1]Indoor Lighting'!$E$9="T5", ISNUMBER(FIND("T8", '[1]Indoor Lighting'!$E$9)), ISNUMBER(FIND("T12", '[1]Indoor Lighting'!$E$9))),  "A", ""))</f>
        <v/>
      </c>
      <c r="J67" s="2195" t="str">
        <f t="shared" si="32"/>
        <v/>
      </c>
      <c r="K67" s="2196" t="str">
        <f t="shared" si="35"/>
        <v/>
      </c>
      <c r="L67" s="2219" t="str">
        <f>IF(C67="","",IF(OR('[1]Indoor Lighting'!$E$9="T5", ISNUMBER(FIND("T8", '[1]Indoor Lighting'!$E$9)), ISNUMBER(FIND("T12", '[1]Indoor Lighting'!$E$9))),  '[1]Indoor Lighting'!$B$9, ""))</f>
        <v/>
      </c>
      <c r="M67" s="2198"/>
      <c r="N67" s="2198"/>
      <c r="O67" s="2198"/>
      <c r="P67" s="2199"/>
      <c r="Q67" s="572"/>
      <c r="R67" s="572"/>
      <c r="S67" s="572"/>
      <c r="AJ67" s="87"/>
      <c r="AK67" s="87"/>
      <c r="BA67" s="2200" t="str">
        <f>IF(ISNA(BB67), '[1]Indoor Lighting'!$E$9&amp;", "&amp;'[1]Indoor Lighting'!$J$9, "")</f>
        <v/>
      </c>
      <c r="BB67" s="2189" t="str">
        <f>IF(OR('[1]Indoor Lighting'!$E$9="T5", ISNUMBER(FIND("T8", '[1]Indoor Lighting'!$E$9)), ISNUMBER(FIND("T12", '[1]Indoor Lighting'!$E$9))), VLOOKUP('[1]Indoor Lighting'!$E$9&amp;", "&amp;'[1]Indoor Lighting'!$J$9, [1]LightTrans!$A$2:$B$83, 2, FALSE), "")</f>
        <v/>
      </c>
    </row>
    <row r="68" spans="1:54">
      <c r="A68" s="572"/>
      <c r="B68" s="2200"/>
      <c r="C68" s="2189" t="str">
        <f t="shared" si="5"/>
        <v/>
      </c>
      <c r="D68" s="2189" t="str">
        <f>IF(C68="","",IF(OR('[1]Indoor Lighting'!$E$10="T5", ISNUMBER(FIND("T8", '[1]Indoor Lighting'!$E$10)), ISNUMBER(FIND("T12", '[1]Indoor Lighting'!$E$10))),  '[1]Indoor Lighting'!$L$10, ""))</f>
        <v/>
      </c>
      <c r="E68" s="2191"/>
      <c r="F68" s="2192" t="s">
        <v>157</v>
      </c>
      <c r="G68" s="2193" t="str">
        <f t="shared" si="33"/>
        <v/>
      </c>
      <c r="H68" s="2194" t="str">
        <f t="shared" si="34"/>
        <v/>
      </c>
      <c r="I68" s="2219" t="str">
        <f>IF(C68="","",IF(OR('[1]Indoor Lighting'!$E$10="T5", ISNUMBER(FIND("T8", '[1]Indoor Lighting'!$E$10)), ISNUMBER(FIND("T12", '[1]Indoor Lighting'!$E$10))),  "A", ""))</f>
        <v/>
      </c>
      <c r="J68" s="2195" t="str">
        <f t="shared" si="32"/>
        <v/>
      </c>
      <c r="K68" s="2196" t="str">
        <f t="shared" si="35"/>
        <v/>
      </c>
      <c r="L68" s="2219" t="str">
        <f>IF(C68="","",IF(OR('[1]Indoor Lighting'!$E$10="T5", ISNUMBER(FIND("T8", '[1]Indoor Lighting'!$E$10)), ISNUMBER(FIND("T12", '[1]Indoor Lighting'!$E$10))),  '[1]Indoor Lighting'!$B$10, ""))</f>
        <v/>
      </c>
      <c r="M68" s="2198"/>
      <c r="N68" s="2198"/>
      <c r="O68" s="2198"/>
      <c r="P68" s="2199"/>
      <c r="Q68" s="572"/>
      <c r="R68" s="572"/>
      <c r="S68" s="572"/>
      <c r="AJ68" s="87"/>
      <c r="AK68" s="87"/>
      <c r="BA68" s="2200" t="str">
        <f>IF(ISNA(BB68), '[1]Indoor Lighting'!$E$10&amp;", "&amp;'[1]Indoor Lighting'!$J$10, "")</f>
        <v/>
      </c>
      <c r="BB68" s="2189" t="str">
        <f>IF(OR('[1]Indoor Lighting'!$E$10="T5", ISNUMBER(FIND("T8", '[1]Indoor Lighting'!$E$10)), ISNUMBER(FIND("T12", '[1]Indoor Lighting'!$E$10))), VLOOKUP('[1]Indoor Lighting'!$E$10&amp;", "&amp;'[1]Indoor Lighting'!$J$10, [1]LightTrans!$A$2:$B$83, 2, FALSE), "")</f>
        <v/>
      </c>
    </row>
    <row r="69" spans="1:54">
      <c r="A69" s="572"/>
      <c r="B69" s="2200"/>
      <c r="C69" s="2189" t="str">
        <f t="shared" si="5"/>
        <v/>
      </c>
      <c r="D69" s="2189" t="str">
        <f>IF(C69="","",IF(OR('[1]Indoor Lighting'!$E$11="T5", ISNUMBER(FIND("T8", '[1]Indoor Lighting'!$E$11)), ISNUMBER(FIND("T12", '[1]Indoor Lighting'!$E$11))),  '[1]Indoor Lighting'!$L$11, ""))</f>
        <v/>
      </c>
      <c r="E69" s="2191"/>
      <c r="F69" s="2192" t="s">
        <v>157</v>
      </c>
      <c r="G69" s="2193" t="str">
        <f t="shared" ref="G69:G83" si="36">IF(C69="","",VLOOKUP(C69,lighting,7,FALSE))</f>
        <v/>
      </c>
      <c r="H69" s="2194" t="str">
        <f t="shared" ref="H69:H83" si="37">IF(C69="","",(G69*D69)/1000)</f>
        <v/>
      </c>
      <c r="I69" s="2219" t="str">
        <f>IF(C69="","",IF(OR('[1]Indoor Lighting'!$E$11="T5", ISNUMBER(FIND("T8", '[1]Indoor Lighting'!$E$11)), ISNUMBER(FIND("T12", '[1]Indoor Lighting'!$E$11))),  "A", ""))</f>
        <v/>
      </c>
      <c r="J69" s="2195" t="str">
        <f t="shared" ref="J69:J83" si="38">IF(C69="","",VLOOKUP(I69,sched1,3,FALSE))</f>
        <v/>
      </c>
      <c r="K69" s="2196" t="str">
        <f t="shared" ref="K69:K83" si="39">IF(C69="","",J69*H69)</f>
        <v/>
      </c>
      <c r="L69" s="2219" t="str">
        <f>IF(C69="","",IF(OR('[1]Indoor Lighting'!$E$11="T5", ISNUMBER(FIND("T8", '[1]Indoor Lighting'!$E$11)), ISNUMBER(FIND("T12", '[1]Indoor Lighting'!$E$11))),  '[1]Indoor Lighting'!$B$11, ""))</f>
        <v/>
      </c>
      <c r="M69" s="2198"/>
      <c r="N69" s="2198"/>
      <c r="O69" s="2198"/>
      <c r="P69" s="2199"/>
      <c r="Q69" s="572"/>
      <c r="R69" s="572"/>
      <c r="S69" s="572"/>
      <c r="AJ69" s="87"/>
      <c r="AK69" s="87"/>
      <c r="BA69" s="2200" t="str">
        <f>IF(ISNA(BB69), '[1]Indoor Lighting'!$E$11&amp;", "&amp;'[1]Indoor Lighting'!$J$11, "")</f>
        <v/>
      </c>
      <c r="BB69" s="2189" t="str">
        <f>IF(OR('[1]Indoor Lighting'!$E$11="T5", ISNUMBER(FIND("T8", '[1]Indoor Lighting'!$E$11)), ISNUMBER(FIND("T12", '[1]Indoor Lighting'!$E$11))), VLOOKUP('[1]Indoor Lighting'!$E$11&amp;", "&amp;'[1]Indoor Lighting'!$J$11, [1]LightTrans!$A$2:$B$83, 2, FALSE), "")</f>
        <v/>
      </c>
    </row>
    <row r="70" spans="1:54">
      <c r="A70" s="572"/>
      <c r="B70" s="2200"/>
      <c r="C70" s="2189" t="str">
        <f t="shared" si="5"/>
        <v/>
      </c>
      <c r="D70" s="2189" t="str">
        <f>IF(C70="","",IF(OR('[1]Indoor Lighting'!$E$12="T5", ISNUMBER(FIND("T8", '[1]Indoor Lighting'!$E$12)), ISNUMBER(FIND("T12", '[1]Indoor Lighting'!$E$12))),  '[1]Indoor Lighting'!$L$12, ""))</f>
        <v/>
      </c>
      <c r="E70" s="2191"/>
      <c r="F70" s="2192" t="s">
        <v>157</v>
      </c>
      <c r="G70" s="2193" t="str">
        <f t="shared" si="36"/>
        <v/>
      </c>
      <c r="H70" s="2194" t="str">
        <f t="shared" si="37"/>
        <v/>
      </c>
      <c r="I70" s="2219" t="str">
        <f>IF(C70="","",IF(OR('[1]Indoor Lighting'!$E$12="T5", ISNUMBER(FIND("T8", '[1]Indoor Lighting'!$E$12)), ISNUMBER(FIND("T12", '[1]Indoor Lighting'!$E$12))),  "A", ""))</f>
        <v/>
      </c>
      <c r="J70" s="2195" t="str">
        <f t="shared" si="38"/>
        <v/>
      </c>
      <c r="K70" s="2196" t="str">
        <f t="shared" si="39"/>
        <v/>
      </c>
      <c r="L70" s="2219" t="str">
        <f>IF(C70="","",IF(OR('[1]Indoor Lighting'!$E$12="T5", ISNUMBER(FIND("T8", '[1]Indoor Lighting'!$E$12)), ISNUMBER(FIND("T12", '[1]Indoor Lighting'!$E$12))),  '[1]Indoor Lighting'!$B$12, ""))</f>
        <v/>
      </c>
      <c r="M70" s="2198"/>
      <c r="N70" s="2198"/>
      <c r="O70" s="2198"/>
      <c r="P70" s="2199"/>
      <c r="Q70" s="572"/>
      <c r="R70" s="572"/>
      <c r="S70" s="572"/>
      <c r="AJ70" s="87"/>
      <c r="AK70" s="87"/>
      <c r="BA70" s="2200" t="str">
        <f>IF(ISNA(BB70), '[1]Indoor Lighting'!$E$12&amp;", "&amp;'[1]Indoor Lighting'!$J$12, "")</f>
        <v/>
      </c>
      <c r="BB70" s="2189" t="str">
        <f>IF(OR('[1]Indoor Lighting'!$E$12="T5", ISNUMBER(FIND("T8", '[1]Indoor Lighting'!$E$12)), ISNUMBER(FIND("T12", '[1]Indoor Lighting'!$E$12))), VLOOKUP('[1]Indoor Lighting'!$E$12&amp;", "&amp;'[1]Indoor Lighting'!$J$12, [1]LightTrans!$A$2:$B$83, 2, FALSE), "")</f>
        <v/>
      </c>
    </row>
    <row r="71" spans="1:54">
      <c r="A71" s="572"/>
      <c r="B71" s="2200"/>
      <c r="C71" s="2189" t="str">
        <f t="shared" si="5"/>
        <v/>
      </c>
      <c r="D71" s="2189" t="str">
        <f>IF(C71="","",IF(OR('[1]Indoor Lighting'!$E$13="T5", ISNUMBER(FIND("T8", '[1]Indoor Lighting'!$E$13)), ISNUMBER(FIND("T12", '[1]Indoor Lighting'!$E$13))),  '[1]Indoor Lighting'!$L$13, ""))</f>
        <v/>
      </c>
      <c r="E71" s="2191"/>
      <c r="F71" s="2192"/>
      <c r="G71" s="2193" t="str">
        <f t="shared" si="36"/>
        <v/>
      </c>
      <c r="H71" s="2194" t="str">
        <f t="shared" si="37"/>
        <v/>
      </c>
      <c r="I71" s="2219" t="str">
        <f>IF(C71="","",IF(OR('[1]Indoor Lighting'!$E$13="T5", ISNUMBER(FIND("T8", '[1]Indoor Lighting'!$E$13)), ISNUMBER(FIND("T12", '[1]Indoor Lighting'!$E$13))),  "A", ""))</f>
        <v/>
      </c>
      <c r="J71" s="2195" t="str">
        <f t="shared" si="38"/>
        <v/>
      </c>
      <c r="K71" s="2196" t="str">
        <f t="shared" si="39"/>
        <v/>
      </c>
      <c r="L71" s="2219" t="str">
        <f>IF(C71="","",IF(OR('[1]Indoor Lighting'!$E$13="T5", ISNUMBER(FIND("T8", '[1]Indoor Lighting'!$E$13)), ISNUMBER(FIND("T12", '[1]Indoor Lighting'!$E$13))),  '[1]Indoor Lighting'!$B$13, ""))</f>
        <v/>
      </c>
      <c r="M71" s="2198"/>
      <c r="N71" s="2198"/>
      <c r="O71" s="2198"/>
      <c r="P71" s="2199"/>
      <c r="Q71" s="572"/>
      <c r="R71" s="572"/>
      <c r="S71" s="572"/>
      <c r="AJ71" s="87"/>
      <c r="AK71" s="87"/>
      <c r="BA71" s="2200" t="str">
        <f>IF(ISNA(BB71), '[1]Indoor Lighting'!$E$13&amp;", "&amp;'[1]Indoor Lighting'!$J$13, "")</f>
        <v/>
      </c>
      <c r="BB71" s="2189" t="str">
        <f>IF(OR('[1]Indoor Lighting'!$E$13="T5", ISNUMBER(FIND("T8", '[1]Indoor Lighting'!$E$13)), ISNUMBER(FIND("T12", '[1]Indoor Lighting'!$E$13))), VLOOKUP('[1]Indoor Lighting'!$E$13&amp;", "&amp;'[1]Indoor Lighting'!$J$13, [1]LightTrans!$A$2:$B$83, 2, FALSE), "")</f>
        <v/>
      </c>
    </row>
    <row r="72" spans="1:54">
      <c r="A72" s="572"/>
      <c r="B72" s="2200"/>
      <c r="C72" s="2189" t="str">
        <f t="shared" si="5"/>
        <v/>
      </c>
      <c r="D72" s="2189" t="str">
        <f>IF(C72="","",IF(OR('[1]Indoor Lighting'!$E$14="T5", ISNUMBER(FIND("T8", '[1]Indoor Lighting'!$E$14)), ISNUMBER(FIND("T12", '[1]Indoor Lighting'!$E$14))),  '[1]Indoor Lighting'!$L$14, ""))</f>
        <v/>
      </c>
      <c r="E72" s="2191"/>
      <c r="F72" s="2192"/>
      <c r="G72" s="2193" t="str">
        <f t="shared" si="36"/>
        <v/>
      </c>
      <c r="H72" s="2194" t="str">
        <f t="shared" si="37"/>
        <v/>
      </c>
      <c r="I72" s="2219" t="str">
        <f>IF(C72="","",IF(OR('[1]Indoor Lighting'!$E$14="T5", ISNUMBER(FIND("T8", '[1]Indoor Lighting'!$E$14)), ISNUMBER(FIND("T12", '[1]Indoor Lighting'!$E$14))),  "A", ""))</f>
        <v/>
      </c>
      <c r="J72" s="2195" t="str">
        <f t="shared" si="38"/>
        <v/>
      </c>
      <c r="K72" s="2196" t="str">
        <f t="shared" si="39"/>
        <v/>
      </c>
      <c r="L72" s="2219" t="str">
        <f>IF(C72="","",IF(OR('[1]Indoor Lighting'!$E$14="T5", ISNUMBER(FIND("T8", '[1]Indoor Lighting'!$E$14)), ISNUMBER(FIND("T12", '[1]Indoor Lighting'!$E$14))),  '[1]Indoor Lighting'!$B$14, ""))</f>
        <v/>
      </c>
      <c r="M72" s="2198"/>
      <c r="N72" s="2198"/>
      <c r="O72" s="2198"/>
      <c r="P72" s="2199"/>
      <c r="Q72" s="572"/>
      <c r="R72" s="572"/>
      <c r="S72" s="572"/>
      <c r="AJ72" s="87"/>
      <c r="AK72" s="87"/>
      <c r="BA72" s="2200" t="str">
        <f>IF(ISNA(BB72),'[1]Indoor Lighting'!$E$14&amp;", "&amp;'[1]Indoor Lighting'!$J$14,"")</f>
        <v/>
      </c>
      <c r="BB72" s="2189" t="str">
        <f>IF(OR('[1]Indoor Lighting'!$E$14="T5", ISNUMBER(FIND("T8", '[1]Indoor Lighting'!$E$14)), ISNUMBER(FIND("T12", '[1]Indoor Lighting'!$E$14))), VLOOKUP('[1]Indoor Lighting'!$E$14&amp;", "&amp;'[1]Indoor Lighting'!$J$14, [1]LightTrans!$A$2:$B$83, 2, FALSE), "")</f>
        <v/>
      </c>
    </row>
    <row r="73" spans="1:54">
      <c r="A73" s="572"/>
      <c r="B73" s="2200"/>
      <c r="C73" s="2189" t="str">
        <f t="shared" si="5"/>
        <v/>
      </c>
      <c r="D73" s="2189" t="str">
        <f>IF(C73="","",IF(OR('[1]Indoor Lighting'!$E$15="T5", ISNUMBER(FIND("T8", '[1]Indoor Lighting'!$E$15)), ISNUMBER(FIND("T12", '[1]Indoor Lighting'!$E$15))),  '[1]Indoor Lighting'!$L$15, ""))</f>
        <v/>
      </c>
      <c r="E73" s="2191"/>
      <c r="F73" s="2192"/>
      <c r="G73" s="2193" t="str">
        <f t="shared" ref="G73" si="40">IF(C73="","",VLOOKUP(C73,lighting,7,FALSE))</f>
        <v/>
      </c>
      <c r="H73" s="2194" t="str">
        <f t="shared" ref="H73" si="41">IF(C73="","",(G73*D73)/1000)</f>
        <v/>
      </c>
      <c r="I73" s="2219" t="str">
        <f>IF(C73="","",IF(OR('[1]Indoor Lighting'!$E$15="T5", '[1]Indoor Lighting'!$E$15="T8", '[1]Indoor Lighting'!$E$15="T12"),  "A", ""))</f>
        <v/>
      </c>
      <c r="J73" s="2195" t="str">
        <f t="shared" ref="J73" si="42">IF(C73="","",VLOOKUP(I73,sched1,3,FALSE))</f>
        <v/>
      </c>
      <c r="K73" s="2196" t="str">
        <f t="shared" ref="K73" si="43">IF(C73="","",J73*H73)</f>
        <v/>
      </c>
      <c r="L73" s="2219" t="str">
        <f>IF(C73="","",IF(OR('[1]Indoor Lighting'!$E$15="T5", ISNUMBER(FIND("T8", '[1]Indoor Lighting'!$E$15)), ISNUMBER(FIND("T12", '[1]Indoor Lighting'!$E$15))),  '[1]Indoor Lighting'!$B$15, ""))</f>
        <v/>
      </c>
      <c r="M73" s="2198"/>
      <c r="N73" s="2198"/>
      <c r="O73" s="2198"/>
      <c r="P73" s="2199"/>
      <c r="Q73" s="572"/>
      <c r="R73" s="572"/>
      <c r="S73" s="572"/>
      <c r="AJ73" s="87"/>
      <c r="AK73" s="87"/>
      <c r="BA73" s="2200" t="str">
        <f>IF(ISNA(BB73), '[1]Indoor Lighting'!$E$15&amp;", "&amp;'[1]Indoor Lighting'!$J$15, "")</f>
        <v/>
      </c>
      <c r="BB73" s="2189" t="str">
        <f>IF(OR('[1]Indoor Lighting'!$E$15="T5", ISNUMBER(FIND("T8", '[1]Indoor Lighting'!$E$15)), ISNUMBER(FIND("T12", '[1]Indoor Lighting'!$E$15))), VLOOKUP('[1]Indoor Lighting'!$E$15&amp;", "&amp;'[1]Indoor Lighting'!$J$15, [1]LightTrans!$A$2:$B$83, 2, FALSE), "")</f>
        <v/>
      </c>
    </row>
    <row r="74" spans="1:54">
      <c r="A74" s="572"/>
      <c r="B74" s="2200"/>
      <c r="C74" s="2189" t="str">
        <f t="shared" si="5"/>
        <v/>
      </c>
      <c r="D74" s="2190" t="str">
        <f>IF(C74="","",IF(OR('[1]Outdoor Lighting'!$D$2="T5", ISNUMBER(FIND("T8", '[1]Outdoor Lighting'!$D$2)), ISNUMBER(FIND("T12", '[1]Outdoor Lighting'!$D$2))), '[1]Outdoor Lighting'!$J$2, ""))</f>
        <v/>
      </c>
      <c r="E74" s="2191"/>
      <c r="F74" s="2192"/>
      <c r="G74" s="2193" t="str">
        <f t="shared" si="36"/>
        <v/>
      </c>
      <c r="H74" s="2194" t="str">
        <f t="shared" si="37"/>
        <v/>
      </c>
      <c r="I74" s="2190" t="str">
        <f>IF(C74="","",IF(OR('[1]Outdoor Lighting'!$D$2="T5", ISNUMBER(FIND("T8", '[1]Outdoor Lighting'!$D$2)), ISNUMBER(FIND("T12", '[1]Outdoor Lighting'!$D$2))), "I", ""))</f>
        <v/>
      </c>
      <c r="J74" s="2195" t="str">
        <f t="shared" si="38"/>
        <v/>
      </c>
      <c r="K74" s="2196" t="str">
        <f t="shared" si="39"/>
        <v/>
      </c>
      <c r="L74" s="2190" t="str">
        <f>IF(C74="","",IF(OR('[1]Outdoor Lighting'!$D$2="T5", ISNUMBER(FIND("T8", '[1]Outdoor Lighting'!$D$2)), ISNUMBER(FIND("T12", '[1]Outdoor Lighting'!$D$2))), "Outside "&amp;'[1]Outdoor Lighting'!$B$2, ""))</f>
        <v/>
      </c>
      <c r="M74" s="2198"/>
      <c r="N74" s="2198"/>
      <c r="O74" s="2198"/>
      <c r="P74" s="2199"/>
      <c r="Q74" s="572"/>
      <c r="R74" s="572"/>
      <c r="S74" s="572"/>
      <c r="AJ74" s="87"/>
      <c r="AK74" s="87"/>
      <c r="BA74" s="2200" t="str">
        <f>IF(ISNA(BB74), '[1]Outdoor Lighting'!$D$2&amp;", "&amp;'[1]Outdoor Lighting'!$I$2, "")</f>
        <v/>
      </c>
      <c r="BB74" s="2189" t="str">
        <f>IF(OR('[1]Outdoor Lighting'!$D$2="T5", ISNUMBER(FIND("T8", '[1]Outdoor Lighting'!$D$2)), ISNUMBER(FIND("T12", '[1]Outdoor Lighting'!$D$2))), VLOOKUP('[1]Outdoor Lighting'!$D$2&amp;", "&amp;'[1]Outdoor Lighting'!$I$2, [1]LightTrans!$A$2:$B$83, 2, FALSE), "")</f>
        <v/>
      </c>
    </row>
    <row r="75" spans="1:54">
      <c r="A75" s="572"/>
      <c r="B75" s="2200"/>
      <c r="C75" s="2189" t="str">
        <f t="shared" ref="C75:C83" si="44">IF(ISNA(BB75), "", BB75)</f>
        <v/>
      </c>
      <c r="D75" s="2190" t="str">
        <f>IF(C75="","",IF(OR('[1]Outdoor Lighting'!$D$3="T5",ISNUMBER(FIND("T8",'[1]Outdoor Lighting'!$D$3)),ISNUMBER(FIND("T12",'[1]Outdoor Lighting'!$D$3))),'[1]Outdoor Lighting'!$J$3,""))</f>
        <v/>
      </c>
      <c r="E75" s="2191"/>
      <c r="F75" s="2192"/>
      <c r="G75" s="2193" t="str">
        <f t="shared" si="36"/>
        <v/>
      </c>
      <c r="H75" s="2194" t="str">
        <f t="shared" si="37"/>
        <v/>
      </c>
      <c r="I75" s="2190" t="str">
        <f>IF(C75="","",IF(OR('[1]Outdoor Lighting'!$D$3="T5",ISNUMBER(FIND("T8",'[1]Outdoor Lighting'!$D$3)),ISNUMBER(FIND("T12",'[1]Outdoor Lighting'!$D$3))),"I",""))</f>
        <v/>
      </c>
      <c r="J75" s="2195" t="str">
        <f t="shared" si="38"/>
        <v/>
      </c>
      <c r="K75" s="2196" t="str">
        <f t="shared" si="39"/>
        <v/>
      </c>
      <c r="L75" s="2190" t="str">
        <f>IF(C75="","",IF(OR('[1]Outdoor Lighting'!$D$3="T5", ISNUMBER(FIND("T8", '[1]Outdoor Lighting'!$D$3)), ISNUMBER(FIND("T12", '[1]Outdoor Lighting'!$D$3))), "Outside "&amp;'[1]Outdoor Lighting'!$B$3, ""))</f>
        <v/>
      </c>
      <c r="M75" s="2198"/>
      <c r="N75" s="2198"/>
      <c r="O75" s="2198"/>
      <c r="P75" s="2199"/>
      <c r="Q75" s="572"/>
      <c r="R75" s="572"/>
      <c r="S75" s="572"/>
      <c r="AJ75" s="87"/>
      <c r="AK75" s="87"/>
      <c r="BA75" s="2200" t="str">
        <f>IF(ISNA(BB75), '[1]Outdoor Lighting'!$D$3&amp;", "&amp;'[1]Outdoor Lighting'!$I$3, "")</f>
        <v/>
      </c>
      <c r="BB75" s="2189" t="str">
        <f>IF(OR('[1]Outdoor Lighting'!$D$3="T5", ISNUMBER(FIND("T8", '[1]Outdoor Lighting'!$D$3)), ISNUMBER(FIND("T12", '[1]Outdoor Lighting'!$D$3))), VLOOKUP('[1]Outdoor Lighting'!$D$3&amp;", "&amp;'[1]Outdoor Lighting'!$I$3, [1]LightTrans!$A$2:$B$83, 2, FALSE), "")</f>
        <v/>
      </c>
    </row>
    <row r="76" spans="1:54">
      <c r="A76" s="572"/>
      <c r="B76" s="2200"/>
      <c r="C76" s="2189" t="str">
        <f t="shared" si="44"/>
        <v/>
      </c>
      <c r="D76" s="2190" t="str">
        <f>IF(C76="","",IF(OR('[1]Outdoor Lighting'!$D$4="T5", ISNUMBER(FIND("T8", '[1]Outdoor Lighting'!$D$4)), ISNUMBER(FIND("T12", '[1]Outdoor Lighting'!$D$4))), '[1]Outdoor Lighting'!$J$4, ""))</f>
        <v/>
      </c>
      <c r="E76" s="2191"/>
      <c r="F76" s="2192"/>
      <c r="G76" s="2193" t="str">
        <f t="shared" si="36"/>
        <v/>
      </c>
      <c r="H76" s="2194" t="str">
        <f t="shared" si="37"/>
        <v/>
      </c>
      <c r="I76" s="2190" t="str">
        <f>IF(C76="","",IF(OR('[1]Outdoor Lighting'!$D$4="T5", ISNUMBER(FIND("T8", '[1]Outdoor Lighting'!$D$4)), ISNUMBER(FIND("T12", '[1]Outdoor Lighting'!$D$4))), "I", ""))</f>
        <v/>
      </c>
      <c r="J76" s="2195" t="str">
        <f t="shared" si="38"/>
        <v/>
      </c>
      <c r="K76" s="2196" t="str">
        <f t="shared" si="39"/>
        <v/>
      </c>
      <c r="L76" s="2190" t="str">
        <f>IF(C76="","",IF(OR('[1]Outdoor Lighting'!$D$4="T5", ISNUMBER(FIND("T8", '[1]Outdoor Lighting'!$D$4)), ISNUMBER(FIND("T12", '[1]Outdoor Lighting'!$D$4))), "Outside "&amp;'[1]Outdoor Lighting'!$B$4, ""))</f>
        <v/>
      </c>
      <c r="M76" s="2198"/>
      <c r="N76" s="2198"/>
      <c r="O76" s="2198"/>
      <c r="P76" s="2199"/>
      <c r="Q76" s="572"/>
      <c r="R76" s="572"/>
      <c r="S76" s="572"/>
      <c r="AJ76" s="87"/>
      <c r="AK76" s="87"/>
      <c r="BA76" s="2200" t="str">
        <f>IF(ISNA(BB76), '[1]Outdoor Lighting'!$D$4&amp;", "&amp;'[1]Outdoor Lighting'!$I$4, "")</f>
        <v/>
      </c>
      <c r="BB76" s="2189" t="str">
        <f>IF(OR('[1]Outdoor Lighting'!$D$4="T5", ISNUMBER(FIND("T8", '[1]Outdoor Lighting'!$D$4)), ISNUMBER(FIND("T12", '[1]Outdoor Lighting'!$D$4))), VLOOKUP('[1]Outdoor Lighting'!$D$4&amp;", "&amp;'[1]Outdoor Lighting'!$I$4, [1]LightTrans!$A$2:$B$83, 2, FALSE), "")</f>
        <v/>
      </c>
    </row>
    <row r="77" spans="1:54">
      <c r="A77" s="572"/>
      <c r="B77" s="2200"/>
      <c r="C77" s="2189" t="str">
        <f t="shared" si="44"/>
        <v/>
      </c>
      <c r="D77" s="2190" t="str">
        <f>IF(C77="","",IF(OR('[1]Outdoor Lighting'!$D$5="T5", ISNUMBER(FIND("T8", '[1]Outdoor Lighting'!$D$5)), ISNUMBER(FIND("T12", '[1]Outdoor Lighting'!$D$5))), '[1]Outdoor Lighting'!$J$5, ""))</f>
        <v/>
      </c>
      <c r="E77" s="2191"/>
      <c r="F77" s="2192"/>
      <c r="G77" s="2193" t="str">
        <f t="shared" si="36"/>
        <v/>
      </c>
      <c r="H77" s="2194" t="str">
        <f t="shared" si="37"/>
        <v/>
      </c>
      <c r="I77" s="2190" t="str">
        <f>IF(C77="","",IF(OR('[1]Outdoor Lighting'!$D$5="T5", ISNUMBER(FIND("T8", '[1]Outdoor Lighting'!$D$5)), ISNUMBER(FIND("T12", '[1]Outdoor Lighting'!$D$5))), "I", ""))</f>
        <v/>
      </c>
      <c r="J77" s="2195" t="str">
        <f t="shared" si="38"/>
        <v/>
      </c>
      <c r="K77" s="2196" t="str">
        <f t="shared" si="39"/>
        <v/>
      </c>
      <c r="L77" s="2190" t="str">
        <f>IF(C77="","",IF(OR('[1]Outdoor Lighting'!$D$5="T5", ISNUMBER(FIND("T8", '[1]Outdoor Lighting'!$D$5)), ISNUMBER(FIND("T12", '[1]Outdoor Lighting'!$D$5))), "Outside "&amp;'[1]Outdoor Lighting'!$B$5, ""))</f>
        <v/>
      </c>
      <c r="M77" s="2198"/>
      <c r="N77" s="2198"/>
      <c r="O77" s="2198"/>
      <c r="P77" s="2199"/>
      <c r="Q77" s="572"/>
      <c r="R77" s="572"/>
      <c r="S77" s="572"/>
      <c r="AJ77" s="87"/>
      <c r="AK77" s="87"/>
      <c r="BA77" s="2200" t="str">
        <f>IF(ISNA(BB77), '[1]Outdoor Lighting'!$D$5&amp;", "&amp;'[1]Outdoor Lighting'!$I$5, "")</f>
        <v/>
      </c>
      <c r="BB77" s="2189" t="str">
        <f>IF(OR('[1]Outdoor Lighting'!$D$5="T5", ISNUMBER(FIND("T8", '[1]Outdoor Lighting'!$D$5)), ISNUMBER(FIND("T12", '[1]Outdoor Lighting'!$D$5))), VLOOKUP('[1]Outdoor Lighting'!$D$5&amp;", "&amp;'[1]Outdoor Lighting'!$I$5, [1]LightTrans!$A$2:$B$83, 2, FALSE), "")</f>
        <v/>
      </c>
    </row>
    <row r="78" spans="1:54">
      <c r="A78" s="572"/>
      <c r="B78" s="2200"/>
      <c r="C78" s="2189" t="str">
        <f t="shared" si="44"/>
        <v/>
      </c>
      <c r="D78" s="2190" t="str">
        <f>IF(C78="","",IF(OR('[1]Outdoor Lighting'!$D$6="T5", ISNUMBER(FIND("T8", '[1]Outdoor Lighting'!$D$6)), ISNUMBER(FIND("T12", '[1]Outdoor Lighting'!$D$6))), '[1]Outdoor Lighting'!$J$6, ""))</f>
        <v/>
      </c>
      <c r="E78" s="2191"/>
      <c r="F78" s="2192"/>
      <c r="G78" s="2193" t="str">
        <f t="shared" si="36"/>
        <v/>
      </c>
      <c r="H78" s="2194" t="str">
        <f t="shared" si="37"/>
        <v/>
      </c>
      <c r="I78" s="2190" t="str">
        <f>IF(C78="","",IF(OR('[1]Outdoor Lighting'!$D$6="T5", ISNUMBER(FIND("T8", '[1]Outdoor Lighting'!$D$6)), ISNUMBER(FIND("T12", '[1]Outdoor Lighting'!$D$6))), "I", ""))</f>
        <v/>
      </c>
      <c r="J78" s="2195" t="str">
        <f t="shared" si="38"/>
        <v/>
      </c>
      <c r="K78" s="2196" t="str">
        <f t="shared" si="39"/>
        <v/>
      </c>
      <c r="L78" s="2190" t="str">
        <f>IF(C78="","",IF(OR('[1]Outdoor Lighting'!$D$6="T5", ISNUMBER(FIND("T8", '[1]Outdoor Lighting'!$D$6)), ISNUMBER(FIND("T12", '[1]Outdoor Lighting'!$D$6))), "Outside "&amp;'[1]Outdoor Lighting'!$B$6, ""))</f>
        <v/>
      </c>
      <c r="M78" s="2198"/>
      <c r="N78" s="2198"/>
      <c r="O78" s="2198"/>
      <c r="P78" s="2199"/>
      <c r="Q78" s="572"/>
      <c r="R78" s="572"/>
      <c r="S78" s="572"/>
      <c r="AJ78" s="87"/>
      <c r="AK78" s="87"/>
      <c r="BA78" s="2200" t="str">
        <f>IF(ISNA(BB78), '[1]Outdoor Lighting'!$D$6&amp;", "&amp;'[1]Outdoor Lighting'!$I$6, "")</f>
        <v/>
      </c>
      <c r="BB78" s="2189" t="str">
        <f>IF(OR('[1]Outdoor Lighting'!$D$6="T5", ISNUMBER(FIND("T8", '[1]Outdoor Lighting'!$D$6)), ISNUMBER(FIND("T12", '[1]Outdoor Lighting'!$D$6))), VLOOKUP('[1]Outdoor Lighting'!$D$6&amp;", "&amp;'[1]Outdoor Lighting'!$I$6, [1]LightTrans!$A$2:$B$83, 2, FALSE), "")</f>
        <v/>
      </c>
    </row>
    <row r="79" spans="1:54">
      <c r="A79" s="572"/>
      <c r="B79" s="2200"/>
      <c r="C79" s="2189" t="str">
        <f t="shared" si="44"/>
        <v/>
      </c>
      <c r="D79" s="2190" t="str">
        <f>IF(C79="","",IF(OR('[1]Outdoor Lighting'!$D$7="T5", ISNUMBER(FIND("T8", '[1]Outdoor Lighting'!$D$7)), ISNUMBER(FIND("T12", '[1]Outdoor Lighting'!$D$7))), '[1]Outdoor Lighting'!$J$7, ""))</f>
        <v/>
      </c>
      <c r="E79" s="2191"/>
      <c r="F79" s="2192"/>
      <c r="G79" s="2193" t="str">
        <f t="shared" si="36"/>
        <v/>
      </c>
      <c r="H79" s="2194" t="str">
        <f t="shared" si="37"/>
        <v/>
      </c>
      <c r="I79" s="2190" t="str">
        <f>IF(C79="","",IF(OR('[1]Outdoor Lighting'!$D$7="T5", ISNUMBER(FIND("T8", '[1]Outdoor Lighting'!$D$7)), ISNUMBER(FIND("T12", '[1]Outdoor Lighting'!$D$7))), "I", ""))</f>
        <v/>
      </c>
      <c r="J79" s="2195" t="str">
        <f t="shared" si="38"/>
        <v/>
      </c>
      <c r="K79" s="2196" t="str">
        <f t="shared" si="39"/>
        <v/>
      </c>
      <c r="L79" s="2190" t="str">
        <f>IF(C79="","",IF(OR('[1]Outdoor Lighting'!$D$7="T5", ISNUMBER(FIND("T8", '[1]Outdoor Lighting'!$D$7)), ISNUMBER(FIND("T12", '[1]Outdoor Lighting'!$D$7))), "Outside "&amp;'[1]Outdoor Lighting'!$B$7, ""))</f>
        <v/>
      </c>
      <c r="M79" s="2198"/>
      <c r="N79" s="2198"/>
      <c r="O79" s="2198"/>
      <c r="P79" s="2199"/>
      <c r="Q79" s="572"/>
      <c r="R79" s="572"/>
      <c r="S79" s="572"/>
      <c r="AJ79" s="87"/>
      <c r="AK79" s="87"/>
      <c r="BA79" s="2200" t="str">
        <f>IF(ISNA(BB79), '[1]Outdoor Lighting'!$D$7&amp;", "&amp;'[1]Outdoor Lighting'!$I$7, "")</f>
        <v/>
      </c>
      <c r="BB79" s="2189" t="str">
        <f>IF(OR('[1]Outdoor Lighting'!$D$7="T5", ISNUMBER(FIND("T8", '[1]Outdoor Lighting'!$D$7)), ISNUMBER(FIND("T12", '[1]Outdoor Lighting'!$D$7))), VLOOKUP('[1]Outdoor Lighting'!$D$7&amp;", "&amp;'[1]Outdoor Lighting'!$I$7, [1]LightTrans!$A$2:$B$83, 2, FALSE), "")</f>
        <v/>
      </c>
    </row>
    <row r="80" spans="1:54">
      <c r="A80" s="572"/>
      <c r="B80" s="2200"/>
      <c r="C80" s="2189" t="str">
        <f t="shared" si="44"/>
        <v/>
      </c>
      <c r="D80" s="2190" t="str">
        <f>IF(C80="","",IF(OR('[1]Outdoor Lighting'!$D$8="T5", ISNUMBER(FIND("T8", '[1]Outdoor Lighting'!$D$8)), ISNUMBER(FIND("T12", '[1]Outdoor Lighting'!$D$8))), '[1]Outdoor Lighting'!$J$8, ""))</f>
        <v/>
      </c>
      <c r="E80" s="2191"/>
      <c r="F80" s="2192"/>
      <c r="G80" s="2193" t="str">
        <f t="shared" si="36"/>
        <v/>
      </c>
      <c r="H80" s="2194" t="str">
        <f t="shared" si="37"/>
        <v/>
      </c>
      <c r="I80" s="2190" t="str">
        <f>IF(C80="","",IF(OR('[1]Outdoor Lighting'!$D$8="T5", ISNUMBER(FIND("T8", '[1]Outdoor Lighting'!$D$8)), ISNUMBER(FIND("T12", '[1]Outdoor Lighting'!$D$8))), "I", ""))</f>
        <v/>
      </c>
      <c r="J80" s="2195" t="str">
        <f t="shared" si="38"/>
        <v/>
      </c>
      <c r="K80" s="2196" t="str">
        <f t="shared" si="39"/>
        <v/>
      </c>
      <c r="L80" s="2190" t="str">
        <f>IF(C80="","",IF(OR('[1]Outdoor Lighting'!$D$8="T5", ISNUMBER(FIND("T8", '[1]Outdoor Lighting'!$D$8)), ISNUMBER(FIND("T12", '[1]Outdoor Lighting'!$D$8))), "Outside "&amp;'[1]Outdoor Lighting'!$B$8, ""))</f>
        <v/>
      </c>
      <c r="M80" s="2198"/>
      <c r="N80" s="2198"/>
      <c r="O80" s="2198"/>
      <c r="P80" s="2199"/>
      <c r="Q80" s="572"/>
      <c r="R80" s="572"/>
      <c r="S80" s="572"/>
      <c r="AJ80" s="87"/>
      <c r="AK80" s="87"/>
      <c r="BA80" s="2200" t="str">
        <f>IF(ISNA(BB80), '[1]Outdoor Lighting'!$D$8&amp;", "&amp;'[1]Outdoor Lighting'!$I$8, "")</f>
        <v/>
      </c>
      <c r="BB80" s="2189" t="str">
        <f>IF(OR('[1]Outdoor Lighting'!$D$8="T5", ISNUMBER(FIND("T8", '[1]Outdoor Lighting'!$D$8)), ISNUMBER(FIND("T12", '[1]Outdoor Lighting'!$D$8))), VLOOKUP('[1]Outdoor Lighting'!$D$8&amp;", "&amp;'[1]Outdoor Lighting'!$I$8, [1]LightTrans!$A$2:$B$83, 2, FALSE), "")</f>
        <v/>
      </c>
    </row>
    <row r="81" spans="1:54">
      <c r="A81" s="572"/>
      <c r="B81" s="2200"/>
      <c r="C81" s="2189" t="str">
        <f t="shared" si="44"/>
        <v/>
      </c>
      <c r="D81" s="2190" t="str">
        <f>IF(C81="","",IF(OR('[1]Outdoor Lighting'!$D$9="T5", ISNUMBER(FIND("T8", '[1]Outdoor Lighting'!$D$9)), ISNUMBER(FIND("T12", '[1]Outdoor Lighting'!$D$9))), '[1]Outdoor Lighting'!$J$9, ""))</f>
        <v/>
      </c>
      <c r="E81" s="2191"/>
      <c r="F81" s="2192"/>
      <c r="G81" s="2193" t="str">
        <f t="shared" si="36"/>
        <v/>
      </c>
      <c r="H81" s="2194" t="str">
        <f t="shared" si="37"/>
        <v/>
      </c>
      <c r="I81" s="2190" t="str">
        <f>IF(C81="","",IF(OR('[1]Outdoor Lighting'!$D$9="T5", ISNUMBER(FIND("T8", '[1]Outdoor Lighting'!$D$9)), ISNUMBER(FIND("T12", '[1]Outdoor Lighting'!$D$9))), "I", ""))</f>
        <v/>
      </c>
      <c r="J81" s="2195" t="str">
        <f t="shared" si="38"/>
        <v/>
      </c>
      <c r="K81" s="2196" t="str">
        <f t="shared" si="39"/>
        <v/>
      </c>
      <c r="L81" s="2190" t="str">
        <f>IF(C81="","",IF(OR('[1]Outdoor Lighting'!$D$9="T5", ISNUMBER(FIND("T8", '[1]Outdoor Lighting'!$D$9)), ISNUMBER(FIND("T12", '[1]Outdoor Lighting'!$D$9))), "Outside "&amp;'[1]Outdoor Lighting'!$B$9, ""))</f>
        <v/>
      </c>
      <c r="M81" s="2198"/>
      <c r="N81" s="2198"/>
      <c r="O81" s="2198"/>
      <c r="P81" s="2199"/>
      <c r="Q81" s="572"/>
      <c r="R81" s="572"/>
      <c r="S81" s="572"/>
      <c r="AJ81" s="87"/>
      <c r="AK81" s="87"/>
      <c r="BA81" s="2200" t="str">
        <f>IF(ISNA(BB81), '[1]Outdoor Lighting'!$D$9&amp;", "&amp;'[1]Outdoor Lighting'!$I$9, "")</f>
        <v/>
      </c>
      <c r="BB81" s="2189" t="str">
        <f>IF(OR('[1]Outdoor Lighting'!$D$9="T5", ISNUMBER(FIND("T8", '[1]Outdoor Lighting'!$D$9)), ISNUMBER(FIND("T12", '[1]Outdoor Lighting'!$D$9))), VLOOKUP('[1]Outdoor Lighting'!$D$9&amp;", "&amp;'[1]Outdoor Lighting'!$I$9, [1]LightTrans!$A$2:$B$83, 2, FALSE), "")</f>
        <v/>
      </c>
    </row>
    <row r="82" spans="1:54">
      <c r="A82" s="572"/>
      <c r="B82" s="2200"/>
      <c r="C82" s="2189" t="str">
        <f t="shared" si="44"/>
        <v/>
      </c>
      <c r="D82" s="2190" t="str">
        <f>IF(C82="","",IF(OR('[1]Outdoor Lighting'!$D$10="T5", ISNUMBER(FIND("T8", '[1]Outdoor Lighting'!$D$10)), ISNUMBER(FIND("T12", '[1]Outdoor Lighting'!$D$10))), '[1]Outdoor Lighting'!$J$10, ""))</f>
        <v/>
      </c>
      <c r="E82" s="2191"/>
      <c r="F82" s="2192" t="s">
        <v>157</v>
      </c>
      <c r="G82" s="2193" t="str">
        <f t="shared" si="36"/>
        <v/>
      </c>
      <c r="H82" s="2194" t="str">
        <f t="shared" si="37"/>
        <v/>
      </c>
      <c r="I82" s="2190" t="str">
        <f>IF(C82="","",IF(OR('[1]Outdoor Lighting'!$D$10="T5", ISNUMBER(FIND("T8", '[1]Outdoor Lighting'!$D$10)), ISNUMBER(FIND("T12", '[1]Outdoor Lighting'!$D$10))), "I", ""))</f>
        <v/>
      </c>
      <c r="J82" s="2195" t="str">
        <f t="shared" si="38"/>
        <v/>
      </c>
      <c r="K82" s="2196" t="str">
        <f t="shared" si="39"/>
        <v/>
      </c>
      <c r="L82" s="2190" t="str">
        <f>IF(C82="","",IF(OR('[1]Outdoor Lighting'!$D$10="T5", ISNUMBER(FIND("T8", '[1]Outdoor Lighting'!$D$10)), ISNUMBER(FIND("T12", '[1]Outdoor Lighting'!$D$10))), "Outside "&amp;'[1]Outdoor Lighting'!$B$10, ""))</f>
        <v/>
      </c>
      <c r="M82" s="2198"/>
      <c r="N82" s="2198"/>
      <c r="O82" s="2198"/>
      <c r="P82" s="2199"/>
      <c r="Q82" s="572"/>
      <c r="R82" s="572"/>
      <c r="S82" s="572"/>
      <c r="AJ82" s="87"/>
      <c r="AK82" s="87"/>
      <c r="BA82" s="2200" t="str">
        <f>IF(ISNA(BB82), '[1]Outdoor Lighting'!$D$10&amp;", "&amp;'[1]Outdoor Lighting'!$I$10, "")</f>
        <v/>
      </c>
      <c r="BB82" s="2189" t="str">
        <f>IF(OR('[1]Outdoor Lighting'!$D$10="T5", ISNUMBER(FIND("T8", '[1]Outdoor Lighting'!$D$10)), ISNUMBER(FIND("T12", '[1]Outdoor Lighting'!$D$10))), VLOOKUP('[1]Outdoor Lighting'!$D$10&amp;", "&amp;'[1]Outdoor Lighting'!$I$10, [1]LightTrans!$A$2:$B$83, 2, FALSE), "")</f>
        <v/>
      </c>
    </row>
    <row r="83" spans="1:54">
      <c r="A83" s="572"/>
      <c r="B83" s="2200"/>
      <c r="C83" s="2189" t="str">
        <f t="shared" si="44"/>
        <v/>
      </c>
      <c r="D83" s="2190" t="str">
        <f>IF(C83="","",IF(OR('[1]Outdoor Lighting'!$D$11="T5", ISNUMBER(FIND("T8", '[1]Outdoor Lighting'!$D$11)), ISNUMBER(FIND("T12", '[1]Outdoor Lighting'!$D$11))), '[1]Outdoor Lighting'!$J$11, ""))</f>
        <v/>
      </c>
      <c r="E83" s="2191"/>
      <c r="F83" s="2192" t="s">
        <v>157</v>
      </c>
      <c r="G83" s="2193" t="str">
        <f t="shared" si="36"/>
        <v/>
      </c>
      <c r="H83" s="2194" t="str">
        <f t="shared" si="37"/>
        <v/>
      </c>
      <c r="I83" s="2190" t="str">
        <f>IF(C83="","",IF(OR('[1]Outdoor Lighting'!$D$11="T5", ISNUMBER(FIND("T8", '[1]Outdoor Lighting'!$D$11)), ISNUMBER(FIND("T12", '[1]Outdoor Lighting'!$D$11))), "I", ""))</f>
        <v/>
      </c>
      <c r="J83" s="2195" t="str">
        <f t="shared" si="38"/>
        <v/>
      </c>
      <c r="K83" s="2196" t="str">
        <f t="shared" si="39"/>
        <v/>
      </c>
      <c r="L83" s="2190" t="str">
        <f>IF(C83="","",IF(OR('[1]Outdoor Lighting'!$D$11="T5", ISNUMBER(FIND("T8", '[1]Outdoor Lighting'!$D$11)), ISNUMBER(FIND("T12", '[1]Outdoor Lighting'!$D$11))), "Outside "&amp;'[1]Outdoor Lighting'!$B$11, ""))</f>
        <v/>
      </c>
      <c r="M83" s="2198"/>
      <c r="N83" s="2198"/>
      <c r="O83" s="2198"/>
      <c r="P83" s="2199"/>
      <c r="Q83" s="572"/>
      <c r="R83" s="572"/>
      <c r="S83" s="572"/>
      <c r="AJ83" s="87"/>
      <c r="AK83" s="87"/>
      <c r="BA83" s="2200" t="str">
        <f>IF(ISNA(BB83), '[1]Outdoor Lighting'!$D$11&amp;", "&amp;'[1]Outdoor Lighting'!$I$11, "")</f>
        <v/>
      </c>
      <c r="BB83" s="2189" t="str">
        <f>IF(OR('[1]Outdoor Lighting'!$D$11="T5", ISNUMBER(FIND("T8", '[1]Outdoor Lighting'!$D$11)), ISNUMBER(FIND("T12", '[1]Outdoor Lighting'!$D$11))), VLOOKUP('[1]Outdoor Lighting'!$D$11&amp;", "&amp;'[1]Outdoor Lighting'!$I$11, [1]LightTrans!$A$2:$B$83, 2, FALSE), "")</f>
        <v/>
      </c>
    </row>
    <row r="84" spans="1:54" hidden="1">
      <c r="A84" s="572"/>
      <c r="B84" s="2200"/>
      <c r="C84" s="2189"/>
      <c r="D84" s="2190"/>
      <c r="E84" s="2191"/>
      <c r="F84" s="2192" t="s">
        <v>157</v>
      </c>
      <c r="G84" s="2193" t="str">
        <f t="shared" si="33"/>
        <v/>
      </c>
      <c r="H84" s="2194" t="str">
        <f t="shared" si="34"/>
        <v/>
      </c>
      <c r="I84" s="2219"/>
      <c r="J84" s="2195" t="str">
        <f t="shared" si="32"/>
        <v/>
      </c>
      <c r="K84" s="2196" t="str">
        <f t="shared" si="35"/>
        <v/>
      </c>
      <c r="L84" s="2197"/>
      <c r="M84" s="2198"/>
      <c r="N84" s="2198"/>
      <c r="O84" s="2198"/>
      <c r="P84" s="2199"/>
      <c r="Q84" s="572"/>
      <c r="R84" s="572"/>
      <c r="S84" s="572"/>
      <c r="AJ84" s="87"/>
      <c r="AK84" s="87"/>
      <c r="BA84" s="2200"/>
      <c r="BB84" s="2189"/>
    </row>
    <row r="85" spans="1:54" hidden="1">
      <c r="A85" s="572"/>
      <c r="B85" s="2200"/>
      <c r="C85" s="2189"/>
      <c r="D85" s="2190"/>
      <c r="E85" s="2191"/>
      <c r="F85" s="2192" t="s">
        <v>157</v>
      </c>
      <c r="G85" s="2193" t="str">
        <f t="shared" si="33"/>
        <v/>
      </c>
      <c r="H85" s="2194" t="str">
        <f t="shared" si="34"/>
        <v/>
      </c>
      <c r="I85" s="2219"/>
      <c r="J85" s="2195" t="str">
        <f t="shared" si="32"/>
        <v/>
      </c>
      <c r="K85" s="2196" t="str">
        <f t="shared" si="35"/>
        <v/>
      </c>
      <c r="L85" s="2197"/>
      <c r="M85" s="2198"/>
      <c r="N85" s="2198"/>
      <c r="O85" s="2198"/>
      <c r="P85" s="2199"/>
      <c r="Q85" s="572"/>
      <c r="R85" s="572"/>
      <c r="S85" s="572"/>
      <c r="AJ85" s="87"/>
      <c r="AK85" s="87"/>
      <c r="BA85" s="2200"/>
      <c r="BB85" s="2189"/>
    </row>
    <row r="86" spans="1:54">
      <c r="A86" s="572"/>
      <c r="B86" s="2181" t="s">
        <v>109</v>
      </c>
      <c r="C86" s="2182"/>
      <c r="D86" s="2720"/>
      <c r="E86" s="2183"/>
      <c r="F86" s="2208"/>
      <c r="G86" s="2209"/>
      <c r="H86" s="2210"/>
      <c r="I86" s="2186"/>
      <c r="J86" s="2211"/>
      <c r="K86" s="2212"/>
      <c r="L86" s="2213"/>
      <c r="M86" s="2214"/>
      <c r="N86" s="2214"/>
      <c r="O86" s="2214"/>
      <c r="P86" s="2215"/>
      <c r="Q86" s="572"/>
      <c r="R86" s="572"/>
      <c r="S86" s="572"/>
      <c r="AK86" s="87"/>
      <c r="BB86" s="2181" t="s">
        <v>109</v>
      </c>
    </row>
    <row r="87" spans="1:54">
      <c r="A87" s="572"/>
      <c r="B87" s="2217"/>
      <c r="C87" s="2189" t="str">
        <f t="shared" ref="C87" si="45">IF(ISNA(BB87), "", BB87)</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c r="BA87" s="2217"/>
      <c r="BB87" s="2189" t="str">
        <f>IF(OR('[1]Indoor Lighting'!$E$16="CFL", '[1]Indoor Lighting'!$E$16="Incandescent", '[1]Indoor Lighting'!$E$16="LED"), VLOOKUP("Exit "&amp;'[1]Indoor Lighting'!$E$16, [1]LightTrans!$A$1:$Q$82, 2, FALSE), "")</f>
        <v/>
      </c>
    </row>
    <row r="88" spans="1:54">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c r="BA88" s="2217"/>
      <c r="BB88" s="2189"/>
    </row>
    <row r="89" spans="1:54">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c r="BA89" s="2217"/>
      <c r="BB89" s="2189"/>
    </row>
    <row r="90" spans="1:54">
      <c r="A90" s="572"/>
      <c r="B90" s="2217"/>
      <c r="C90" s="2189"/>
      <c r="D90" s="2218"/>
      <c r="E90" s="2219"/>
      <c r="F90" s="2192" t="s">
        <v>157</v>
      </c>
      <c r="G90" s="2193" t="str">
        <f t="shared" ref="G90:G91" si="46">IF(C90="","",VLOOKUP(C90,lighting,7,FALSE))</f>
        <v/>
      </c>
      <c r="H90" s="2194" t="str">
        <f t="shared" ref="H90:H91" si="47">IF(C90="","",(G90*D90)/1000)</f>
        <v/>
      </c>
      <c r="I90" s="2219" t="s">
        <v>182</v>
      </c>
      <c r="J90" s="2195" t="str">
        <f t="shared" ref="J90:J91" si="48">IF(C90="","",VLOOKUP(I90,sched1,3,FALSE))</f>
        <v/>
      </c>
      <c r="K90" s="2196" t="str">
        <f t="shared" ref="K90:K91" si="49">IF(C90="","",J90*H90)</f>
        <v/>
      </c>
      <c r="L90" s="2197"/>
      <c r="M90" s="2198"/>
      <c r="N90" s="2198"/>
      <c r="O90" s="2198"/>
      <c r="P90" s="2199"/>
      <c r="Q90" s="572"/>
      <c r="R90" s="572"/>
      <c r="S90" s="572"/>
      <c r="AK90" s="87"/>
      <c r="BA90" s="2217"/>
      <c r="BB90" s="2189"/>
    </row>
    <row r="91" spans="1:54">
      <c r="A91" s="572"/>
      <c r="B91" s="2217"/>
      <c r="C91" s="2189"/>
      <c r="D91" s="2218"/>
      <c r="E91" s="2219"/>
      <c r="F91" s="2192" t="s">
        <v>157</v>
      </c>
      <c r="G91" s="2193" t="str">
        <f t="shared" si="46"/>
        <v/>
      </c>
      <c r="H91" s="2194" t="str">
        <f t="shared" si="47"/>
        <v/>
      </c>
      <c r="I91" s="2219" t="s">
        <v>182</v>
      </c>
      <c r="J91" s="2195" t="str">
        <f t="shared" si="48"/>
        <v/>
      </c>
      <c r="K91" s="2196" t="str">
        <f t="shared" si="49"/>
        <v/>
      </c>
      <c r="L91" s="2197"/>
      <c r="M91" s="2198"/>
      <c r="N91" s="2198"/>
      <c r="O91" s="2198"/>
      <c r="P91" s="2199"/>
      <c r="Q91" s="572"/>
      <c r="R91" s="572"/>
      <c r="S91" s="572"/>
      <c r="AK91" s="87"/>
      <c r="BA91" s="2217"/>
      <c r="BB91" s="2189"/>
    </row>
    <row r="92" spans="1:54" hidden="1">
      <c r="A92" s="572"/>
      <c r="B92" s="2217"/>
      <c r="C92" s="2189"/>
      <c r="D92" s="2218"/>
      <c r="E92" s="2219"/>
      <c r="F92" s="2192" t="s">
        <v>157</v>
      </c>
      <c r="G92" s="2193" t="str">
        <f t="shared" ref="G92:G96" si="50">IF(C92="","",VLOOKUP(C92,lighting,7,FALSE))</f>
        <v/>
      </c>
      <c r="H92" s="2194" t="str">
        <f t="shared" ref="H92:H96" si="51">IF(C92="","",(G92*D92)/1000)</f>
        <v/>
      </c>
      <c r="I92" s="2219" t="s">
        <v>182</v>
      </c>
      <c r="J92" s="2195" t="str">
        <f t="shared" ref="J92:J96" si="52">IF(C92="","",VLOOKUP(I92,sched1,3,FALSE))</f>
        <v/>
      </c>
      <c r="K92" s="2196" t="str">
        <f t="shared" ref="K92:K96" si="53">IF(C92="","",J92*H92)</f>
        <v/>
      </c>
      <c r="L92" s="2197"/>
      <c r="M92" s="2198"/>
      <c r="N92" s="2198"/>
      <c r="O92" s="2198"/>
      <c r="P92" s="2199"/>
      <c r="Q92" s="572"/>
      <c r="R92" s="572"/>
      <c r="S92" s="572"/>
      <c r="AK92" s="87"/>
      <c r="BA92" s="2217"/>
      <c r="BB92" s="2189"/>
    </row>
    <row r="93" spans="1:54" hidden="1">
      <c r="A93" s="572"/>
      <c r="B93" s="2217"/>
      <c r="C93" s="2189"/>
      <c r="D93" s="2218"/>
      <c r="E93" s="2219"/>
      <c r="F93" s="2192" t="s">
        <v>157</v>
      </c>
      <c r="G93" s="2193" t="str">
        <f t="shared" si="50"/>
        <v/>
      </c>
      <c r="H93" s="2194" t="str">
        <f t="shared" si="51"/>
        <v/>
      </c>
      <c r="I93" s="2219" t="s">
        <v>182</v>
      </c>
      <c r="J93" s="2195" t="str">
        <f t="shared" si="52"/>
        <v/>
      </c>
      <c r="K93" s="2196" t="str">
        <f t="shared" si="53"/>
        <v/>
      </c>
      <c r="L93" s="2197"/>
      <c r="M93" s="2198"/>
      <c r="N93" s="2198"/>
      <c r="O93" s="2198"/>
      <c r="P93" s="2199"/>
      <c r="Q93" s="572"/>
      <c r="R93" s="572"/>
      <c r="S93" s="572"/>
      <c r="AK93" s="87"/>
      <c r="BA93" s="2217"/>
      <c r="BB93" s="2189"/>
    </row>
    <row r="94" spans="1:54" hidden="1">
      <c r="A94" s="572"/>
      <c r="B94" s="2217"/>
      <c r="C94" s="2189"/>
      <c r="D94" s="2218"/>
      <c r="E94" s="2219"/>
      <c r="F94" s="2192" t="s">
        <v>157</v>
      </c>
      <c r="G94" s="2193" t="str">
        <f t="shared" si="50"/>
        <v/>
      </c>
      <c r="H94" s="2194" t="str">
        <f t="shared" si="51"/>
        <v/>
      </c>
      <c r="I94" s="2219" t="s">
        <v>182</v>
      </c>
      <c r="J94" s="2195" t="str">
        <f t="shared" si="52"/>
        <v/>
      </c>
      <c r="K94" s="2196" t="str">
        <f t="shared" si="53"/>
        <v/>
      </c>
      <c r="L94" s="2197"/>
      <c r="M94" s="2198"/>
      <c r="N94" s="2198"/>
      <c r="O94" s="2198"/>
      <c r="P94" s="2199"/>
      <c r="Q94" s="572"/>
      <c r="R94" s="572"/>
      <c r="S94" s="572"/>
      <c r="AK94" s="87"/>
      <c r="BA94" s="2217"/>
      <c r="BB94" s="2189"/>
    </row>
    <row r="95" spans="1:54" hidden="1">
      <c r="A95" s="572"/>
      <c r="B95" s="2217"/>
      <c r="C95" s="2189"/>
      <c r="D95" s="2218"/>
      <c r="E95" s="2219"/>
      <c r="F95" s="2192" t="s">
        <v>157</v>
      </c>
      <c r="G95" s="2193" t="str">
        <f t="shared" si="50"/>
        <v/>
      </c>
      <c r="H95" s="2194" t="str">
        <f t="shared" si="51"/>
        <v/>
      </c>
      <c r="I95" s="2219" t="s">
        <v>182</v>
      </c>
      <c r="J95" s="2195" t="str">
        <f t="shared" si="52"/>
        <v/>
      </c>
      <c r="K95" s="2196" t="str">
        <f t="shared" si="53"/>
        <v/>
      </c>
      <c r="L95" s="2197"/>
      <c r="M95" s="2198"/>
      <c r="N95" s="2198"/>
      <c r="O95" s="2198"/>
      <c r="P95" s="2199"/>
      <c r="Q95" s="572"/>
      <c r="R95" s="572"/>
      <c r="S95" s="572"/>
      <c r="AK95" s="87"/>
      <c r="BA95" s="2217"/>
      <c r="BB95" s="2189"/>
    </row>
    <row r="96" spans="1:54" hidden="1">
      <c r="A96" s="572"/>
      <c r="B96" s="2217"/>
      <c r="C96" s="2189"/>
      <c r="D96" s="2218"/>
      <c r="E96" s="2219"/>
      <c r="F96" s="2192" t="s">
        <v>157</v>
      </c>
      <c r="G96" s="2193" t="str">
        <f t="shared" si="50"/>
        <v/>
      </c>
      <c r="H96" s="2194" t="str">
        <f t="shared" si="51"/>
        <v/>
      </c>
      <c r="I96" s="2219" t="s">
        <v>182</v>
      </c>
      <c r="J96" s="2195" t="str">
        <f t="shared" si="52"/>
        <v/>
      </c>
      <c r="K96" s="2196" t="str">
        <f t="shared" si="53"/>
        <v/>
      </c>
      <c r="L96" s="2197"/>
      <c r="M96" s="2198"/>
      <c r="N96" s="2198"/>
      <c r="O96" s="2198"/>
      <c r="P96" s="2199"/>
      <c r="Q96" s="572"/>
      <c r="R96" s="572"/>
      <c r="S96" s="572"/>
      <c r="AK96" s="87"/>
      <c r="BA96" s="2217"/>
      <c r="BB96" s="2189"/>
    </row>
    <row r="97" spans="1:54">
      <c r="A97" s="572"/>
      <c r="B97" s="2181" t="s">
        <v>227</v>
      </c>
      <c r="C97" s="2182"/>
      <c r="D97" s="2227"/>
      <c r="E97" s="2207"/>
      <c r="F97" s="2208"/>
      <c r="G97" s="2209"/>
      <c r="H97" s="2210"/>
      <c r="I97" s="2186"/>
      <c r="J97" s="2211"/>
      <c r="K97" s="2212"/>
      <c r="L97" s="2213"/>
      <c r="M97" s="2214"/>
      <c r="N97" s="2214"/>
      <c r="O97" s="2214"/>
      <c r="P97" s="2215"/>
      <c r="Q97" s="572"/>
      <c r="R97" s="572"/>
      <c r="S97" s="572"/>
      <c r="AK97" s="87"/>
      <c r="BB97" s="2181" t="s">
        <v>227</v>
      </c>
    </row>
    <row r="98" spans="1:54">
      <c r="A98" s="572"/>
      <c r="B98" s="2224"/>
      <c r="C98" s="2189" t="str">
        <f t="shared" ref="C98:C121" si="54">IF(ISNA(BB98), "", BB98)</f>
        <v/>
      </c>
      <c r="D98" s="2189" t="str">
        <f>IF(C98="","",IF('[1]Indoor Lighting'!$E$2="Metal Halide", '[1]Indoor Lighting'!$L$2, ""))</f>
        <v/>
      </c>
      <c r="E98" s="2191"/>
      <c r="F98" s="2192"/>
      <c r="G98" s="2193" t="str">
        <f t="shared" ref="G98:G99" si="55">IF(C98="","",VLOOKUP(C98,lighting,7,FALSE))</f>
        <v/>
      </c>
      <c r="H98" s="2194" t="str">
        <f t="shared" ref="H98:H99" si="56">IF(C98="","",(G98*D98)/1000)</f>
        <v/>
      </c>
      <c r="I98" s="2189" t="str">
        <f>IF(C98="","",IF('[1]Indoor Lighting'!$E$2="Metal Halide", "A", ""))</f>
        <v/>
      </c>
      <c r="J98" s="2195" t="str">
        <f t="shared" ref="J98:J99" si="57">IF(C98="","",VLOOKUP(I98,sched1,3,FALSE))</f>
        <v/>
      </c>
      <c r="K98" s="2196" t="str">
        <f t="shared" ref="K98:K99" si="58">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c r="BA98" s="2200" t="str">
        <f>IF(ISNA(BB98), '[1]Indoor Lighting'!$E$2&amp;", "&amp;'[1]Indoor Lighting'!$I$2, "")</f>
        <v/>
      </c>
      <c r="BB98" s="2189" t="str">
        <f>IF('[1]Indoor Lighting'!$E$2="Metal Halide", VLOOKUP('[1]Indoor Lighting'!$E$2&amp;", "&amp;'[1]Indoor Lighting'!$I$2, [1]LightTrans!$A$2:$K$94, 2, FALSE), "")</f>
        <v/>
      </c>
    </row>
    <row r="99" spans="1:54">
      <c r="A99" s="572"/>
      <c r="B99" s="2200"/>
      <c r="C99" s="2189" t="str">
        <f t="shared" si="54"/>
        <v/>
      </c>
      <c r="D99" s="2189" t="str">
        <f>IF(C99="","",IF('[1]Indoor Lighting'!$E$3="Metal Halide",'[1]Indoor Lighting'!$L$3,""))</f>
        <v/>
      </c>
      <c r="E99" s="2191"/>
      <c r="F99" s="2192"/>
      <c r="G99" s="2193" t="str">
        <f t="shared" si="55"/>
        <v/>
      </c>
      <c r="H99" s="2194" t="str">
        <f t="shared" si="56"/>
        <v/>
      </c>
      <c r="I99" s="2189" t="str">
        <f>IF(C99="","",IF('[1]Indoor Lighting'!$E$3="Metal Halide","A",""))</f>
        <v/>
      </c>
      <c r="J99" s="2195" t="str">
        <f t="shared" si="57"/>
        <v/>
      </c>
      <c r="K99" s="2196" t="str">
        <f t="shared" si="58"/>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c r="BA99" s="2200" t="str">
        <f>IF(ISNA(BB99),  '[1]Indoor Lighting'!$E$3&amp;", "&amp;'[1]Indoor Lighting'!$I$3, "")</f>
        <v/>
      </c>
      <c r="BB99" s="2189" t="str">
        <f>IF('[1]Indoor Lighting'!$E$3="Metal Halide", VLOOKUP('[1]Indoor Lighting'!$E$3&amp;", "&amp;'[1]Indoor Lighting'!$I$3, [1]LightTrans!$A$2:$K$94, 2, FALSE), "")</f>
        <v/>
      </c>
    </row>
    <row r="100" spans="1:54">
      <c r="A100" s="572"/>
      <c r="B100" s="2217"/>
      <c r="C100" s="2189" t="str">
        <f t="shared" si="54"/>
        <v/>
      </c>
      <c r="D100" s="2189" t="str">
        <f>IF(C100="","",IF('[1]Indoor Lighting'!$E$4="Metal Halide", '[1]Indoor Lighting'!$L$4, ""))</f>
        <v/>
      </c>
      <c r="E100" s="2191"/>
      <c r="F100" s="2192"/>
      <c r="G100" s="2193" t="str">
        <f t="shared" ref="G100:G103" si="59">IF(C100="","",VLOOKUP(C100,lighting,7,FALSE))</f>
        <v/>
      </c>
      <c r="H100" s="2194" t="str">
        <f t="shared" ref="H100:H103" si="60">IF(C100="","",(G100*D100)/1000)</f>
        <v/>
      </c>
      <c r="I100" s="2189" t="str">
        <f>IF(C100="","",IF('[1]Indoor Lighting'!$E$4="Metal Halide","A",""))</f>
        <v/>
      </c>
      <c r="J100" s="2195" t="str">
        <f t="shared" ref="J100:J103" si="61">IF(C100="","",VLOOKUP(I100,sched1,3,FALSE))</f>
        <v/>
      </c>
      <c r="K100" s="2196" t="str">
        <f t="shared" ref="K100:K103" si="62">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c r="BA100" s="2200" t="str">
        <f>IF(ISNA(BB100), '[1]Indoor Lighting'!$E$4&amp;", "&amp;'[1]Indoor Lighting'!$I$4, "")</f>
        <v/>
      </c>
      <c r="BB100" s="2189" t="str">
        <f>IF('[1]Indoor Lighting'!$E$4="Metal Halide", VLOOKUP('[1]Indoor Lighting'!$E$4&amp;", "&amp;'[1]Indoor Lighting'!$I$4, [1]LightTrans!$A$2:$K$94, 2, FALSE), "")</f>
        <v/>
      </c>
    </row>
    <row r="101" spans="1:54">
      <c r="A101" s="572"/>
      <c r="B101" s="2217"/>
      <c r="C101" s="2189" t="str">
        <f t="shared" si="54"/>
        <v/>
      </c>
      <c r="D101" s="2189" t="str">
        <f>IF(C101="","",IF('[1]Indoor Lighting'!$E$5="Metal Halide", '[1]Indoor Lighting'!$L$5, ""))</f>
        <v/>
      </c>
      <c r="E101" s="2191"/>
      <c r="F101" s="2192"/>
      <c r="G101" s="2193" t="str">
        <f t="shared" si="59"/>
        <v/>
      </c>
      <c r="H101" s="2194" t="str">
        <f t="shared" si="60"/>
        <v/>
      </c>
      <c r="I101" s="2189" t="str">
        <f>IF(C101="","",IF('[1]Indoor Lighting'!$E$5="Metal Halide","A",""))</f>
        <v/>
      </c>
      <c r="J101" s="2195" t="str">
        <f t="shared" si="61"/>
        <v/>
      </c>
      <c r="K101" s="2196" t="str">
        <f t="shared" si="62"/>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c r="BA101" s="2200" t="str">
        <f>IF(ISNA(BB101),'[1]Indoor Lighting'!$E$5&amp;", "&amp;'[1]Indoor Lighting'!$I$5, "")</f>
        <v/>
      </c>
      <c r="BB101" s="2189" t="str">
        <f>IF('[1]Indoor Lighting'!$E$5="Metal Halide", VLOOKUP('[1]Indoor Lighting'!$E$5&amp;", "&amp;'[1]Indoor Lighting'!$I$5, [1]LightTrans!$A$2:$K$94, 2, FALSE), "")</f>
        <v/>
      </c>
    </row>
    <row r="102" spans="1:54">
      <c r="A102" s="572"/>
      <c r="B102" s="2217"/>
      <c r="C102" s="2189" t="str">
        <f t="shared" si="54"/>
        <v/>
      </c>
      <c r="D102" s="2189" t="str">
        <f>IF(C102="","",IF('[1]Indoor Lighting'!$E$6="Metal Halide", '[1]Indoor Lighting'!$L$6, ""))</f>
        <v/>
      </c>
      <c r="E102" s="2191"/>
      <c r="F102" s="2192"/>
      <c r="G102" s="2193" t="str">
        <f t="shared" si="59"/>
        <v/>
      </c>
      <c r="H102" s="2194" t="str">
        <f t="shared" si="60"/>
        <v/>
      </c>
      <c r="I102" s="2189" t="str">
        <f>IF(C102="","",IF('[1]Indoor Lighting'!$E$6="Metal Halide","A",""))</f>
        <v/>
      </c>
      <c r="J102" s="2195" t="str">
        <f t="shared" si="61"/>
        <v/>
      </c>
      <c r="K102" s="2196" t="str">
        <f t="shared" si="62"/>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c r="BA102" s="2200" t="str">
        <f>IF(ISNA(BB102), '[1]Indoor Lighting'!$E$6&amp;", "&amp;'[1]Indoor Lighting'!$I$6, "")</f>
        <v/>
      </c>
      <c r="BB102" s="2189" t="str">
        <f>IF('[1]Indoor Lighting'!$E$6="Metal Halide", VLOOKUP('[1]Indoor Lighting'!$E$6&amp;", "&amp;'[1]Indoor Lighting'!$I$6, [1]LightTrans!$A$2:$K$94, 2, FALSE), "")</f>
        <v/>
      </c>
    </row>
    <row r="103" spans="1:54">
      <c r="A103" s="572"/>
      <c r="B103" s="2217"/>
      <c r="C103" s="2189" t="str">
        <f t="shared" si="54"/>
        <v/>
      </c>
      <c r="D103" s="2189" t="str">
        <f>IF(C103="","",IF('[1]Indoor Lighting'!$E$7="Metal Halide", '[1]Indoor Lighting'!$L$7, ""))</f>
        <v/>
      </c>
      <c r="E103" s="2191"/>
      <c r="F103" s="2192"/>
      <c r="G103" s="2193" t="str">
        <f t="shared" si="59"/>
        <v/>
      </c>
      <c r="H103" s="2194" t="str">
        <f t="shared" si="60"/>
        <v/>
      </c>
      <c r="I103" s="2189" t="str">
        <f>IF(C103="","",IF('[1]Indoor Lighting'!$E$7="Metal Halide","A",""))</f>
        <v/>
      </c>
      <c r="J103" s="2195" t="str">
        <f t="shared" si="61"/>
        <v/>
      </c>
      <c r="K103" s="2196" t="str">
        <f t="shared" si="62"/>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c r="BA103" s="2200" t="str">
        <f>IF(ISNA(BB103), '[1]Indoor Lighting'!$E$7&amp;", "&amp;'[1]Indoor Lighting'!$I$7, "")</f>
        <v/>
      </c>
      <c r="BB103" s="2189" t="str">
        <f>IF('[1]Indoor Lighting'!$E$7="Metal Halide", VLOOKUP('[1]Indoor Lighting'!$E$7&amp;", "&amp;'[1]Indoor Lighting'!$I$7, [1]LightTrans!$A$2:$K$94, 2, FALSE), "")</f>
        <v/>
      </c>
    </row>
    <row r="104" spans="1:54">
      <c r="A104" s="572"/>
      <c r="B104" s="2217"/>
      <c r="C104" s="2189" t="str">
        <f t="shared" si="54"/>
        <v/>
      </c>
      <c r="D104" s="2189" t="str">
        <f>IF(C104="","",IF('[1]Indoor Lighting'!$E$8="Metal Halide", '[1]Indoor Lighting'!$L$8, ""))</f>
        <v/>
      </c>
      <c r="E104" s="2191"/>
      <c r="F104" s="2192"/>
      <c r="G104" s="2193" t="str">
        <f t="shared" ref="G104:G121" si="63">IF(C104="","",VLOOKUP(C104,lighting,7,FALSE))</f>
        <v/>
      </c>
      <c r="H104" s="2194" t="str">
        <f t="shared" ref="H104:H121" si="64">IF(C104="","",(G104*D104)/1000)</f>
        <v/>
      </c>
      <c r="I104" s="2189" t="str">
        <f>IF(C104="","",IF('[1]Indoor Lighting'!$E$8="Metal Halide","A",""))</f>
        <v/>
      </c>
      <c r="J104" s="2195" t="str">
        <f t="shared" ref="J104:J121" si="65">IF(C104="","",VLOOKUP(I104,sched1,3,FALSE))</f>
        <v/>
      </c>
      <c r="K104" s="2196" t="str">
        <f t="shared" ref="K104:K121" si="66">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c r="BA104" s="2200" t="str">
        <f>IF(ISNA(BB104), '[1]Indoor Lighting'!$E$8&amp;", "&amp;'[1]Indoor Lighting'!$I$8, "")</f>
        <v/>
      </c>
      <c r="BB104" s="2189" t="str">
        <f>IF('[1]Indoor Lighting'!$E$8="Metal Halide", VLOOKUP('[1]Indoor Lighting'!$E$8&amp;", "&amp;'[1]Indoor Lighting'!$I$8, [1]LightTrans!$A$2:$K$94, 2, FALSE), "")</f>
        <v/>
      </c>
    </row>
    <row r="105" spans="1:54">
      <c r="A105" s="572"/>
      <c r="B105" s="2217"/>
      <c r="C105" s="2189" t="str">
        <f t="shared" si="54"/>
        <v/>
      </c>
      <c r="D105" s="2189" t="str">
        <f>IF(C105="","",IF('[1]Indoor Lighting'!$E$9="Metal Halide", '[1]Indoor Lighting'!$L$9, ""))</f>
        <v/>
      </c>
      <c r="E105" s="2191"/>
      <c r="F105" s="2192"/>
      <c r="G105" s="2193" t="str">
        <f t="shared" si="63"/>
        <v/>
      </c>
      <c r="H105" s="2194" t="str">
        <f t="shared" si="64"/>
        <v/>
      </c>
      <c r="I105" s="2189" t="str">
        <f>IF(C105="","",IF('[1]Indoor Lighting'!$E$9="Metal Halide","A",""))</f>
        <v/>
      </c>
      <c r="J105" s="2195" t="str">
        <f t="shared" si="65"/>
        <v/>
      </c>
      <c r="K105" s="2196" t="str">
        <f t="shared" si="66"/>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c r="BA105" s="2200" t="str">
        <f>IF(ISNA(BB105), '[1]Indoor Lighting'!$E$9&amp;", "&amp;'[1]Indoor Lighting'!$I$9, "")</f>
        <v/>
      </c>
      <c r="BB105" s="2189" t="str">
        <f>IF('[1]Indoor Lighting'!$E$9="Metal Halide", VLOOKUP('[1]Indoor Lighting'!$E$9&amp;", "&amp;'[1]Indoor Lighting'!$I$9, [1]LightTrans!$A$2:$K$94, 2, FALSE), "")</f>
        <v/>
      </c>
    </row>
    <row r="106" spans="1:54">
      <c r="A106" s="572"/>
      <c r="B106" s="2217"/>
      <c r="C106" s="2189" t="str">
        <f t="shared" si="54"/>
        <v/>
      </c>
      <c r="D106" s="2189" t="str">
        <f>IF(C106="","",IF('[1]Indoor Lighting'!$E$10="Metal Halide", '[1]Indoor Lighting'!$L$10, ""))</f>
        <v/>
      </c>
      <c r="E106" s="2191"/>
      <c r="F106" s="2192" t="s">
        <v>157</v>
      </c>
      <c r="G106" s="2193" t="str">
        <f t="shared" si="63"/>
        <v/>
      </c>
      <c r="H106" s="2194" t="str">
        <f t="shared" si="64"/>
        <v/>
      </c>
      <c r="I106" s="2189" t="str">
        <f>IF(C106="","",IF('[1]Indoor Lighting'!$E$10="Metal Halide","A",""))</f>
        <v/>
      </c>
      <c r="J106" s="2195" t="str">
        <f t="shared" si="65"/>
        <v/>
      </c>
      <c r="K106" s="2196" t="str">
        <f t="shared" si="66"/>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c r="BA106" s="2200" t="str">
        <f>IF(ISNA(BB106), '[1]Indoor Lighting'!$E$10&amp;", "&amp;'[1]Indoor Lighting'!$I$10, "")</f>
        <v/>
      </c>
      <c r="BB106" s="2189" t="str">
        <f>IF('[1]Indoor Lighting'!$E$10="Metal Halide", VLOOKUP('[1]Indoor Lighting'!$E$10&amp;", "&amp;'[1]Indoor Lighting'!$I$10, [1]LightTrans!$A$2:$K$94, 2, FALSE), "")</f>
        <v/>
      </c>
    </row>
    <row r="107" spans="1:54">
      <c r="A107" s="572"/>
      <c r="B107" s="2217"/>
      <c r="C107" s="2189" t="str">
        <f t="shared" si="54"/>
        <v/>
      </c>
      <c r="D107" s="2189" t="str">
        <f>IF(C107="","",IF('[1]Indoor Lighting'!$E$11="Metal Halide", '[1]Indoor Lighting'!$L$11, ""))</f>
        <v/>
      </c>
      <c r="E107" s="2191"/>
      <c r="F107" s="2192" t="s">
        <v>157</v>
      </c>
      <c r="G107" s="2193" t="str">
        <f t="shared" si="63"/>
        <v/>
      </c>
      <c r="H107" s="2194" t="str">
        <f t="shared" si="64"/>
        <v/>
      </c>
      <c r="I107" s="2189" t="str">
        <f>IF(C107="","",IF('[1]Indoor Lighting'!$E$11="Metal Halide","A",""))</f>
        <v/>
      </c>
      <c r="J107" s="2195" t="str">
        <f t="shared" si="65"/>
        <v/>
      </c>
      <c r="K107" s="2196" t="str">
        <f t="shared" si="66"/>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c r="BA107" s="2200" t="str">
        <f>IF(ISNA(BB107), '[1]Indoor Lighting'!$E$11&amp;", "&amp;'[1]Indoor Lighting'!$I$11, "")</f>
        <v/>
      </c>
      <c r="BB107" s="2189" t="str">
        <f>IF('[1]Indoor Lighting'!$E$11="Metal Halide", VLOOKUP('[1]Indoor Lighting'!$E$11&amp;", "&amp;'[1]Indoor Lighting'!$I$11, [1]LightTrans!$A$2:$K$94, 2, FALSE), "")</f>
        <v/>
      </c>
    </row>
    <row r="108" spans="1:54">
      <c r="A108" s="572"/>
      <c r="B108" s="2217"/>
      <c r="C108" s="2189" t="str">
        <f t="shared" si="54"/>
        <v/>
      </c>
      <c r="D108" s="2189" t="str">
        <f>IF(C108="","",IF('[1]Indoor Lighting'!$E$12="Metal Halide", '[1]Indoor Lighting'!$L$12, ""))</f>
        <v/>
      </c>
      <c r="E108" s="2191"/>
      <c r="F108" s="2192" t="s">
        <v>157</v>
      </c>
      <c r="G108" s="2193" t="str">
        <f t="shared" si="63"/>
        <v/>
      </c>
      <c r="H108" s="2194" t="str">
        <f t="shared" si="64"/>
        <v/>
      </c>
      <c r="I108" s="2189" t="str">
        <f>IF(C108="","",IF('[1]Indoor Lighting'!$E$12="Metal Halide","A",""))</f>
        <v/>
      </c>
      <c r="J108" s="2195" t="str">
        <f t="shared" si="65"/>
        <v/>
      </c>
      <c r="K108" s="2196" t="str">
        <f t="shared" si="66"/>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c r="BA108" s="2200" t="str">
        <f>IF(ISNA(BB108), '[1]Indoor Lighting'!$E$12&amp;", "&amp;'[1]Indoor Lighting'!$I$12, "")</f>
        <v/>
      </c>
      <c r="BB108" s="2189" t="str">
        <f>IF('[1]Indoor Lighting'!$E$12="Metal Halide", VLOOKUP('[1]Indoor Lighting'!$E$12&amp;", "&amp;'[1]Indoor Lighting'!$I$12, [1]LightTrans!$A$2:$K$94, 2, FALSE), "")</f>
        <v/>
      </c>
    </row>
    <row r="109" spans="1:54">
      <c r="A109" s="572"/>
      <c r="B109" s="2217"/>
      <c r="C109" s="2189" t="str">
        <f t="shared" si="54"/>
        <v/>
      </c>
      <c r="D109" s="2189" t="str">
        <f>IF(C109="","",IF('[1]Indoor Lighting'!$E$13="Metal Halide", '[1]Indoor Lighting'!$L$13, ""))</f>
        <v/>
      </c>
      <c r="E109" s="2191"/>
      <c r="F109" s="2192"/>
      <c r="G109" s="2193" t="str">
        <f t="shared" si="63"/>
        <v/>
      </c>
      <c r="H109" s="2194" t="str">
        <f t="shared" si="64"/>
        <v/>
      </c>
      <c r="I109" s="2189" t="str">
        <f>IF(C109="","",IF('[1]Indoor Lighting'!$E$13="Metal Halide","A",""))</f>
        <v/>
      </c>
      <c r="J109" s="2195" t="str">
        <f t="shared" si="65"/>
        <v/>
      </c>
      <c r="K109" s="2196" t="str">
        <f t="shared" si="66"/>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c r="BA109" s="2200" t="str">
        <f>IF(ISNA(BB109), '[1]Indoor Lighting'!$E$13&amp;", "&amp;'[1]Indoor Lighting'!$I$13, "")</f>
        <v/>
      </c>
      <c r="BB109" s="2189" t="str">
        <f>IF('[1]Indoor Lighting'!$E$13="Metal Halide", VLOOKUP('[1]Indoor Lighting'!$E$13&amp;", "&amp;'[1]Indoor Lighting'!$I$13, [1]LightTrans!$A$2:$K$94, 2, FALSE), "")</f>
        <v/>
      </c>
    </row>
    <row r="110" spans="1:54">
      <c r="A110" s="572"/>
      <c r="B110" s="2217"/>
      <c r="C110" s="2189" t="str">
        <f t="shared" si="54"/>
        <v/>
      </c>
      <c r="D110" s="2189" t="str">
        <f>IF(C110="","",IF('[1]Indoor Lighting'!$E$14="Metal Halide", '[1]Indoor Lighting'!$L$14, ""))</f>
        <v/>
      </c>
      <c r="E110" s="2191"/>
      <c r="F110" s="2192"/>
      <c r="G110" s="2193" t="str">
        <f t="shared" si="63"/>
        <v/>
      </c>
      <c r="H110" s="2194" t="str">
        <f t="shared" si="64"/>
        <v/>
      </c>
      <c r="I110" s="2189" t="str">
        <f>IF(C110="","",IF('[1]Indoor Lighting'!$E$14="Metal Halide","A",""))</f>
        <v/>
      </c>
      <c r="J110" s="2195" t="str">
        <f t="shared" si="65"/>
        <v/>
      </c>
      <c r="K110" s="2196" t="str">
        <f t="shared" si="66"/>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c r="BA110" s="2200" t="str">
        <f>IF(ISNA(BB110),'[1]Indoor Lighting'!$E$14&amp;", "&amp;'[1]Indoor Lighting'!$I$14,"")</f>
        <v/>
      </c>
      <c r="BB110" s="2189" t="str">
        <f>IF('[1]Indoor Lighting'!$E$14="Metal Halide", VLOOKUP('[1]Indoor Lighting'!$E$14&amp;", "&amp;'[1]Indoor Lighting'!$I$14, [1]LightTrans!$A$2:$K$94, 2, FALSE), "")</f>
        <v/>
      </c>
    </row>
    <row r="111" spans="1:54">
      <c r="A111" s="572"/>
      <c r="B111" s="2217"/>
      <c r="C111" s="2189" t="str">
        <f t="shared" si="54"/>
        <v/>
      </c>
      <c r="D111" s="2189" t="str">
        <f>IF(C111="","",IF('[1]Indoor Lighting'!$E$15="Metal Halide", '[1]Indoor Lighting'!$L$15, ""))</f>
        <v/>
      </c>
      <c r="E111" s="2191"/>
      <c r="F111" s="2192"/>
      <c r="G111" s="2193" t="str">
        <f t="shared" ref="G111" si="67">IF(C111="","",VLOOKUP(C111,lighting,7,FALSE))</f>
        <v/>
      </c>
      <c r="H111" s="2194" t="str">
        <f t="shared" ref="H111" si="68">IF(C111="","",(G111*D111)/1000)</f>
        <v/>
      </c>
      <c r="I111" s="2189" t="str">
        <f>IF(C111="","",IF('[1]Indoor Lighting'!$E$15="Metal Halide","A",""))</f>
        <v/>
      </c>
      <c r="J111" s="2195" t="str">
        <f t="shared" ref="J111" si="69">IF(C111="","",VLOOKUP(I111,sched1,3,FALSE))</f>
        <v/>
      </c>
      <c r="K111" s="2196" t="str">
        <f t="shared" ref="K111" si="70">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c r="BA111" s="2200" t="str">
        <f>IF(ISNA(BB111), '[1]Indoor Lighting'!$E$15&amp;", "&amp;'[1]Indoor Lighting'!$I$15, "")</f>
        <v/>
      </c>
      <c r="BB111" s="2189" t="str">
        <f>IF('[1]Indoor Lighting'!$E$15="Metal Halide", VLOOKUP('[1]Indoor Lighting'!$E$15&amp;", "&amp;'[1]Indoor Lighting'!$I$15, [1]LightTrans!$A$2:$K$94, 2, FALSE), "")</f>
        <v/>
      </c>
    </row>
    <row r="112" spans="1:54">
      <c r="A112" s="572"/>
      <c r="B112" s="2217"/>
      <c r="C112" s="2189" t="str">
        <f t="shared" si="54"/>
        <v/>
      </c>
      <c r="D112" s="2189" t="str">
        <f>IF(C112="","",IF('[1]Outdoor Lighting'!$D$2="Metal Halide",  '[1]Outdoor Lighting'!$J$2, ""))</f>
        <v/>
      </c>
      <c r="E112" s="2191"/>
      <c r="F112" s="2192"/>
      <c r="G112" s="2193" t="str">
        <f t="shared" si="63"/>
        <v/>
      </c>
      <c r="H112" s="2194" t="str">
        <f t="shared" si="64"/>
        <v/>
      </c>
      <c r="I112" s="2189" t="str">
        <f>IF(C112="","",IF('[1]Outdoor Lighting'!$D$2="Metal Halide","I",""))</f>
        <v/>
      </c>
      <c r="J112" s="2195" t="str">
        <f t="shared" si="65"/>
        <v/>
      </c>
      <c r="K112" s="2196" t="str">
        <f t="shared" si="66"/>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c r="BA112" s="2200" t="str">
        <f>IF(ISNA(BB112), '[1]Outdoor Lighting'!$D$2&amp;", "&amp;'[1]Outdoor Lighting'!$H$2, "")</f>
        <v/>
      </c>
      <c r="BB112" s="2189" t="str">
        <f>IF('[1]Outdoor Lighting'!$D$2="Metal Halide", VLOOKUP('[1]Outdoor Lighting'!$D$2&amp;", "&amp;'[1]Outdoor Lighting'!$H$2, [1]LightTrans!$A$2:$K$94, 2, FALSE), "")</f>
        <v/>
      </c>
    </row>
    <row r="113" spans="1:54">
      <c r="A113" s="572"/>
      <c r="B113" s="2217"/>
      <c r="C113" s="2189" t="str">
        <f t="shared" si="54"/>
        <v/>
      </c>
      <c r="D113" s="2189" t="str">
        <f>IF(C113="","",IF('[1]Outdoor Lighting'!$D$3="Metal Halide",  '[1]Outdoor Lighting'!$J$3, ""))</f>
        <v/>
      </c>
      <c r="E113" s="2191"/>
      <c r="F113" s="2192"/>
      <c r="G113" s="2193" t="str">
        <f t="shared" si="63"/>
        <v/>
      </c>
      <c r="H113" s="2194" t="str">
        <f t="shared" si="64"/>
        <v/>
      </c>
      <c r="I113" s="2189" t="str">
        <f>IF(C113="","",IF('[1]Outdoor Lighting'!$D$3="Metal Halide","I",""))</f>
        <v/>
      </c>
      <c r="J113" s="2195" t="str">
        <f t="shared" si="65"/>
        <v/>
      </c>
      <c r="K113" s="2196" t="str">
        <f t="shared" si="66"/>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c r="BA113" s="2200" t="str">
        <f>IF(ISNA(BB113), '[1]Outdoor Lighting'!$D$3&amp;", "&amp;'[1]Outdoor Lighting'!$H$3, "")</f>
        <v/>
      </c>
      <c r="BB113" s="2189" t="str">
        <f>IF('[1]Outdoor Lighting'!$D$3="Metal Halide", VLOOKUP('[1]Outdoor Lighting'!$D$3&amp;", "&amp;'[1]Outdoor Lighting'!$H$3, [1]LightTrans!$A$2:$K$94, 2, FALSE), "")</f>
        <v/>
      </c>
    </row>
    <row r="114" spans="1:54">
      <c r="A114" s="572"/>
      <c r="B114" s="2217"/>
      <c r="C114" s="2189" t="str">
        <f t="shared" si="54"/>
        <v/>
      </c>
      <c r="D114" s="2189" t="str">
        <f>IF(C114="","",IF('[1]Outdoor Lighting'!$D$4="Metal Halide",  '[1]Outdoor Lighting'!$J$4, ""))</f>
        <v/>
      </c>
      <c r="E114" s="2191"/>
      <c r="F114" s="2192"/>
      <c r="G114" s="2193" t="str">
        <f t="shared" si="63"/>
        <v/>
      </c>
      <c r="H114" s="2194" t="str">
        <f t="shared" si="64"/>
        <v/>
      </c>
      <c r="I114" s="2189" t="str">
        <f>IF(C114="","",IF('[1]Outdoor Lighting'!$D$4="Metal Halide","I",""))</f>
        <v/>
      </c>
      <c r="J114" s="2195" t="str">
        <f t="shared" si="65"/>
        <v/>
      </c>
      <c r="K114" s="2196" t="str">
        <f t="shared" si="66"/>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c r="BA114" s="2200" t="str">
        <f>IF(ISNA(BB114), '[1]Outdoor Lighting'!$D$4&amp;", "&amp;'[1]Outdoor Lighting'!$H$4, "")</f>
        <v/>
      </c>
      <c r="BB114" s="2189" t="str">
        <f>IF('[1]Outdoor Lighting'!$D$4="Metal Halide", VLOOKUP('[1]Outdoor Lighting'!$D$4&amp;", "&amp;'[1]Outdoor Lighting'!$H$4, [1]LightTrans!$A$2:$K$94, 2, FALSE), "")</f>
        <v/>
      </c>
    </row>
    <row r="115" spans="1:54">
      <c r="A115" s="572"/>
      <c r="B115" s="2217"/>
      <c r="C115" s="2189" t="str">
        <f t="shared" si="54"/>
        <v/>
      </c>
      <c r="D115" s="2189" t="str">
        <f>IF(C115="","",IF('[1]Outdoor Lighting'!$D$5="Metal Halide",  '[1]Outdoor Lighting'!$J$5, ""))</f>
        <v/>
      </c>
      <c r="E115" s="2191"/>
      <c r="F115" s="2192"/>
      <c r="G115" s="2193" t="str">
        <f t="shared" si="63"/>
        <v/>
      </c>
      <c r="H115" s="2194" t="str">
        <f t="shared" si="64"/>
        <v/>
      </c>
      <c r="I115" s="2189" t="str">
        <f>IF(C115="","",IF('[1]Outdoor Lighting'!$D$5="Metal Halide","I",""))</f>
        <v/>
      </c>
      <c r="J115" s="2195" t="str">
        <f t="shared" si="65"/>
        <v/>
      </c>
      <c r="K115" s="2196" t="str">
        <f t="shared" si="66"/>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c r="BA115" s="2200" t="str">
        <f>IF(ISNA(BB115), '[1]Outdoor Lighting'!$D$5&amp;", "&amp;'[1]Outdoor Lighting'!$H$5, "")</f>
        <v/>
      </c>
      <c r="BB115" s="2189" t="str">
        <f>IF('[1]Outdoor Lighting'!$D$5="Metal Halide", VLOOKUP('[1]Outdoor Lighting'!$D$5&amp;", "&amp;'[1]Outdoor Lighting'!$H$5, [1]LightTrans!$A$2:$K$94, 2, FALSE), "")</f>
        <v/>
      </c>
    </row>
    <row r="116" spans="1:54">
      <c r="A116" s="572"/>
      <c r="B116" s="2217"/>
      <c r="C116" s="2189" t="str">
        <f t="shared" si="54"/>
        <v/>
      </c>
      <c r="D116" s="2189" t="str">
        <f>IF(C116="","",IF('[1]Outdoor Lighting'!$D$6="Metal Halide",  '[1]Outdoor Lighting'!$J$6, ""))</f>
        <v/>
      </c>
      <c r="E116" s="2191"/>
      <c r="F116" s="2192"/>
      <c r="G116" s="2193" t="str">
        <f t="shared" si="63"/>
        <v/>
      </c>
      <c r="H116" s="2194" t="str">
        <f t="shared" si="64"/>
        <v/>
      </c>
      <c r="I116" s="2189" t="str">
        <f>IF(C116="","",IF('[1]Outdoor Lighting'!$D$6="Metal Halide","I",""))</f>
        <v/>
      </c>
      <c r="J116" s="2195" t="str">
        <f t="shared" si="65"/>
        <v/>
      </c>
      <c r="K116" s="2196" t="str">
        <f t="shared" si="66"/>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c r="BA116" s="2200" t="str">
        <f>IF(ISNA(BB116), '[1]Outdoor Lighting'!$D$6&amp;", "&amp;'[1]Outdoor Lighting'!$H$6, "")</f>
        <v/>
      </c>
      <c r="BB116" s="2189" t="str">
        <f>IF('[1]Outdoor Lighting'!$D$6="Metal Halide", VLOOKUP('[1]Outdoor Lighting'!$D$6&amp;", "&amp;'[1]Outdoor Lighting'!$H$6, [1]LightTrans!$A$2:$K$94, 2, FALSE), "")</f>
        <v/>
      </c>
    </row>
    <row r="117" spans="1:54">
      <c r="A117" s="572"/>
      <c r="B117" s="2217"/>
      <c r="C117" s="2189" t="str">
        <f t="shared" si="54"/>
        <v/>
      </c>
      <c r="D117" s="2189" t="str">
        <f>IF(C117="","",IF('[1]Outdoor Lighting'!$D$7="Metal Halide",  '[1]Outdoor Lighting'!$J$7, ""))</f>
        <v/>
      </c>
      <c r="E117" s="2191"/>
      <c r="F117" s="2192"/>
      <c r="G117" s="2193" t="str">
        <f t="shared" si="63"/>
        <v/>
      </c>
      <c r="H117" s="2194" t="str">
        <f t="shared" si="64"/>
        <v/>
      </c>
      <c r="I117" s="2189" t="str">
        <f>IF(C117="","",IF('[1]Outdoor Lighting'!$D$7="Metal Halide","I",""))</f>
        <v/>
      </c>
      <c r="J117" s="2195" t="str">
        <f t="shared" si="65"/>
        <v/>
      </c>
      <c r="K117" s="2196" t="str">
        <f t="shared" si="66"/>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c r="BA117" s="2200" t="str">
        <f>IF(ISNA(BB117), '[1]Outdoor Lighting'!$D$7&amp;", "&amp;'[1]Outdoor Lighting'!$H$7, "")</f>
        <v/>
      </c>
      <c r="BB117" s="2189" t="str">
        <f>IF('[1]Outdoor Lighting'!$D$7="Metal Halide", VLOOKUP('[1]Outdoor Lighting'!$D$7&amp;", "&amp;'[1]Outdoor Lighting'!$H$7, [1]LightTrans!$A$2:$K$94, 2, FALSE), "")</f>
        <v/>
      </c>
    </row>
    <row r="118" spans="1:54">
      <c r="A118" s="572"/>
      <c r="B118" s="2217"/>
      <c r="C118" s="2189" t="str">
        <f t="shared" si="54"/>
        <v/>
      </c>
      <c r="D118" s="2189" t="str">
        <f>IF(C118="","",IF('[1]Outdoor Lighting'!$D$8="Metal Halide",  '[1]Outdoor Lighting'!$J$8, ""))</f>
        <v/>
      </c>
      <c r="E118" s="2191"/>
      <c r="F118" s="2192"/>
      <c r="G118" s="2193" t="str">
        <f t="shared" si="63"/>
        <v/>
      </c>
      <c r="H118" s="2194" t="str">
        <f t="shared" si="64"/>
        <v/>
      </c>
      <c r="I118" s="2189" t="str">
        <f>IF(C118="","",IF('[1]Outdoor Lighting'!$D$8="Metal Halide","I",""))</f>
        <v/>
      </c>
      <c r="J118" s="2195" t="str">
        <f t="shared" si="65"/>
        <v/>
      </c>
      <c r="K118" s="2196" t="str">
        <f t="shared" si="66"/>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c r="BA118" s="2200" t="str">
        <f>IF(ISNA(BB118), '[1]Outdoor Lighting'!$D$8&amp;", "&amp;'[1]Outdoor Lighting'!$H$8, "")</f>
        <v/>
      </c>
      <c r="BB118" s="2189" t="str">
        <f>IF('[1]Outdoor Lighting'!$D$8="Metal Halide", VLOOKUP('[1]Outdoor Lighting'!$D$8&amp;", "&amp;'[1]Outdoor Lighting'!$H$8, [1]LightTrans!$A$2:$K$94, 2, FALSE), "")</f>
        <v/>
      </c>
    </row>
    <row r="119" spans="1:54">
      <c r="A119" s="572"/>
      <c r="B119" s="2217"/>
      <c r="C119" s="2189" t="str">
        <f t="shared" si="54"/>
        <v/>
      </c>
      <c r="D119" s="2189" t="str">
        <f>IF(C119="","",IF('[1]Outdoor Lighting'!$D$9="Metal Halide",  '[1]Outdoor Lighting'!$J$9, ""))</f>
        <v/>
      </c>
      <c r="E119" s="2191"/>
      <c r="F119" s="2192"/>
      <c r="G119" s="2193" t="str">
        <f t="shared" si="63"/>
        <v/>
      </c>
      <c r="H119" s="2194" t="str">
        <f t="shared" si="64"/>
        <v/>
      </c>
      <c r="I119" s="2189" t="str">
        <f>IF(C119="","",IF('[1]Outdoor Lighting'!$D$9="Metal Halide","I",""))</f>
        <v/>
      </c>
      <c r="J119" s="2195" t="str">
        <f t="shared" si="65"/>
        <v/>
      </c>
      <c r="K119" s="2196" t="str">
        <f t="shared" si="66"/>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c r="BA119" s="2200" t="str">
        <f>IF(ISNA(BB119), '[1]Outdoor Lighting'!$D$9&amp;", "&amp;'[1]Outdoor Lighting'!$H$9, "")</f>
        <v/>
      </c>
      <c r="BB119" s="2189" t="str">
        <f>IF('[1]Outdoor Lighting'!$D$9="Metal Halide", VLOOKUP('[1]Outdoor Lighting'!$D$9&amp;", "&amp;'[1]Outdoor Lighting'!$H$9, [1]LightTrans!$A$2:$K$94, 2, FALSE), "")</f>
        <v/>
      </c>
    </row>
    <row r="120" spans="1:54">
      <c r="A120" s="572"/>
      <c r="B120" s="2217"/>
      <c r="C120" s="2189" t="str">
        <f t="shared" si="54"/>
        <v/>
      </c>
      <c r="D120" s="2189" t="str">
        <f>IF(C120="","",IF('[1]Outdoor Lighting'!$D$10="Metal Halide",  '[1]Outdoor Lighting'!$J$10, ""))</f>
        <v/>
      </c>
      <c r="E120" s="2191"/>
      <c r="F120" s="2192" t="s">
        <v>157</v>
      </c>
      <c r="G120" s="2193" t="str">
        <f t="shared" si="63"/>
        <v/>
      </c>
      <c r="H120" s="2194" t="str">
        <f t="shared" si="64"/>
        <v/>
      </c>
      <c r="I120" s="2189" t="str">
        <f>IF(C120="","",IF('[1]Outdoor Lighting'!$D$10="Metal Halide","I",""))</f>
        <v/>
      </c>
      <c r="J120" s="2195" t="str">
        <f t="shared" si="65"/>
        <v/>
      </c>
      <c r="K120" s="2196" t="str">
        <f t="shared" si="66"/>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c r="BA120" s="2200" t="str">
        <f>IF(ISNA(BB120), '[1]Outdoor Lighting'!$D$10&amp;", "&amp;'[1]Outdoor Lighting'!$H$10, "")</f>
        <v/>
      </c>
      <c r="BB120" s="2189" t="str">
        <f>IF('[1]Outdoor Lighting'!$D$10="Metal Halide", VLOOKUP('[1]Outdoor Lighting'!$D$10&amp;", "&amp;'[1]Outdoor Lighting'!$H$10, [1]LightTrans!$A$2:$K$94, 2, FALSE), "")</f>
        <v/>
      </c>
    </row>
    <row r="121" spans="1:54">
      <c r="A121" s="572"/>
      <c r="B121" s="2217"/>
      <c r="C121" s="2189" t="str">
        <f t="shared" si="54"/>
        <v/>
      </c>
      <c r="D121" s="2189" t="str">
        <f>IF(C121="","",IF('[1]Outdoor Lighting'!$D$11="Metal Halide",  '[1]Outdoor Lighting'!$J$11, ""))</f>
        <v/>
      </c>
      <c r="E121" s="2191"/>
      <c r="F121" s="2192" t="s">
        <v>157</v>
      </c>
      <c r="G121" s="2193" t="str">
        <f t="shared" si="63"/>
        <v/>
      </c>
      <c r="H121" s="2194" t="str">
        <f t="shared" si="64"/>
        <v/>
      </c>
      <c r="I121" s="2189" t="str">
        <f>IF(C121="","",IF('[1]Outdoor Lighting'!$D$11="Metal Halide","I",""))</f>
        <v/>
      </c>
      <c r="J121" s="2195" t="str">
        <f t="shared" si="65"/>
        <v/>
      </c>
      <c r="K121" s="2196" t="str">
        <f t="shared" si="66"/>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c r="BA121" s="2200" t="str">
        <f>IF(ISNA(BB121), '[1]Outdoor Lighting'!$D$11&amp;", "&amp;'[1]Outdoor Lighting'!$H$11, "")</f>
        <v/>
      </c>
      <c r="BB121" s="2189" t="str">
        <f>IF('[1]Outdoor Lighting'!$D$11="Metal Halide", VLOOKUP('[1]Outdoor Lighting'!$D$11&amp;", "&amp;'[1]Outdoor Lighting'!$H$11, [1]LightTrans!$A$2:$K$94, 2, FALSE), "")</f>
        <v/>
      </c>
    </row>
    <row r="122" spans="1:54"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c r="BB122" s="2225" t="s">
        <v>2070</v>
      </c>
    </row>
    <row r="123" spans="1:54" hidden="1">
      <c r="A123" s="572"/>
      <c r="B123" s="2217"/>
      <c r="C123" s="2189"/>
      <c r="D123" s="2218"/>
      <c r="E123" s="2219"/>
      <c r="F123" s="2192"/>
      <c r="G123" s="2220" t="str">
        <f t="shared" ref="G123:G132" si="71">IF(C123="","",VLOOKUP(C123,lighting,7,FALSE))</f>
        <v/>
      </c>
      <c r="H123" s="2221" t="str">
        <f t="shared" ref="H123:H132" si="72">IF(C123="","",(G123*D123)/1000)</f>
        <v/>
      </c>
      <c r="I123" s="2219"/>
      <c r="J123" s="2222" t="str">
        <f t="shared" ref="J123:J149" si="73">IF(C123="","",VLOOKUP(I123,sched1,3,FALSE))</f>
        <v/>
      </c>
      <c r="K123" s="2223" t="str">
        <f t="shared" ref="K123:K164" si="74">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c r="BA123" s="2217"/>
      <c r="BB123" s="2189"/>
    </row>
    <row r="124" spans="1:54" ht="12.75" hidden="1" customHeight="1">
      <c r="A124" s="572"/>
      <c r="B124" s="2217"/>
      <c r="C124" s="2189"/>
      <c r="D124" s="2218"/>
      <c r="E124" s="2219"/>
      <c r="F124" s="2192"/>
      <c r="G124" s="2220" t="str">
        <f t="shared" si="71"/>
        <v/>
      </c>
      <c r="H124" s="2221" t="str">
        <f t="shared" si="72"/>
        <v/>
      </c>
      <c r="I124" s="2219"/>
      <c r="J124" s="2222" t="str">
        <f t="shared" si="73"/>
        <v/>
      </c>
      <c r="K124" s="2228" t="str">
        <f t="shared" si="74"/>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c r="BA124" s="2217"/>
      <c r="BB124" s="2189"/>
    </row>
    <row r="125" spans="1:54" hidden="1">
      <c r="A125" s="572"/>
      <c r="B125" s="2217"/>
      <c r="C125" s="2189"/>
      <c r="D125" s="2218"/>
      <c r="E125" s="2132"/>
      <c r="F125" s="2192" t="s">
        <v>157</v>
      </c>
      <c r="G125" s="2220" t="str">
        <f t="shared" si="71"/>
        <v/>
      </c>
      <c r="H125" s="2229" t="str">
        <f t="shared" si="72"/>
        <v/>
      </c>
      <c r="I125" s="2219"/>
      <c r="J125" s="2222" t="str">
        <f t="shared" si="73"/>
        <v/>
      </c>
      <c r="K125" s="2230" t="str">
        <f t="shared" si="74"/>
        <v/>
      </c>
      <c r="L125" s="672"/>
      <c r="M125" s="672"/>
      <c r="N125" s="672"/>
      <c r="O125" s="672"/>
      <c r="P125" s="2734"/>
      <c r="Q125" s="572"/>
      <c r="R125" s="572"/>
      <c r="S125" s="572"/>
      <c r="T125" s="87"/>
      <c r="U125" s="87"/>
      <c r="V125" s="87"/>
      <c r="W125" s="87"/>
      <c r="X125" s="87"/>
      <c r="Y125" s="87"/>
      <c r="Z125" s="87"/>
      <c r="AA125" s="87"/>
      <c r="AB125" s="87"/>
      <c r="AC125" s="87"/>
      <c r="AD125" s="87"/>
      <c r="AE125" s="87"/>
      <c r="AF125" s="87"/>
      <c r="AG125" s="87"/>
      <c r="AH125" s="87"/>
      <c r="AI125" s="87"/>
      <c r="AJ125" s="87"/>
      <c r="AK125" s="87"/>
      <c r="BA125" s="2217"/>
      <c r="BB125" s="2189"/>
    </row>
    <row r="126" spans="1:54" hidden="1">
      <c r="A126" s="572"/>
      <c r="B126" s="2217"/>
      <c r="C126" s="2189"/>
      <c r="D126" s="2218"/>
      <c r="E126" s="2132"/>
      <c r="F126" s="2192" t="s">
        <v>157</v>
      </c>
      <c r="G126" s="2220" t="str">
        <f t="shared" si="71"/>
        <v/>
      </c>
      <c r="H126" s="2229" t="str">
        <f t="shared" si="72"/>
        <v/>
      </c>
      <c r="I126" s="2219"/>
      <c r="J126" s="2222" t="str">
        <f t="shared" si="73"/>
        <v/>
      </c>
      <c r="K126" s="2230" t="str">
        <f t="shared" si="74"/>
        <v/>
      </c>
      <c r="L126" s="672"/>
      <c r="M126" s="672"/>
      <c r="N126" s="672"/>
      <c r="O126" s="672"/>
      <c r="P126" s="2734"/>
      <c r="Q126" s="572"/>
      <c r="R126" s="572"/>
      <c r="S126" s="572"/>
      <c r="T126" s="87"/>
      <c r="U126" s="87"/>
      <c r="V126" s="87"/>
      <c r="W126" s="87"/>
      <c r="X126" s="87"/>
      <c r="Y126" s="87"/>
      <c r="Z126" s="87"/>
      <c r="AA126" s="87"/>
      <c r="AB126" s="87"/>
      <c r="AC126" s="87"/>
      <c r="AD126" s="87"/>
      <c r="AE126" s="87"/>
      <c r="AF126" s="87"/>
      <c r="AG126" s="87"/>
      <c r="AH126" s="87"/>
      <c r="AI126" s="87"/>
      <c r="AJ126" s="87"/>
      <c r="AK126" s="87"/>
      <c r="BA126" s="2217"/>
      <c r="BB126" s="2189"/>
    </row>
    <row r="127" spans="1:54" hidden="1">
      <c r="A127" s="572"/>
      <c r="B127" s="2217"/>
      <c r="C127" s="2189"/>
      <c r="D127" s="2218"/>
      <c r="E127" s="2132"/>
      <c r="F127" s="2192" t="s">
        <v>157</v>
      </c>
      <c r="G127" s="2220" t="str">
        <f t="shared" si="71"/>
        <v/>
      </c>
      <c r="H127" s="2229" t="str">
        <f t="shared" si="72"/>
        <v/>
      </c>
      <c r="I127" s="2219"/>
      <c r="J127" s="2222" t="str">
        <f t="shared" si="73"/>
        <v/>
      </c>
      <c r="K127" s="2230" t="str">
        <f t="shared" si="74"/>
        <v/>
      </c>
      <c r="L127" s="672"/>
      <c r="M127" s="672"/>
      <c r="N127" s="672"/>
      <c r="O127" s="672"/>
      <c r="P127" s="2734"/>
      <c r="Q127" s="572"/>
      <c r="R127" s="572"/>
      <c r="S127" s="572"/>
      <c r="T127" s="87"/>
      <c r="U127" s="87"/>
      <c r="V127" s="87"/>
      <c r="W127" s="87"/>
      <c r="X127" s="87"/>
      <c r="Y127" s="87"/>
      <c r="Z127" s="87"/>
      <c r="AA127" s="87"/>
      <c r="AB127" s="87"/>
      <c r="AC127" s="87"/>
      <c r="AD127" s="87"/>
      <c r="AE127" s="87"/>
      <c r="AF127" s="87"/>
      <c r="AG127" s="87"/>
      <c r="AH127" s="87"/>
      <c r="AI127" s="87"/>
      <c r="AJ127" s="87"/>
      <c r="AK127" s="87"/>
      <c r="BA127" s="2217"/>
      <c r="BB127" s="2189"/>
    </row>
    <row r="128" spans="1:54" hidden="1">
      <c r="A128" s="572"/>
      <c r="B128" s="2217"/>
      <c r="C128" s="2189"/>
      <c r="D128" s="2218"/>
      <c r="E128" s="2132"/>
      <c r="F128" s="2192" t="s">
        <v>157</v>
      </c>
      <c r="G128" s="2220" t="str">
        <f t="shared" si="71"/>
        <v/>
      </c>
      <c r="H128" s="2229" t="str">
        <f t="shared" si="72"/>
        <v/>
      </c>
      <c r="I128" s="2219"/>
      <c r="J128" s="2222" t="str">
        <f t="shared" si="73"/>
        <v/>
      </c>
      <c r="K128" s="2230" t="str">
        <f t="shared" si="74"/>
        <v/>
      </c>
      <c r="L128" s="672"/>
      <c r="M128" s="672"/>
      <c r="N128" s="672"/>
      <c r="O128" s="672"/>
      <c r="P128" s="2734"/>
      <c r="Q128" s="572"/>
      <c r="R128" s="572"/>
      <c r="S128" s="572"/>
      <c r="Z128" s="87"/>
      <c r="AA128" s="87"/>
      <c r="AB128" s="87"/>
      <c r="AC128" s="87"/>
      <c r="AD128" s="87"/>
      <c r="AE128" s="87"/>
      <c r="AF128" s="87"/>
      <c r="AG128" s="87"/>
      <c r="AH128" s="87"/>
      <c r="AI128" s="87"/>
      <c r="AJ128" s="87"/>
      <c r="AK128" s="87"/>
      <c r="BA128" s="2217"/>
      <c r="BB128" s="2189"/>
    </row>
    <row r="129" spans="1:55" hidden="1">
      <c r="A129" s="572"/>
      <c r="B129" s="2217"/>
      <c r="C129" s="2189"/>
      <c r="D129" s="2218"/>
      <c r="E129" s="2132"/>
      <c r="F129" s="2192" t="s">
        <v>157</v>
      </c>
      <c r="G129" s="2220" t="str">
        <f t="shared" si="71"/>
        <v/>
      </c>
      <c r="H129" s="2229" t="str">
        <f t="shared" si="72"/>
        <v/>
      </c>
      <c r="I129" s="2219"/>
      <c r="J129" s="2222" t="str">
        <f t="shared" si="73"/>
        <v/>
      </c>
      <c r="K129" s="2230" t="str">
        <f t="shared" si="74"/>
        <v/>
      </c>
      <c r="L129" s="672"/>
      <c r="M129" s="672"/>
      <c r="N129" s="672"/>
      <c r="O129" s="672"/>
      <c r="P129" s="2734"/>
      <c r="Q129" s="572"/>
      <c r="R129" s="572"/>
      <c r="S129" s="572"/>
      <c r="Z129" s="87"/>
      <c r="AA129" s="87"/>
      <c r="AB129" s="87"/>
      <c r="AC129" s="87"/>
      <c r="AD129" s="87"/>
      <c r="AE129" s="87"/>
      <c r="AF129" s="87"/>
      <c r="AG129" s="87"/>
      <c r="AH129" s="87"/>
      <c r="AI129" s="87"/>
      <c r="AJ129" s="87"/>
      <c r="AK129" s="87"/>
      <c r="BA129" s="2217"/>
      <c r="BB129" s="2189"/>
    </row>
    <row r="130" spans="1:55" hidden="1">
      <c r="A130" s="572"/>
      <c r="B130" s="2217"/>
      <c r="C130" s="2189"/>
      <c r="D130" s="2218"/>
      <c r="E130" s="2132"/>
      <c r="F130" s="2192" t="s">
        <v>157</v>
      </c>
      <c r="G130" s="2220" t="str">
        <f t="shared" si="71"/>
        <v/>
      </c>
      <c r="H130" s="2229" t="str">
        <f t="shared" si="72"/>
        <v/>
      </c>
      <c r="I130" s="2219"/>
      <c r="J130" s="2222" t="str">
        <f t="shared" si="73"/>
        <v/>
      </c>
      <c r="K130" s="2230" t="str">
        <f t="shared" si="74"/>
        <v/>
      </c>
      <c r="L130" s="672"/>
      <c r="M130" s="672"/>
      <c r="N130" s="672"/>
      <c r="O130" s="672"/>
      <c r="P130" s="2734"/>
      <c r="Q130" s="572"/>
      <c r="R130" s="572"/>
      <c r="S130" s="572"/>
      <c r="Z130" s="87"/>
      <c r="AA130" s="87"/>
      <c r="AB130" s="87"/>
      <c r="AC130" s="87"/>
      <c r="AD130" s="87"/>
      <c r="AE130" s="87"/>
      <c r="AF130" s="87"/>
      <c r="AG130" s="87"/>
      <c r="AH130" s="87"/>
      <c r="AI130" s="87"/>
      <c r="AJ130" s="87"/>
      <c r="AK130" s="87"/>
      <c r="BA130" s="2217"/>
      <c r="BB130" s="2189"/>
    </row>
    <row r="131" spans="1:55" hidden="1">
      <c r="A131" s="572"/>
      <c r="B131" s="2217"/>
      <c r="C131" s="2189"/>
      <c r="D131" s="2218"/>
      <c r="E131" s="2132"/>
      <c r="F131" s="2192" t="s">
        <v>157</v>
      </c>
      <c r="G131" s="2220" t="str">
        <f t="shared" si="71"/>
        <v/>
      </c>
      <c r="H131" s="2229" t="str">
        <f t="shared" si="72"/>
        <v/>
      </c>
      <c r="I131" s="2219"/>
      <c r="J131" s="2222" t="str">
        <f t="shared" si="73"/>
        <v/>
      </c>
      <c r="K131" s="2230" t="str">
        <f t="shared" si="74"/>
        <v/>
      </c>
      <c r="L131" s="672"/>
      <c r="M131" s="672"/>
      <c r="N131" s="672"/>
      <c r="O131" s="672"/>
      <c r="P131" s="2734"/>
      <c r="Q131" s="572"/>
      <c r="R131" s="572"/>
      <c r="S131" s="572"/>
      <c r="Z131" s="87"/>
      <c r="AA131" s="87"/>
      <c r="AB131" s="87"/>
      <c r="AC131" s="87"/>
      <c r="AD131" s="87"/>
      <c r="AE131" s="87"/>
      <c r="AF131" s="87"/>
      <c r="AG131" s="87"/>
      <c r="AH131" s="87"/>
      <c r="AI131" s="87"/>
      <c r="AJ131" s="87"/>
      <c r="AK131" s="87"/>
      <c r="BA131" s="2217"/>
      <c r="BB131" s="2189"/>
    </row>
    <row r="132" spans="1:55" hidden="1">
      <c r="A132" s="572"/>
      <c r="B132" s="2217"/>
      <c r="C132" s="2189"/>
      <c r="D132" s="2218"/>
      <c r="E132" s="2132"/>
      <c r="F132" s="2192" t="s">
        <v>157</v>
      </c>
      <c r="G132" s="2220" t="str">
        <f t="shared" si="71"/>
        <v/>
      </c>
      <c r="H132" s="2229" t="str">
        <f t="shared" si="72"/>
        <v/>
      </c>
      <c r="I132" s="2219"/>
      <c r="J132" s="2222" t="str">
        <f>IF(C132="","",VLOOKUP(I132,sched1,3,FALSE))</f>
        <v/>
      </c>
      <c r="K132" s="2230" t="str">
        <f>IF(C132="","",J132*H132)</f>
        <v/>
      </c>
      <c r="L132" s="672"/>
      <c r="M132" s="672"/>
      <c r="N132" s="672"/>
      <c r="O132" s="672"/>
      <c r="P132" s="2734"/>
      <c r="Q132" s="572"/>
      <c r="R132" s="572"/>
      <c r="S132" s="572"/>
      <c r="Z132" s="87"/>
      <c r="AA132" s="87"/>
      <c r="AB132" s="87"/>
      <c r="AC132" s="87"/>
      <c r="AD132" s="87"/>
      <c r="AE132" s="87"/>
      <c r="AF132" s="87"/>
      <c r="AG132" s="87"/>
      <c r="AH132" s="87"/>
      <c r="AI132" s="87"/>
      <c r="AJ132" s="87"/>
      <c r="AK132" s="87"/>
      <c r="BA132" s="2217"/>
      <c r="BB132" s="2189"/>
    </row>
    <row r="133" spans="1:55" hidden="1">
      <c r="A133" s="572"/>
      <c r="B133" s="3375" t="s">
        <v>2380</v>
      </c>
      <c r="C133" s="3376"/>
      <c r="D133" s="2227"/>
      <c r="E133" s="2735"/>
      <c r="F133" s="2208"/>
      <c r="G133" s="2209"/>
      <c r="H133" s="2232"/>
      <c r="I133" s="2186"/>
      <c r="J133" s="2211"/>
      <c r="K133" s="2233"/>
      <c r="L133" s="2182"/>
      <c r="M133" s="2182"/>
      <c r="N133" s="2182"/>
      <c r="O133" s="2182"/>
      <c r="P133" s="2736"/>
      <c r="Q133" s="572"/>
      <c r="R133" s="572"/>
      <c r="S133" s="572"/>
      <c r="Z133" s="87"/>
      <c r="AA133" s="87"/>
      <c r="AB133" s="87"/>
      <c r="AC133" s="87"/>
      <c r="AD133" s="87"/>
      <c r="AE133" s="87"/>
      <c r="AF133" s="87"/>
      <c r="AG133" s="87"/>
      <c r="AH133" s="87"/>
      <c r="AI133" s="87"/>
      <c r="AJ133" s="87"/>
      <c r="AK133" s="87"/>
      <c r="BB133" s="3375" t="s">
        <v>2380</v>
      </c>
      <c r="BC133" s="3376"/>
    </row>
    <row r="134" spans="1:55" hidden="1">
      <c r="A134" s="572"/>
      <c r="B134" s="2217"/>
      <c r="C134" s="2737"/>
      <c r="D134" s="2218"/>
      <c r="E134" s="2132"/>
      <c r="F134" s="2192"/>
      <c r="G134" s="2220" t="str">
        <f>IF(C134="","",VLOOKUP(C134,lighting,7,FALSE))</f>
        <v/>
      </c>
      <c r="H134" s="2229" t="str">
        <f t="shared" ref="H134:H143" si="75">IF(C134="","",(G134*D134)/1000)</f>
        <v/>
      </c>
      <c r="I134" s="2219"/>
      <c r="J134" s="2222" t="str">
        <f t="shared" si="73"/>
        <v/>
      </c>
      <c r="K134" s="2230" t="str">
        <f t="shared" si="74"/>
        <v/>
      </c>
      <c r="L134" s="672"/>
      <c r="M134" s="672"/>
      <c r="N134" s="672"/>
      <c r="O134" s="672"/>
      <c r="P134" s="2734"/>
      <c r="Q134" s="572"/>
      <c r="R134" s="572"/>
      <c r="S134" s="572"/>
      <c r="Z134" s="87"/>
      <c r="AA134" s="87"/>
      <c r="AB134" s="87"/>
      <c r="AC134" s="87"/>
      <c r="AD134" s="87"/>
      <c r="AE134" s="87"/>
      <c r="AF134" s="87"/>
      <c r="AG134" s="87"/>
      <c r="AH134" s="87"/>
      <c r="AI134" s="87"/>
      <c r="AJ134" s="87"/>
      <c r="AK134" s="87"/>
      <c r="BA134" s="2217"/>
      <c r="BB134" s="2737"/>
    </row>
    <row r="135" spans="1:55" hidden="1">
      <c r="A135" s="572"/>
      <c r="B135" s="2217"/>
      <c r="C135" s="2737"/>
      <c r="D135" s="2218"/>
      <c r="E135" s="2132"/>
      <c r="F135" s="2192"/>
      <c r="G135" s="2220" t="str">
        <f t="shared" ref="G135:G143" si="76">IF(C135="","",VLOOKUP(C135,lighting,7,FALSE))</f>
        <v/>
      </c>
      <c r="H135" s="2229" t="str">
        <f t="shared" si="75"/>
        <v/>
      </c>
      <c r="I135" s="2219"/>
      <c r="J135" s="2222" t="str">
        <f t="shared" si="73"/>
        <v/>
      </c>
      <c r="K135" s="2230" t="str">
        <f t="shared" si="74"/>
        <v/>
      </c>
      <c r="L135" s="672"/>
      <c r="M135" s="672"/>
      <c r="N135" s="672"/>
      <c r="O135" s="672"/>
      <c r="P135" s="2734"/>
      <c r="Q135" s="572"/>
      <c r="R135" s="572"/>
      <c r="S135" s="572"/>
      <c r="Z135" s="87"/>
      <c r="AA135" s="87"/>
      <c r="AB135" s="87"/>
      <c r="AC135" s="87"/>
      <c r="AD135" s="87"/>
      <c r="AE135" s="87"/>
      <c r="AF135" s="87"/>
      <c r="AG135" s="87"/>
      <c r="AH135" s="87"/>
      <c r="AI135" s="87"/>
      <c r="AJ135" s="87"/>
      <c r="AK135" s="87"/>
      <c r="BA135" s="2217"/>
      <c r="BB135" s="2737"/>
    </row>
    <row r="136" spans="1:55" hidden="1">
      <c r="A136" s="572"/>
      <c r="B136" s="2217"/>
      <c r="C136" s="2737"/>
      <c r="D136" s="2218"/>
      <c r="E136" s="2132"/>
      <c r="F136" s="2192"/>
      <c r="G136" s="2220" t="str">
        <f t="shared" si="76"/>
        <v/>
      </c>
      <c r="H136" s="2229" t="str">
        <f t="shared" si="75"/>
        <v/>
      </c>
      <c r="I136" s="2219"/>
      <c r="J136" s="2222" t="str">
        <f t="shared" si="73"/>
        <v/>
      </c>
      <c r="K136" s="2230" t="str">
        <f t="shared" si="74"/>
        <v/>
      </c>
      <c r="L136" s="672"/>
      <c r="M136" s="672"/>
      <c r="N136" s="672"/>
      <c r="O136" s="672"/>
      <c r="P136" s="2734"/>
      <c r="Q136" s="572"/>
      <c r="R136" s="572"/>
      <c r="S136" s="572"/>
      <c r="Z136" s="87"/>
      <c r="AA136" s="87"/>
      <c r="AB136" s="87"/>
      <c r="AC136" s="87"/>
      <c r="AD136" s="87"/>
      <c r="AE136" s="87"/>
      <c r="AF136" s="87"/>
      <c r="AG136" s="87"/>
      <c r="AH136" s="87"/>
      <c r="AI136" s="87"/>
      <c r="AJ136" s="87"/>
      <c r="AK136" s="87"/>
      <c r="BA136" s="2217"/>
      <c r="BB136" s="2737"/>
    </row>
    <row r="137" spans="1:55" hidden="1">
      <c r="A137" s="572"/>
      <c r="B137" s="2217"/>
      <c r="C137" s="2737"/>
      <c r="D137" s="2218"/>
      <c r="E137" s="2132"/>
      <c r="F137" s="2192" t="s">
        <v>157</v>
      </c>
      <c r="G137" s="2220" t="str">
        <f t="shared" si="76"/>
        <v/>
      </c>
      <c r="H137" s="2229" t="str">
        <f t="shared" si="75"/>
        <v/>
      </c>
      <c r="I137" s="2219"/>
      <c r="J137" s="2222" t="str">
        <f t="shared" si="73"/>
        <v/>
      </c>
      <c r="K137" s="2230" t="str">
        <f t="shared" si="74"/>
        <v/>
      </c>
      <c r="L137" s="672"/>
      <c r="M137" s="672"/>
      <c r="N137" s="672"/>
      <c r="O137" s="672"/>
      <c r="P137" s="2734"/>
      <c r="Q137" s="1571"/>
      <c r="R137" s="1571"/>
      <c r="S137" s="1571"/>
      <c r="T137" s="531"/>
      <c r="U137" s="531"/>
      <c r="V137" s="531"/>
      <c r="W137" s="531"/>
      <c r="X137" s="531"/>
      <c r="Y137" s="531"/>
      <c r="Z137" s="87"/>
      <c r="AA137" s="87"/>
      <c r="AB137" s="87"/>
      <c r="AC137" s="87"/>
      <c r="AD137" s="87"/>
      <c r="AE137" s="87"/>
      <c r="AF137" s="87"/>
      <c r="AG137" s="87"/>
      <c r="AH137" s="87"/>
      <c r="AI137" s="87"/>
      <c r="AJ137" s="87"/>
      <c r="AK137" s="87"/>
      <c r="BA137" s="2217"/>
      <c r="BB137" s="2737"/>
    </row>
    <row r="138" spans="1:55" hidden="1">
      <c r="A138" s="572"/>
      <c r="B138" s="2217"/>
      <c r="C138" s="2737"/>
      <c r="D138" s="2218"/>
      <c r="E138" s="2132"/>
      <c r="F138" s="2192" t="s">
        <v>157</v>
      </c>
      <c r="G138" s="2220" t="str">
        <f t="shared" si="76"/>
        <v/>
      </c>
      <c r="H138" s="2229" t="str">
        <f t="shared" si="75"/>
        <v/>
      </c>
      <c r="I138" s="2219"/>
      <c r="J138" s="2222" t="str">
        <f t="shared" si="73"/>
        <v/>
      </c>
      <c r="K138" s="2230" t="str">
        <f t="shared" si="74"/>
        <v/>
      </c>
      <c r="L138" s="672"/>
      <c r="M138" s="672"/>
      <c r="N138" s="672"/>
      <c r="O138" s="672"/>
      <c r="P138" s="2734"/>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c r="BA138" s="2217"/>
      <c r="BB138" s="2737"/>
    </row>
    <row r="139" spans="1:55" ht="17.399999999999999" hidden="1">
      <c r="A139" s="572"/>
      <c r="B139" s="2217"/>
      <c r="C139" s="2737"/>
      <c r="D139" s="2218"/>
      <c r="E139" s="2132"/>
      <c r="F139" s="2192" t="s">
        <v>157</v>
      </c>
      <c r="G139" s="2220" t="str">
        <f t="shared" si="76"/>
        <v/>
      </c>
      <c r="H139" s="2229" t="str">
        <f t="shared" si="75"/>
        <v/>
      </c>
      <c r="I139" s="2219"/>
      <c r="J139" s="2222" t="str">
        <f>IF(C139="","",VLOOKUP(I139,sched1,3,FALSE))</f>
        <v/>
      </c>
      <c r="K139" s="2230" t="str">
        <f>IF(C139="","",J139*H139)</f>
        <v/>
      </c>
      <c r="L139" s="672"/>
      <c r="M139" s="672"/>
      <c r="N139" s="672"/>
      <c r="O139" s="672"/>
      <c r="P139" s="2734"/>
      <c r="Q139" s="539"/>
      <c r="R139" s="539"/>
      <c r="S139" s="539"/>
      <c r="T139" s="539"/>
      <c r="U139" s="534"/>
      <c r="V139" s="534"/>
      <c r="W139" s="534"/>
      <c r="X139" s="534"/>
      <c r="Y139" s="534"/>
      <c r="Z139" s="87"/>
      <c r="AA139" s="87"/>
      <c r="AB139" s="87"/>
      <c r="AC139" s="87"/>
      <c r="AD139" s="87"/>
      <c r="AE139" s="87"/>
      <c r="AF139" s="87"/>
      <c r="AG139" s="87"/>
      <c r="AH139" s="87"/>
      <c r="AI139" s="87"/>
      <c r="AJ139" s="87"/>
      <c r="AK139" s="87"/>
      <c r="BA139" s="2217"/>
      <c r="BB139" s="2737"/>
    </row>
    <row r="140" spans="1:55" hidden="1">
      <c r="A140" s="572"/>
      <c r="B140" s="2217"/>
      <c r="C140" s="2737"/>
      <c r="D140" s="2218"/>
      <c r="E140" s="2132"/>
      <c r="F140" s="2192" t="s">
        <v>157</v>
      </c>
      <c r="G140" s="2220" t="str">
        <f t="shared" si="76"/>
        <v/>
      </c>
      <c r="H140" s="2229" t="str">
        <f t="shared" si="75"/>
        <v/>
      </c>
      <c r="I140" s="2219"/>
      <c r="J140" s="2222" t="str">
        <f>IF(C140="","",VLOOKUP(I140,sched1,3,FALSE))</f>
        <v/>
      </c>
      <c r="K140" s="2230" t="str">
        <f>IF(C140="","",J140*H140)</f>
        <v/>
      </c>
      <c r="L140" s="672"/>
      <c r="M140" s="672"/>
      <c r="N140" s="672"/>
      <c r="O140" s="672"/>
      <c r="P140" s="2734"/>
      <c r="Q140" s="534"/>
      <c r="R140" s="534"/>
      <c r="S140" s="534"/>
      <c r="T140" s="534"/>
      <c r="U140" s="534"/>
      <c r="V140" s="534"/>
      <c r="W140" s="534"/>
      <c r="X140" s="534"/>
      <c r="Y140" s="534"/>
      <c r="Z140" s="87"/>
      <c r="AA140" s="87"/>
      <c r="AB140" s="87"/>
      <c r="AC140" s="87"/>
      <c r="AD140" s="87"/>
      <c r="AE140" s="87"/>
      <c r="AF140" s="87"/>
      <c r="AG140" s="87"/>
      <c r="AH140" s="87"/>
      <c r="AI140" s="87"/>
      <c r="AJ140" s="87"/>
      <c r="AK140" s="87"/>
      <c r="BA140" s="2217"/>
      <c r="BB140" s="2737"/>
    </row>
    <row r="141" spans="1:55" ht="15" hidden="1" customHeight="1">
      <c r="A141" s="572"/>
      <c r="B141" s="2217"/>
      <c r="C141" s="2737"/>
      <c r="D141" s="2218"/>
      <c r="E141" s="2132"/>
      <c r="F141" s="2192" t="s">
        <v>157</v>
      </c>
      <c r="G141" s="2220" t="str">
        <f t="shared" si="76"/>
        <v/>
      </c>
      <c r="H141" s="2229" t="str">
        <f t="shared" si="75"/>
        <v/>
      </c>
      <c r="I141" s="2219"/>
      <c r="J141" s="2222" t="str">
        <f>IF(C141="","",VLOOKUP(I141,sched1,3,FALSE))</f>
        <v/>
      </c>
      <c r="K141" s="2230" t="str">
        <f>IF(C141="","",J141*H141)</f>
        <v/>
      </c>
      <c r="L141" s="672"/>
      <c r="M141" s="672"/>
      <c r="N141" s="672"/>
      <c r="O141" s="672"/>
      <c r="P141" s="2734"/>
      <c r="Q141" s="3069"/>
      <c r="R141" s="3069"/>
      <c r="S141" s="3069"/>
      <c r="T141" s="3069"/>
      <c r="U141" s="3069"/>
      <c r="V141" s="3069"/>
      <c r="W141" s="3069"/>
      <c r="X141" s="534"/>
      <c r="Y141" s="534"/>
      <c r="Z141" s="87"/>
      <c r="AA141" s="87"/>
      <c r="AB141" s="87"/>
      <c r="AC141" s="87"/>
      <c r="AD141" s="87"/>
      <c r="AE141" s="87"/>
      <c r="AF141" s="87"/>
      <c r="AG141" s="87"/>
      <c r="AH141" s="87"/>
      <c r="AI141" s="87"/>
      <c r="AJ141" s="87"/>
      <c r="AK141" s="87"/>
      <c r="BA141" s="2217"/>
      <c r="BB141" s="2737"/>
    </row>
    <row r="142" spans="1:55" hidden="1">
      <c r="A142" s="572"/>
      <c r="B142" s="2217"/>
      <c r="C142" s="2737"/>
      <c r="D142" s="2218"/>
      <c r="E142" s="2132"/>
      <c r="F142" s="2192" t="s">
        <v>157</v>
      </c>
      <c r="G142" s="2220" t="str">
        <f t="shared" si="76"/>
        <v/>
      </c>
      <c r="H142" s="2229" t="str">
        <f t="shared" si="75"/>
        <v/>
      </c>
      <c r="I142" s="2219"/>
      <c r="J142" s="2222" t="str">
        <f>IF(C142="","",VLOOKUP(I142,sched1,3,FALSE))</f>
        <v/>
      </c>
      <c r="K142" s="2230" t="str">
        <f>IF(C142="","",J142*H142)</f>
        <v/>
      </c>
      <c r="L142" s="672"/>
      <c r="M142" s="672"/>
      <c r="N142" s="672"/>
      <c r="O142" s="672"/>
      <c r="P142" s="2734"/>
      <c r="Q142" s="534"/>
      <c r="R142" s="534"/>
      <c r="S142" s="534"/>
      <c r="T142" s="534"/>
      <c r="U142" s="534"/>
      <c r="V142" s="534"/>
      <c r="W142" s="534"/>
      <c r="X142" s="534"/>
      <c r="Y142" s="534"/>
      <c r="Z142" s="87"/>
      <c r="AA142" s="87"/>
      <c r="AB142" s="87"/>
      <c r="AC142" s="87"/>
      <c r="AD142" s="87"/>
      <c r="AE142" s="87"/>
      <c r="AF142" s="87"/>
      <c r="AG142" s="87"/>
      <c r="AH142" s="87"/>
      <c r="AI142" s="87"/>
      <c r="AJ142" s="87"/>
      <c r="AK142" s="87"/>
      <c r="BA142" s="2217"/>
      <c r="BB142" s="2737"/>
    </row>
    <row r="143" spans="1:55" ht="15" hidden="1" customHeight="1">
      <c r="A143" s="572"/>
      <c r="B143" s="2217"/>
      <c r="C143" s="2737"/>
      <c r="D143" s="2218"/>
      <c r="E143" s="2132"/>
      <c r="F143" s="2192" t="s">
        <v>157</v>
      </c>
      <c r="G143" s="2220" t="str">
        <f t="shared" si="76"/>
        <v/>
      </c>
      <c r="H143" s="2229" t="str">
        <f t="shared" si="75"/>
        <v/>
      </c>
      <c r="I143" s="2219"/>
      <c r="J143" s="2222" t="str">
        <f>IF(C143="","",VLOOKUP(I143,sched1,3,FALSE))</f>
        <v/>
      </c>
      <c r="K143" s="2230" t="str">
        <f>IF(C143="","",J143*H143)</f>
        <v/>
      </c>
      <c r="L143" s="672"/>
      <c r="M143" s="672"/>
      <c r="N143" s="672"/>
      <c r="O143" s="672"/>
      <c r="P143" s="2734"/>
      <c r="Q143" s="3069"/>
      <c r="R143" s="3069"/>
      <c r="S143" s="3069"/>
      <c r="T143" s="3069"/>
      <c r="U143" s="3069"/>
      <c r="V143" s="3069"/>
      <c r="W143" s="3069"/>
      <c r="X143" s="534"/>
      <c r="Y143" s="534"/>
      <c r="Z143" s="87"/>
      <c r="AA143" s="87"/>
      <c r="AB143" s="87"/>
      <c r="AC143" s="87"/>
      <c r="AD143" s="87"/>
      <c r="AE143" s="87"/>
      <c r="AF143" s="87"/>
      <c r="AG143" s="87"/>
      <c r="AH143" s="87"/>
      <c r="AI143" s="87"/>
      <c r="AJ143" s="87"/>
      <c r="AK143" s="87"/>
      <c r="BA143" s="2217"/>
      <c r="BB143" s="2737"/>
    </row>
    <row r="144" spans="1:55">
      <c r="A144" s="572"/>
      <c r="B144" s="3375" t="s">
        <v>2377</v>
      </c>
      <c r="C144" s="3376"/>
      <c r="D144" s="2227"/>
      <c r="E144" s="2735"/>
      <c r="F144" s="2208"/>
      <c r="G144" s="2209"/>
      <c r="H144" s="2232"/>
      <c r="I144" s="2186"/>
      <c r="J144" s="2211"/>
      <c r="K144" s="2233"/>
      <c r="L144" s="2182"/>
      <c r="M144" s="2182"/>
      <c r="N144" s="2182"/>
      <c r="O144" s="2182"/>
      <c r="P144" s="2736"/>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c r="BB144" s="3375" t="s">
        <v>2377</v>
      </c>
      <c r="BC144" s="3376"/>
    </row>
    <row r="145" spans="1:54">
      <c r="A145" s="572"/>
      <c r="B145" s="2217"/>
      <c r="C145" s="2189"/>
      <c r="D145" s="2218"/>
      <c r="E145" s="2132"/>
      <c r="F145" s="2192"/>
      <c r="G145" s="2193" t="str">
        <f t="shared" ref="G145:G154" si="77">IF(C145="","",VLOOKUP(C145,lighting,7,FALSE))</f>
        <v/>
      </c>
      <c r="H145" s="2235" t="str">
        <f t="shared" ref="H145:H154" si="78">IF(C145="","",(G145*D145)/1000)</f>
        <v/>
      </c>
      <c r="I145" s="2219"/>
      <c r="J145" s="2195" t="str">
        <f t="shared" si="73"/>
        <v/>
      </c>
      <c r="K145" s="2236" t="str">
        <f t="shared" si="74"/>
        <v/>
      </c>
      <c r="L145" s="2132"/>
      <c r="M145" s="2198"/>
      <c r="N145" s="672"/>
      <c r="O145" s="672"/>
      <c r="P145" s="2734"/>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c r="BA145" s="2217"/>
      <c r="BB145" s="2189"/>
    </row>
    <row r="146" spans="1:54">
      <c r="A146" s="572"/>
      <c r="B146" s="2217"/>
      <c r="C146" s="2189"/>
      <c r="D146" s="2218"/>
      <c r="E146" s="2132"/>
      <c r="F146" s="2192"/>
      <c r="G146" s="2193" t="str">
        <f t="shared" si="77"/>
        <v/>
      </c>
      <c r="H146" s="2235" t="str">
        <f t="shared" si="78"/>
        <v/>
      </c>
      <c r="I146" s="2219"/>
      <c r="J146" s="2195" t="str">
        <f t="shared" si="73"/>
        <v/>
      </c>
      <c r="K146" s="2236" t="str">
        <f t="shared" si="74"/>
        <v/>
      </c>
      <c r="L146" s="2132"/>
      <c r="M146" s="2198"/>
      <c r="N146" s="672"/>
      <c r="O146" s="672"/>
      <c r="P146" s="2734"/>
      <c r="Q146" s="1571"/>
      <c r="R146" s="1571"/>
      <c r="S146" s="1571"/>
      <c r="T146" s="531"/>
      <c r="U146" s="531"/>
      <c r="V146" s="531"/>
      <c r="W146" s="531"/>
      <c r="X146" s="531"/>
      <c r="Y146" s="531"/>
      <c r="Z146" s="87"/>
      <c r="AA146" s="87"/>
      <c r="AB146" s="87"/>
      <c r="AC146" s="87"/>
      <c r="AD146" s="87"/>
      <c r="AE146" s="87"/>
      <c r="AF146" s="87"/>
      <c r="AG146" s="87"/>
      <c r="AH146" s="87"/>
      <c r="AI146" s="87"/>
      <c r="AJ146" s="87"/>
      <c r="AK146" s="87"/>
      <c r="BA146" s="2217"/>
      <c r="BB146" s="2189"/>
    </row>
    <row r="147" spans="1:54">
      <c r="A147" s="572"/>
      <c r="B147" s="2217"/>
      <c r="C147" s="2189"/>
      <c r="D147" s="2218"/>
      <c r="E147" s="2132"/>
      <c r="F147" s="2192"/>
      <c r="G147" s="2193" t="str">
        <f t="shared" si="77"/>
        <v/>
      </c>
      <c r="H147" s="2235" t="str">
        <f t="shared" si="78"/>
        <v/>
      </c>
      <c r="I147" s="2219"/>
      <c r="J147" s="2195" t="str">
        <f t="shared" si="73"/>
        <v/>
      </c>
      <c r="K147" s="2236" t="str">
        <f t="shared" si="74"/>
        <v/>
      </c>
      <c r="L147" s="2132"/>
      <c r="M147" s="672"/>
      <c r="N147" s="672"/>
      <c r="O147" s="672"/>
      <c r="P147" s="2734"/>
      <c r="Q147" s="1571"/>
      <c r="R147" s="1571"/>
      <c r="S147" s="1571"/>
      <c r="T147" s="531"/>
      <c r="U147" s="531"/>
      <c r="V147" s="531"/>
      <c r="W147" s="531"/>
      <c r="X147" s="531"/>
      <c r="Y147" s="531"/>
      <c r="Z147" s="87"/>
      <c r="AA147" s="87"/>
      <c r="AB147" s="87"/>
      <c r="AC147" s="87"/>
      <c r="AD147" s="87"/>
      <c r="AE147" s="87"/>
      <c r="AF147" s="87"/>
      <c r="AG147" s="87"/>
      <c r="AH147" s="87"/>
      <c r="AI147" s="87"/>
      <c r="AJ147" s="87"/>
      <c r="AK147" s="87"/>
      <c r="BA147" s="2217"/>
      <c r="BB147" s="2189"/>
    </row>
    <row r="148" spans="1:54">
      <c r="A148" s="572"/>
      <c r="B148" s="2217"/>
      <c r="C148" s="2189"/>
      <c r="D148" s="2218"/>
      <c r="E148" s="2132"/>
      <c r="F148" s="2192" t="s">
        <v>157</v>
      </c>
      <c r="G148" s="2193" t="str">
        <f t="shared" si="77"/>
        <v/>
      </c>
      <c r="H148" s="2235" t="str">
        <f t="shared" si="78"/>
        <v/>
      </c>
      <c r="I148" s="2219"/>
      <c r="J148" s="2195" t="str">
        <f t="shared" si="73"/>
        <v/>
      </c>
      <c r="K148" s="2236" t="str">
        <f t="shared" si="74"/>
        <v/>
      </c>
      <c r="L148" s="2132"/>
      <c r="M148" s="672"/>
      <c r="N148" s="672"/>
      <c r="O148" s="672"/>
      <c r="P148" s="2734"/>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c r="BA148" s="2217"/>
      <c r="BB148" s="2189"/>
    </row>
    <row r="149" spans="1:54" ht="14.4" thickBot="1">
      <c r="A149" s="572"/>
      <c r="B149" s="2738"/>
      <c r="C149" s="2739"/>
      <c r="D149" s="2740"/>
      <c r="E149" s="2741"/>
      <c r="F149" s="2742" t="s">
        <v>157</v>
      </c>
      <c r="G149" s="2743" t="str">
        <f t="shared" si="77"/>
        <v/>
      </c>
      <c r="H149" s="2744" t="str">
        <f t="shared" si="78"/>
        <v/>
      </c>
      <c r="I149" s="2745"/>
      <c r="J149" s="2746" t="str">
        <f t="shared" si="73"/>
        <v/>
      </c>
      <c r="K149" s="2747" t="str">
        <f t="shared" si="74"/>
        <v/>
      </c>
      <c r="L149" s="2741"/>
      <c r="M149" s="2135"/>
      <c r="N149" s="2135"/>
      <c r="O149" s="2135"/>
      <c r="P149" s="2748"/>
      <c r="Q149" s="1571"/>
      <c r="R149" s="1571"/>
      <c r="S149" s="1571"/>
      <c r="T149" s="531"/>
      <c r="U149" s="531"/>
      <c r="V149" s="531"/>
      <c r="W149" s="531"/>
      <c r="X149" s="531"/>
      <c r="Y149" s="531"/>
      <c r="Z149" s="87"/>
      <c r="AA149" s="87"/>
      <c r="AB149" s="87"/>
      <c r="AC149" s="87"/>
      <c r="AD149" s="87"/>
      <c r="AE149" s="87"/>
      <c r="AF149" s="87"/>
      <c r="AG149" s="87"/>
      <c r="AH149" s="87"/>
      <c r="AI149" s="87"/>
      <c r="AJ149" s="87"/>
      <c r="AK149" s="87"/>
      <c r="BA149" s="2738"/>
      <c r="BB149" s="2739"/>
    </row>
    <row r="150" spans="1:54" hidden="1">
      <c r="A150" s="572"/>
      <c r="B150" s="672"/>
      <c r="C150" s="2189"/>
      <c r="D150" s="2218"/>
      <c r="E150" s="2082"/>
      <c r="F150" s="2192" t="s">
        <v>157</v>
      </c>
      <c r="G150" s="2220" t="str">
        <f t="shared" si="77"/>
        <v/>
      </c>
      <c r="H150" s="2229" t="str">
        <f t="shared" si="78"/>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54" hidden="1">
      <c r="A151" s="572"/>
      <c r="B151" s="672"/>
      <c r="C151" s="2189"/>
      <c r="D151" s="2218"/>
      <c r="E151" s="2082"/>
      <c r="F151" s="2192" t="s">
        <v>157</v>
      </c>
      <c r="G151" s="2220" t="str">
        <f t="shared" si="77"/>
        <v/>
      </c>
      <c r="H151" s="2229" t="str">
        <f t="shared" si="78"/>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54" hidden="1">
      <c r="A152" s="572"/>
      <c r="B152" s="672"/>
      <c r="C152" s="2189"/>
      <c r="D152" s="2218"/>
      <c r="E152" s="2082"/>
      <c r="F152" s="2192" t="s">
        <v>157</v>
      </c>
      <c r="G152" s="2220" t="str">
        <f t="shared" si="77"/>
        <v/>
      </c>
      <c r="H152" s="2229" t="str">
        <f t="shared" si="78"/>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54" hidden="1">
      <c r="A153" s="572"/>
      <c r="B153" s="672"/>
      <c r="C153" s="2189"/>
      <c r="D153" s="2218"/>
      <c r="E153" s="2082"/>
      <c r="F153" s="2192" t="s">
        <v>157</v>
      </c>
      <c r="G153" s="2220" t="str">
        <f t="shared" si="77"/>
        <v/>
      </c>
      <c r="H153" s="2229" t="str">
        <f t="shared" si="78"/>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54" hidden="1">
      <c r="A154" s="572"/>
      <c r="B154" s="672"/>
      <c r="C154" s="2189"/>
      <c r="D154" s="2218"/>
      <c r="E154" s="2082"/>
      <c r="F154" s="2192" t="s">
        <v>157</v>
      </c>
      <c r="G154" s="2220" t="str">
        <f t="shared" si="77"/>
        <v/>
      </c>
      <c r="H154" s="2229" t="str">
        <f t="shared" si="78"/>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54"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54" hidden="1">
      <c r="A156" s="572"/>
      <c r="B156" s="672"/>
      <c r="C156" s="2189"/>
      <c r="D156" s="2218"/>
      <c r="E156" s="2082"/>
      <c r="F156" s="2192"/>
      <c r="G156" s="2193" t="str">
        <f t="shared" ref="G156:G162" si="79">IF(C156="","",VLOOKUP(C156,lighting,7,FALSE))</f>
        <v/>
      </c>
      <c r="H156" s="2235" t="str">
        <f t="shared" ref="H156:H162" si="80">IF(C156="","",(G156*D156)/1000)</f>
        <v/>
      </c>
      <c r="I156" s="2134"/>
      <c r="J156" s="2195" t="str">
        <f t="shared" ref="J156:J159" si="81">IF(C156="","",VLOOKUP(I156,sched1,3,FALSE))</f>
        <v/>
      </c>
      <c r="K156" s="2236" t="str">
        <f t="shared" ref="K156:K162" si="82">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54">
      <c r="A157" s="572"/>
      <c r="B157" s="672"/>
      <c r="C157" s="2189"/>
      <c r="D157" s="2218"/>
      <c r="E157" s="2082"/>
      <c r="F157" s="2192"/>
      <c r="G157" s="2193" t="str">
        <f t="shared" si="79"/>
        <v/>
      </c>
      <c r="H157" s="2235" t="str">
        <f t="shared" si="80"/>
        <v/>
      </c>
      <c r="I157" s="2134"/>
      <c r="J157" s="2195" t="str">
        <f t="shared" si="81"/>
        <v/>
      </c>
      <c r="K157" s="2866" t="str">
        <f t="shared" si="82"/>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54">
      <c r="A158" s="572"/>
      <c r="B158" s="672"/>
      <c r="C158" s="2189"/>
      <c r="D158" s="2218"/>
      <c r="E158" s="2082"/>
      <c r="F158" s="2192"/>
      <c r="G158" s="2193" t="str">
        <f t="shared" si="79"/>
        <v/>
      </c>
      <c r="H158" s="2235" t="str">
        <f t="shared" si="80"/>
        <v/>
      </c>
      <c r="I158" s="2134"/>
      <c r="J158" s="2195" t="str">
        <f t="shared" si="81"/>
        <v/>
      </c>
      <c r="K158" s="2866" t="str">
        <f t="shared" si="82"/>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54">
      <c r="A159" s="572"/>
      <c r="B159" s="672"/>
      <c r="C159" s="2189"/>
      <c r="D159" s="2218"/>
      <c r="E159" s="2082"/>
      <c r="F159" s="2192" t="s">
        <v>157</v>
      </c>
      <c r="G159" s="2193" t="str">
        <f t="shared" si="79"/>
        <v/>
      </c>
      <c r="H159" s="2235" t="str">
        <f t="shared" si="80"/>
        <v/>
      </c>
      <c r="I159" s="2134"/>
      <c r="J159" s="2195" t="str">
        <f t="shared" si="81"/>
        <v/>
      </c>
      <c r="K159" s="2866" t="str">
        <f t="shared" si="82"/>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54">
      <c r="A160" s="572"/>
      <c r="B160" s="672"/>
      <c r="C160" s="2189"/>
      <c r="D160" s="2218"/>
      <c r="E160" s="2082"/>
      <c r="F160" s="2192" t="s">
        <v>157</v>
      </c>
      <c r="G160" s="2193" t="str">
        <f t="shared" si="79"/>
        <v/>
      </c>
      <c r="H160" s="2235" t="str">
        <f t="shared" si="80"/>
        <v/>
      </c>
      <c r="I160" s="2134"/>
      <c r="J160" s="2195" t="str">
        <f t="shared" ref="J160:J164" si="83">IF(C160="","",VLOOKUP(I160,sched1,3,FALSE))</f>
        <v/>
      </c>
      <c r="K160" s="2866" t="str">
        <f t="shared" si="82"/>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9"/>
        <v/>
      </c>
      <c r="H161" s="2235" t="str">
        <f t="shared" si="80"/>
        <v/>
      </c>
      <c r="I161" s="2134"/>
      <c r="J161" s="2195" t="str">
        <f t="shared" si="83"/>
        <v/>
      </c>
      <c r="K161" s="2866" t="str">
        <f t="shared" si="82"/>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9"/>
        <v/>
      </c>
      <c r="H162" s="2235" t="str">
        <f t="shared" si="80"/>
        <v/>
      </c>
      <c r="I162" s="2134"/>
      <c r="J162" s="2195" t="str">
        <f t="shared" si="83"/>
        <v/>
      </c>
      <c r="K162" s="2866" t="str">
        <f t="shared" si="82"/>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83"/>
        <v/>
      </c>
      <c r="K163" s="2866" t="str">
        <f t="shared" si="74"/>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83"/>
        <v/>
      </c>
      <c r="K164" s="2866" t="str">
        <f t="shared" si="74"/>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4"/>
      <c r="N173" s="3374"/>
      <c r="O173" s="3374"/>
      <c r="P173" s="3374"/>
      <c r="Q173" s="3374"/>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4"/>
      <c r="N174" s="3374"/>
      <c r="O174" s="3374"/>
      <c r="P174" s="3374"/>
      <c r="Q174" s="3374"/>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4"/>
      <c r="N175" s="3374"/>
      <c r="O175" s="3374"/>
      <c r="P175" s="3374"/>
      <c r="Q175" s="3374"/>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6" t="s">
        <v>174</v>
      </c>
      <c r="AC180" s="3387"/>
      <c r="AD180" s="3387"/>
      <c r="AE180" s="3386" t="s">
        <v>175</v>
      </c>
      <c r="AF180" s="3387"/>
      <c r="AG180" s="3387"/>
      <c r="AH180" s="3388"/>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4">W182*X182</f>
        <v>0</v>
      </c>
      <c r="W182" s="162">
        <f>W6</f>
        <v>0</v>
      </c>
      <c r="X182" s="193">
        <f>X6*$U$174</f>
        <v>1.2</v>
      </c>
      <c r="Y182" s="194">
        <f t="shared" ref="Y182:AH182" si="85">Y6</f>
        <v>52</v>
      </c>
      <c r="Z182" s="194">
        <f t="shared" si="85"/>
        <v>48</v>
      </c>
      <c r="AA182" s="194">
        <f t="shared" si="85"/>
        <v>0</v>
      </c>
      <c r="AB182" s="195" t="e">
        <f t="shared" si="85"/>
        <v>#DIV/0!</v>
      </c>
      <c r="AC182" s="195" t="e">
        <f t="shared" si="85"/>
        <v>#DIV/0!</v>
      </c>
      <c r="AD182" s="163">
        <f t="shared" si="85"/>
        <v>0</v>
      </c>
      <c r="AE182" s="195" t="e">
        <f t="shared" si="85"/>
        <v>#DIV/0!</v>
      </c>
      <c r="AF182" s="195" t="e">
        <f t="shared" si="85"/>
        <v>#DIV/0!</v>
      </c>
      <c r="AG182" s="196">
        <f t="shared" si="85"/>
        <v>0</v>
      </c>
      <c r="AH182" s="164">
        <f t="shared" si="85"/>
        <v>0</v>
      </c>
      <c r="AI182" s="87"/>
      <c r="AJ182" s="87"/>
      <c r="AK182" s="87"/>
    </row>
    <row r="183" spans="2:37" hidden="1">
      <c r="B183" s="101"/>
      <c r="L183" s="108"/>
      <c r="T183" s="165" t="s">
        <v>179</v>
      </c>
      <c r="U183" s="90" t="s">
        <v>471</v>
      </c>
      <c r="V183" s="166">
        <f t="shared" si="84"/>
        <v>4939.2</v>
      </c>
      <c r="W183" s="167">
        <f t="shared" ref="W183:W190" si="86">W7</f>
        <v>4116</v>
      </c>
      <c r="X183" s="197">
        <f t="shared" ref="X183:X190" si="87">X7*$U$174</f>
        <v>1.2</v>
      </c>
      <c r="Y183" s="198">
        <f t="shared" ref="Y183:AH183" si="88">Y7</f>
        <v>52</v>
      </c>
      <c r="Z183" s="198">
        <f t="shared" si="88"/>
        <v>48</v>
      </c>
      <c r="AA183" s="198">
        <f t="shared" si="88"/>
        <v>5</v>
      </c>
      <c r="AB183" s="199">
        <f t="shared" si="88"/>
        <v>0.41666666666666669</v>
      </c>
      <c r="AC183" s="199">
        <f t="shared" si="88"/>
        <v>0.91666666666666663</v>
      </c>
      <c r="AD183" s="170">
        <f t="shared" si="88"/>
        <v>11.999999999999998</v>
      </c>
      <c r="AE183" s="199">
        <f t="shared" si="88"/>
        <v>0.41666666666666669</v>
      </c>
      <c r="AF183" s="199">
        <f t="shared" si="88"/>
        <v>0.875</v>
      </c>
      <c r="AG183" s="200">
        <f t="shared" si="88"/>
        <v>2</v>
      </c>
      <c r="AH183" s="171">
        <f t="shared" si="88"/>
        <v>11</v>
      </c>
      <c r="AI183" s="87"/>
      <c r="AJ183" s="87"/>
      <c r="AK183" s="87"/>
    </row>
    <row r="184" spans="2:37" hidden="1">
      <c r="T184" s="165" t="s">
        <v>180</v>
      </c>
      <c r="U184" s="90" t="s">
        <v>388</v>
      </c>
      <c r="V184" s="166">
        <f t="shared" si="84"/>
        <v>1965.6000000000001</v>
      </c>
      <c r="W184" s="167">
        <f t="shared" si="86"/>
        <v>3024</v>
      </c>
      <c r="X184" s="197">
        <f t="shared" si="87"/>
        <v>0.65</v>
      </c>
      <c r="Y184" s="198">
        <f t="shared" ref="Y184:AH184" si="89">Y8</f>
        <v>52</v>
      </c>
      <c r="Z184" s="198">
        <f t="shared" si="89"/>
        <v>6</v>
      </c>
      <c r="AA184" s="198">
        <f t="shared" si="89"/>
        <v>10</v>
      </c>
      <c r="AB184" s="199">
        <f t="shared" si="89"/>
        <v>0.25</v>
      </c>
      <c r="AC184" s="199">
        <f t="shared" si="89"/>
        <v>0.75</v>
      </c>
      <c r="AD184" s="170">
        <f t="shared" si="89"/>
        <v>12</v>
      </c>
      <c r="AE184" s="199">
        <f t="shared" si="89"/>
        <v>0.33333333333333331</v>
      </c>
      <c r="AF184" s="199">
        <f t="shared" si="89"/>
        <v>0.5</v>
      </c>
      <c r="AG184" s="200">
        <f t="shared" si="89"/>
        <v>1</v>
      </c>
      <c r="AH184" s="171">
        <f t="shared" si="89"/>
        <v>4</v>
      </c>
      <c r="AI184" s="87"/>
      <c r="AJ184" s="87"/>
      <c r="AK184" s="87"/>
    </row>
    <row r="185" spans="2:37" hidden="1">
      <c r="T185" s="165" t="s">
        <v>163</v>
      </c>
      <c r="U185" s="105" t="s">
        <v>194</v>
      </c>
      <c r="V185" s="166">
        <f t="shared" si="84"/>
        <v>2872.8</v>
      </c>
      <c r="W185" s="167">
        <f t="shared" si="86"/>
        <v>3192</v>
      </c>
      <c r="X185" s="197">
        <f t="shared" si="87"/>
        <v>0.9</v>
      </c>
      <c r="Y185" s="198">
        <f t="shared" ref="Y185:AH185" si="90">Y9</f>
        <v>52</v>
      </c>
      <c r="Z185" s="198">
        <f t="shared" si="90"/>
        <v>48</v>
      </c>
      <c r="AA185" s="198">
        <f t="shared" si="90"/>
        <v>10</v>
      </c>
      <c r="AB185" s="199">
        <f t="shared" si="90"/>
        <v>0.25</v>
      </c>
      <c r="AC185" s="199">
        <f t="shared" si="90"/>
        <v>0.75</v>
      </c>
      <c r="AD185" s="170">
        <f t="shared" si="90"/>
        <v>12</v>
      </c>
      <c r="AE185" s="199">
        <f t="shared" si="90"/>
        <v>0.33333333333333331</v>
      </c>
      <c r="AF185" s="199">
        <f t="shared" si="90"/>
        <v>0.5</v>
      </c>
      <c r="AG185" s="200">
        <f t="shared" si="90"/>
        <v>1</v>
      </c>
      <c r="AH185" s="171">
        <f t="shared" si="90"/>
        <v>4</v>
      </c>
      <c r="AI185" s="87"/>
      <c r="AJ185" s="87"/>
      <c r="AK185" s="87"/>
    </row>
    <row r="186" spans="2:37" hidden="1">
      <c r="T186" s="165" t="s">
        <v>181</v>
      </c>
      <c r="U186" s="90" t="s">
        <v>195</v>
      </c>
      <c r="V186" s="166">
        <f t="shared" si="84"/>
        <v>2713.2</v>
      </c>
      <c r="W186" s="167">
        <f t="shared" si="86"/>
        <v>3192</v>
      </c>
      <c r="X186" s="197">
        <f t="shared" si="87"/>
        <v>0.85</v>
      </c>
      <c r="Y186" s="198">
        <f t="shared" ref="Y186:AH186" si="91">Y10</f>
        <v>52</v>
      </c>
      <c r="Z186" s="198">
        <f t="shared" si="91"/>
        <v>48</v>
      </c>
      <c r="AA186" s="198">
        <f t="shared" si="91"/>
        <v>10</v>
      </c>
      <c r="AB186" s="199">
        <f t="shared" si="91"/>
        <v>0.25</v>
      </c>
      <c r="AC186" s="199">
        <f t="shared" si="91"/>
        <v>0.75</v>
      </c>
      <c r="AD186" s="170">
        <f t="shared" si="91"/>
        <v>12</v>
      </c>
      <c r="AE186" s="199">
        <f t="shared" si="91"/>
        <v>0.33333333333333331</v>
      </c>
      <c r="AF186" s="199">
        <f t="shared" si="91"/>
        <v>0.5</v>
      </c>
      <c r="AG186" s="200">
        <f t="shared" si="91"/>
        <v>1</v>
      </c>
      <c r="AH186" s="171">
        <f t="shared" si="91"/>
        <v>4</v>
      </c>
      <c r="AI186" s="87"/>
      <c r="AJ186" s="87"/>
      <c r="AK186" s="87"/>
    </row>
    <row r="187" spans="2:37" hidden="1">
      <c r="T187" s="165" t="s">
        <v>182</v>
      </c>
      <c r="U187" s="105" t="s">
        <v>178</v>
      </c>
      <c r="V187" s="166">
        <f t="shared" si="84"/>
        <v>8760</v>
      </c>
      <c r="W187" s="167">
        <f t="shared" si="86"/>
        <v>8760</v>
      </c>
      <c r="X187" s="197">
        <f t="shared" si="87"/>
        <v>1</v>
      </c>
      <c r="Y187" s="198">
        <f t="shared" ref="Y187:AH187" si="92">Y11</f>
        <v>52</v>
      </c>
      <c r="Z187" s="198">
        <f t="shared" si="92"/>
        <v>52.5</v>
      </c>
      <c r="AA187" s="198">
        <f t="shared" si="92"/>
        <v>0</v>
      </c>
      <c r="AB187" s="199">
        <f t="shared" si="92"/>
        <v>0</v>
      </c>
      <c r="AC187" s="199">
        <f t="shared" si="92"/>
        <v>0</v>
      </c>
      <c r="AD187" s="170">
        <f t="shared" si="92"/>
        <v>24</v>
      </c>
      <c r="AE187" s="199">
        <f t="shared" si="92"/>
        <v>0</v>
      </c>
      <c r="AF187" s="199">
        <f t="shared" si="92"/>
        <v>0</v>
      </c>
      <c r="AG187" s="200">
        <f t="shared" si="92"/>
        <v>2</v>
      </c>
      <c r="AH187" s="171">
        <f t="shared" si="92"/>
        <v>24</v>
      </c>
      <c r="AI187" s="87"/>
      <c r="AJ187" s="87"/>
      <c r="AK187" s="87"/>
    </row>
    <row r="188" spans="2:37" hidden="1">
      <c r="T188" s="165" t="s">
        <v>183</v>
      </c>
      <c r="U188" s="90" t="s">
        <v>196</v>
      </c>
      <c r="V188" s="166">
        <f t="shared" si="84"/>
        <v>4149.6000000000004</v>
      </c>
      <c r="W188" s="167">
        <f t="shared" si="86"/>
        <v>3192</v>
      </c>
      <c r="X188" s="197">
        <f t="shared" si="87"/>
        <v>1.3</v>
      </c>
      <c r="Y188" s="198">
        <f t="shared" ref="Y188:AH188" si="93">Y12</f>
        <v>52</v>
      </c>
      <c r="Z188" s="198">
        <f t="shared" si="93"/>
        <v>48</v>
      </c>
      <c r="AA188" s="198">
        <f t="shared" si="93"/>
        <v>10</v>
      </c>
      <c r="AB188" s="199">
        <f t="shared" si="93"/>
        <v>0.25</v>
      </c>
      <c r="AC188" s="199">
        <f t="shared" si="93"/>
        <v>0.75</v>
      </c>
      <c r="AD188" s="170">
        <f t="shared" si="93"/>
        <v>12</v>
      </c>
      <c r="AE188" s="199">
        <f t="shared" si="93"/>
        <v>0.33333333333333331</v>
      </c>
      <c r="AF188" s="199">
        <f t="shared" si="93"/>
        <v>0.5</v>
      </c>
      <c r="AG188" s="200">
        <f t="shared" si="93"/>
        <v>1</v>
      </c>
      <c r="AH188" s="171">
        <f t="shared" si="93"/>
        <v>4</v>
      </c>
      <c r="AI188" s="87"/>
      <c r="AJ188" s="87"/>
      <c r="AK188" s="87"/>
    </row>
    <row r="189" spans="2:37" hidden="1">
      <c r="T189" s="165" t="s">
        <v>184</v>
      </c>
      <c r="U189" s="90" t="s">
        <v>197</v>
      </c>
      <c r="V189" s="166">
        <f t="shared" si="84"/>
        <v>1596</v>
      </c>
      <c r="W189" s="167">
        <f t="shared" si="86"/>
        <v>3192</v>
      </c>
      <c r="X189" s="197">
        <f t="shared" si="87"/>
        <v>0.5</v>
      </c>
      <c r="Y189" s="198">
        <f t="shared" ref="Y189:AH189" si="94">Y13</f>
        <v>52</v>
      </c>
      <c r="Z189" s="198">
        <f t="shared" si="94"/>
        <v>48</v>
      </c>
      <c r="AA189" s="198">
        <f t="shared" si="94"/>
        <v>10</v>
      </c>
      <c r="AB189" s="199">
        <f t="shared" si="94"/>
        <v>0.25</v>
      </c>
      <c r="AC189" s="199">
        <f t="shared" si="94"/>
        <v>0.75</v>
      </c>
      <c r="AD189" s="170">
        <f t="shared" si="94"/>
        <v>12</v>
      </c>
      <c r="AE189" s="199">
        <f t="shared" si="94"/>
        <v>0.33333333333333331</v>
      </c>
      <c r="AF189" s="199">
        <f t="shared" si="94"/>
        <v>0.5</v>
      </c>
      <c r="AG189" s="200">
        <f t="shared" si="94"/>
        <v>1</v>
      </c>
      <c r="AH189" s="171">
        <f t="shared" si="94"/>
        <v>4</v>
      </c>
      <c r="AI189" s="87"/>
      <c r="AJ189" s="87"/>
      <c r="AK189" s="87"/>
    </row>
    <row r="190" spans="2:37" hidden="1">
      <c r="T190" s="172" t="s">
        <v>185</v>
      </c>
      <c r="U190" s="93" t="s">
        <v>110</v>
      </c>
      <c r="V190" s="173">
        <f t="shared" si="84"/>
        <v>3997.9333333333338</v>
      </c>
      <c r="W190" s="174">
        <f t="shared" si="86"/>
        <v>3997.9333333333338</v>
      </c>
      <c r="X190" s="201">
        <f t="shared" si="87"/>
        <v>1</v>
      </c>
      <c r="Y190" s="202">
        <f t="shared" ref="Y190:AH190" si="95">Y14</f>
        <v>52</v>
      </c>
      <c r="Z190" s="202">
        <f t="shared" si="95"/>
        <v>52</v>
      </c>
      <c r="AA190" s="202">
        <f t="shared" si="95"/>
        <v>0</v>
      </c>
      <c r="AB190" s="203">
        <f t="shared" si="95"/>
        <v>0.83333333333333337</v>
      </c>
      <c r="AC190" s="203">
        <f t="shared" si="95"/>
        <v>0.29166666666666669</v>
      </c>
      <c r="AD190" s="175">
        <f t="shared" si="95"/>
        <v>10.983333333333334</v>
      </c>
      <c r="AE190" s="203">
        <f t="shared" si="95"/>
        <v>0.83333333333333337</v>
      </c>
      <c r="AF190" s="203">
        <f t="shared" si="95"/>
        <v>0.29166666666666669</v>
      </c>
      <c r="AG190" s="204">
        <f t="shared" si="95"/>
        <v>2</v>
      </c>
      <c r="AH190" s="176">
        <f t="shared" si="95"/>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20">
    <mergeCell ref="BB133:BC133"/>
    <mergeCell ref="BB144:BC144"/>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01">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kwh'!B10:B37</xm:f>
          </x14:formula1>
          <xm:sqref>C83</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kwh'!B1062:B1105</xm:f>
          </x14:formula1>
          <xm:sqref>C121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B6" sqref="B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6"/>
      <c r="C2" s="2566"/>
      <c r="D2" s="2566"/>
      <c r="E2" s="2566"/>
      <c r="F2" s="500" t="str">
        <f>company</f>
        <v/>
      </c>
      <c r="G2" s="572"/>
      <c r="H2" s="572"/>
      <c r="I2" s="572"/>
      <c r="J2" s="572"/>
      <c r="K2" s="572"/>
      <c r="L2" s="572"/>
      <c r="M2" s="572"/>
      <c r="N2" s="572"/>
      <c r="O2" s="572"/>
      <c r="P2" s="572"/>
      <c r="R2" s="572"/>
      <c r="S2" s="2567"/>
      <c r="T2" s="2567"/>
      <c r="U2" s="2567"/>
      <c r="V2" s="572"/>
      <c r="W2" s="572"/>
      <c r="X2" s="572"/>
      <c r="Y2" s="572"/>
      <c r="Z2" s="572"/>
      <c r="AA2" s="572"/>
      <c r="AB2" s="572"/>
      <c r="AC2" s="2568"/>
      <c r="AD2" s="572"/>
      <c r="AE2" s="572"/>
      <c r="AF2" s="572"/>
      <c r="AG2" s="572"/>
      <c r="AH2" s="572"/>
      <c r="AI2" s="2568"/>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6"/>
      <c r="C3" s="2566"/>
      <c r="D3" s="2566"/>
      <c r="E3" s="2566"/>
      <c r="F3" s="572" t="str">
        <f>'R1 Sum'!D8</f>
        <v/>
      </c>
      <c r="G3" s="572"/>
      <c r="H3" s="572"/>
      <c r="I3" s="572"/>
      <c r="J3" s="572"/>
      <c r="K3" s="572"/>
      <c r="L3" s="572"/>
      <c r="M3" s="572"/>
      <c r="N3" s="572"/>
      <c r="O3" s="572"/>
      <c r="P3" s="572"/>
      <c r="R3" s="572"/>
      <c r="S3" s="2567"/>
      <c r="T3" s="2567"/>
      <c r="U3" s="2567"/>
      <c r="V3" s="572"/>
      <c r="W3" s="572"/>
      <c r="X3" s="572"/>
      <c r="Y3" s="572"/>
      <c r="Z3" s="572"/>
      <c r="AA3" s="572"/>
      <c r="AB3" s="572"/>
      <c r="AC3" s="2568"/>
      <c r="AD3" s="572"/>
      <c r="AE3" s="572"/>
      <c r="AF3" s="572"/>
      <c r="AG3" s="572"/>
      <c r="AH3" s="572"/>
      <c r="AI3" s="2568"/>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67"/>
      <c r="T4" s="2567"/>
      <c r="U4" s="2567"/>
      <c r="V4" s="572"/>
      <c r="W4" s="572"/>
      <c r="X4" s="572"/>
      <c r="Y4" s="572"/>
      <c r="Z4" s="572"/>
      <c r="AA4" s="572"/>
      <c r="AB4" s="572"/>
      <c r="AC4" s="2568"/>
      <c r="AD4" s="572"/>
      <c r="AE4" s="2569" t="s">
        <v>338</v>
      </c>
      <c r="AF4" s="2569"/>
      <c r="AG4" s="572"/>
      <c r="AH4" s="572"/>
      <c r="AI4" s="2568"/>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1" t="s">
        <v>3546</v>
      </c>
      <c r="G5" s="3391"/>
      <c r="H5" s="3391"/>
      <c r="I5" s="3391"/>
      <c r="J5" s="3391"/>
      <c r="K5" s="3391"/>
      <c r="L5" s="3391"/>
      <c r="M5" s="3391"/>
      <c r="N5" s="3391"/>
      <c r="O5" s="3391"/>
      <c r="P5" s="3391"/>
      <c r="R5" s="572"/>
      <c r="S5" s="2567"/>
      <c r="T5" s="2567"/>
      <c r="U5" s="2567"/>
      <c r="V5" s="572"/>
      <c r="W5" s="572"/>
      <c r="X5" s="572"/>
      <c r="Y5" s="572"/>
      <c r="Z5" s="572"/>
      <c r="AA5" s="572"/>
      <c r="AB5" s="572"/>
      <c r="AC5" s="2568"/>
      <c r="AD5" s="572"/>
      <c r="AE5" s="2569"/>
      <c r="AF5" s="2569"/>
      <c r="AG5" s="572"/>
      <c r="AH5" s="572"/>
      <c r="AI5" s="2568"/>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0" t="s">
        <v>165</v>
      </c>
      <c r="C6" s="2615" t="s">
        <v>3771</v>
      </c>
      <c r="D6" s="2570" t="s">
        <v>3519</v>
      </c>
      <c r="E6" s="2570" t="s">
        <v>3520</v>
      </c>
      <c r="F6" s="2614" t="s">
        <v>3778</v>
      </c>
      <c r="G6" s="2571" t="s">
        <v>3217</v>
      </c>
      <c r="H6" s="2571" t="s">
        <v>3212</v>
      </c>
      <c r="I6" s="2571" t="s">
        <v>3218</v>
      </c>
      <c r="J6" s="2571" t="s">
        <v>3213</v>
      </c>
      <c r="K6" s="2571" t="s">
        <v>3221</v>
      </c>
      <c r="L6" s="2571" t="s">
        <v>3214</v>
      </c>
      <c r="M6" s="2571" t="s">
        <v>3219</v>
      </c>
      <c r="N6" s="2571" t="s">
        <v>3215</v>
      </c>
      <c r="O6" s="2571" t="s">
        <v>3220</v>
      </c>
      <c r="P6" s="2613" t="s">
        <v>3211</v>
      </c>
      <c r="Q6" s="2572" t="s">
        <v>3444</v>
      </c>
      <c r="R6" s="2571" t="s">
        <v>242</v>
      </c>
      <c r="S6" s="2573" t="s">
        <v>274</v>
      </c>
      <c r="T6" s="2573" t="s">
        <v>275</v>
      </c>
      <c r="U6" s="2573" t="s">
        <v>276</v>
      </c>
      <c r="V6" s="2571" t="s">
        <v>272</v>
      </c>
      <c r="W6" s="2571" t="s">
        <v>273</v>
      </c>
      <c r="X6" s="2571" t="s">
        <v>203</v>
      </c>
      <c r="Y6" s="2571" t="s">
        <v>304</v>
      </c>
      <c r="Z6" s="2571"/>
      <c r="AA6" s="2571" t="s">
        <v>241</v>
      </c>
      <c r="AB6" s="2571" t="s">
        <v>244</v>
      </c>
      <c r="AC6" s="2574" t="s">
        <v>243</v>
      </c>
      <c r="AD6" s="500"/>
      <c r="AE6" s="2571" t="s">
        <v>339</v>
      </c>
      <c r="AF6" s="2571" t="s">
        <v>2174</v>
      </c>
      <c r="AG6" s="2571"/>
      <c r="AH6" s="2571" t="s">
        <v>340</v>
      </c>
      <c r="AI6" s="2574" t="s">
        <v>2165</v>
      </c>
      <c r="AJ6" s="2571" t="s">
        <v>341</v>
      </c>
      <c r="AK6" s="2571" t="s">
        <v>342</v>
      </c>
      <c r="AL6" s="2575"/>
      <c r="AM6" s="636"/>
      <c r="AN6" s="637"/>
      <c r="AO6" s="638" t="s">
        <v>2302</v>
      </c>
      <c r="AP6" s="638" t="s">
        <v>65</v>
      </c>
      <c r="AQ6" s="638" t="s">
        <v>2041</v>
      </c>
      <c r="AR6" s="639" t="s">
        <v>165</v>
      </c>
      <c r="AS6" s="2961"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2" t="s">
        <v>3516</v>
      </c>
      <c r="Q7" s="3392"/>
      <c r="R7" s="2576"/>
      <c r="S7" s="2577"/>
      <c r="T7" s="2577"/>
      <c r="U7" s="2577"/>
      <c r="V7" s="2576"/>
      <c r="W7" s="2576"/>
      <c r="X7" s="2576"/>
      <c r="Y7" s="2576"/>
      <c r="Z7" s="517"/>
      <c r="AA7" s="2576"/>
      <c r="AB7" s="2576"/>
      <c r="AC7" s="2578"/>
      <c r="AD7" s="2576"/>
      <c r="AE7" s="2576"/>
      <c r="AF7" s="2576"/>
      <c r="AG7" s="2576"/>
      <c r="AH7" s="2576"/>
      <c r="AI7" s="2578"/>
      <c r="AJ7" s="2576"/>
      <c r="AK7" s="2576"/>
      <c r="AL7" s="1543"/>
      <c r="AM7" s="636"/>
      <c r="AN7" s="3393" t="str">
        <f>'W Light Exist'!B9</f>
        <v>Incandescent lighting</v>
      </c>
      <c r="AO7" s="3394"/>
      <c r="AP7" s="3394"/>
      <c r="AQ7" s="3394"/>
      <c r="AR7" s="3395"/>
      <c r="AS7" s="2962"/>
      <c r="AT7" s="636"/>
      <c r="AU7" s="636"/>
      <c r="AV7" s="636"/>
      <c r="AW7" s="636"/>
      <c r="AX7" s="636"/>
      <c r="AY7" s="636"/>
      <c r="AZ7" s="636"/>
      <c r="BA7" s="636"/>
      <c r="BB7" s="636"/>
      <c r="BC7" s="636"/>
    </row>
    <row r="8" spans="1:55" ht="13.8">
      <c r="A8" s="500">
        <v>1</v>
      </c>
      <c r="B8" s="2723" t="str">
        <f>AR8</f>
        <v/>
      </c>
      <c r="C8" s="2198" t="str">
        <f>IF(F8="","",IF('[1]Indoor Lighting'!$R$2="Yes","Yes","No"))</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67" t="str">
        <f>'W Light Exist'!H10</f>
        <v/>
      </c>
      <c r="T8" s="2579" t="str">
        <f t="shared" ref="T8:T16" si="2">IF(Q8="",S8,R8*(VLOOKUP(Q8,lighting,7,FALSE)/1000))</f>
        <v/>
      </c>
      <c r="U8" s="2580" t="str">
        <f>'W Light Exist'!J10</f>
        <v/>
      </c>
      <c r="V8" s="2086" t="str">
        <f>'W Light Exist'!K10</f>
        <v/>
      </c>
      <c r="W8" s="2086" t="str">
        <f t="shared" ref="W8:W34" si="3">IF(T8="","",U8*T8)</f>
        <v/>
      </c>
      <c r="X8" s="2086" t="str">
        <f t="shared" ref="X8:X34" si="4">IF(V8="","",V8-W8)</f>
        <v/>
      </c>
      <c r="Y8" s="2581" t="str">
        <f t="shared" ref="Y8:Y34" si="5">IF(S8="","",S8-T8)</f>
        <v/>
      </c>
      <c r="Z8" s="4"/>
      <c r="AA8" s="2582" t="str">
        <f>IF(P8="","",(X8*'R3 Hist'!$R$27)+(Y8*'R3 Hist'!$Q$27*12*$W$192))</f>
        <v/>
      </c>
      <c r="AB8" s="2556" t="str">
        <f t="shared" ref="AB8:AB61" si="6">IF(AA8="","",IF(AA8=0,"",AC8/AA8))</f>
        <v/>
      </c>
      <c r="AC8" s="2568" t="str">
        <f t="shared" ref="AC8:AC34" si="7">IF(P8="","",R8*VLOOKUP(P8,rettable,4,FALSE))</f>
        <v/>
      </c>
      <c r="AD8" s="572"/>
      <c r="AE8" s="572" t="str">
        <f t="shared" ref="AE8:AE34" si="8">R8</f>
        <v/>
      </c>
      <c r="AF8" s="572" t="str">
        <f t="shared" ref="AF8:AF16" si="9">IF(Q8="","",VLOOKUP(Q8,lighting,4,FALSE))</f>
        <v/>
      </c>
      <c r="AG8" s="572"/>
      <c r="AH8" s="572">
        <f t="shared" ref="AH8:AH16" si="10">IF(AF8="",0,AF8*AE8)</f>
        <v>0</v>
      </c>
      <c r="AI8" s="2568">
        <f t="shared" ref="AI8:AI16" si="11">IF(P8="",0,VLOOKUP(P8,rettable,5,FALSE))</f>
        <v>0</v>
      </c>
      <c r="AJ8" s="2568"/>
      <c r="AK8" s="2284">
        <f>IFERROR(AE8*AI8, 0)</f>
        <v>0</v>
      </c>
      <c r="AL8" s="2583"/>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3" t="str">
        <f t="shared" ref="B9:B123" si="14">AR9</f>
        <v/>
      </c>
      <c r="C9" s="2198" t="str">
        <f>IF(F9="","",IF('[1]Indoor Lighting'!$R$3="Yes","Yes","No"))</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67" t="str">
        <f>'W Light Exist'!H11</f>
        <v/>
      </c>
      <c r="T9" s="2579" t="str">
        <f t="shared" si="2"/>
        <v/>
      </c>
      <c r="U9" s="2580" t="str">
        <f>'W Light Exist'!J11</f>
        <v/>
      </c>
      <c r="V9" s="2086" t="str">
        <f>'W Light Exist'!K11</f>
        <v/>
      </c>
      <c r="W9" s="2086" t="str">
        <f t="shared" si="3"/>
        <v/>
      </c>
      <c r="X9" s="2086" t="str">
        <f t="shared" si="4"/>
        <v/>
      </c>
      <c r="Y9" s="2581" t="str">
        <f t="shared" si="5"/>
        <v/>
      </c>
      <c r="Z9" s="4"/>
      <c r="AA9" s="2582" t="str">
        <f>IF(P9="","",(X9*'R3 Hist'!$R$27)+(Y9*'R3 Hist'!$Q$27*12*$W$192))</f>
        <v/>
      </c>
      <c r="AB9" s="2556" t="str">
        <f t="shared" si="6"/>
        <v/>
      </c>
      <c r="AC9" s="2568" t="str">
        <f t="shared" si="7"/>
        <v/>
      </c>
      <c r="AD9" s="572"/>
      <c r="AE9" s="572" t="str">
        <f t="shared" si="8"/>
        <v/>
      </c>
      <c r="AF9" s="572" t="str">
        <f t="shared" si="9"/>
        <v/>
      </c>
      <c r="AG9" s="572"/>
      <c r="AH9" s="572">
        <f t="shared" si="10"/>
        <v>0</v>
      </c>
      <c r="AI9" s="2568">
        <f t="shared" si="11"/>
        <v>0</v>
      </c>
      <c r="AJ9" s="2568"/>
      <c r="AK9" s="2284">
        <f t="shared" ref="AK9:AK75" si="24">IFERROR(AE9*AI9, 0)</f>
        <v>0</v>
      </c>
      <c r="AL9" s="2583"/>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3" t="str">
        <f t="shared" si="14"/>
        <v/>
      </c>
      <c r="C10" s="2198" t="str">
        <f>IF(F10="","",IF('[1]Indoor Lighting'!$R$4="Yes","Yes","No"))</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67" t="str">
        <f>'W Light Exist'!H12</f>
        <v/>
      </c>
      <c r="T10" s="2579" t="str">
        <f t="shared" si="2"/>
        <v/>
      </c>
      <c r="U10" s="2580" t="str">
        <f>'W Light Exist'!J12</f>
        <v/>
      </c>
      <c r="V10" s="2086" t="str">
        <f>'W Light Exist'!K12</f>
        <v/>
      </c>
      <c r="W10" s="2086" t="str">
        <f t="shared" si="3"/>
        <v/>
      </c>
      <c r="X10" s="2086" t="str">
        <f t="shared" si="4"/>
        <v/>
      </c>
      <c r="Y10" s="2581" t="str">
        <f t="shared" si="5"/>
        <v/>
      </c>
      <c r="Z10" s="4"/>
      <c r="AA10" s="2582" t="str">
        <f>IF(P10="","",(X10*'R3 Hist'!$R$27)+(Y10*'R3 Hist'!$Q$27*12*$W$192))</f>
        <v/>
      </c>
      <c r="AB10" s="2556" t="str">
        <f t="shared" si="6"/>
        <v/>
      </c>
      <c r="AC10" s="2568" t="str">
        <f t="shared" si="7"/>
        <v/>
      </c>
      <c r="AD10" s="572"/>
      <c r="AE10" s="572" t="str">
        <f t="shared" si="8"/>
        <v/>
      </c>
      <c r="AF10" s="572" t="str">
        <f t="shared" si="9"/>
        <v/>
      </c>
      <c r="AG10" s="572"/>
      <c r="AH10" s="572">
        <f t="shared" si="10"/>
        <v>0</v>
      </c>
      <c r="AI10" s="2568">
        <f t="shared" si="11"/>
        <v>0</v>
      </c>
      <c r="AJ10" s="2568"/>
      <c r="AK10" s="2284">
        <f t="shared" si="24"/>
        <v>0</v>
      </c>
      <c r="AL10" s="2583"/>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3" t="str">
        <f t="shared" si="14"/>
        <v/>
      </c>
      <c r="C11" s="2198" t="str">
        <f>IF(F11="","",IF('[1]Indoor Lighting'!$R$5="Yes","Yes","No"))</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67" t="str">
        <f>'W Light Exist'!H13</f>
        <v/>
      </c>
      <c r="T11" s="2579" t="str">
        <f t="shared" si="2"/>
        <v/>
      </c>
      <c r="U11" s="2580" t="str">
        <f>'W Light Exist'!J13</f>
        <v/>
      </c>
      <c r="V11" s="2086" t="str">
        <f>'W Light Exist'!K13</f>
        <v/>
      </c>
      <c r="W11" s="2086" t="str">
        <f t="shared" si="3"/>
        <v/>
      </c>
      <c r="X11" s="2086" t="str">
        <f t="shared" si="4"/>
        <v/>
      </c>
      <c r="Y11" s="2581" t="str">
        <f t="shared" si="5"/>
        <v/>
      </c>
      <c r="Z11" s="4"/>
      <c r="AA11" s="2582" t="str">
        <f>IF(P11="","",(X11*'R3 Hist'!$R$27)+(Y11*'R3 Hist'!$Q$27*12*$W$192))</f>
        <v/>
      </c>
      <c r="AB11" s="2556" t="str">
        <f t="shared" si="6"/>
        <v/>
      </c>
      <c r="AC11" s="2568" t="str">
        <f t="shared" si="7"/>
        <v/>
      </c>
      <c r="AD11" s="572"/>
      <c r="AE11" s="572" t="str">
        <f t="shared" si="8"/>
        <v/>
      </c>
      <c r="AF11" s="572" t="str">
        <f t="shared" si="9"/>
        <v/>
      </c>
      <c r="AG11" s="572"/>
      <c r="AH11" s="572">
        <f t="shared" si="10"/>
        <v>0</v>
      </c>
      <c r="AI11" s="2568">
        <f t="shared" si="11"/>
        <v>0</v>
      </c>
      <c r="AJ11" s="2568"/>
      <c r="AK11" s="2284">
        <f t="shared" si="24"/>
        <v>0</v>
      </c>
      <c r="AL11" s="2583"/>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3" t="str">
        <f t="shared" si="14"/>
        <v/>
      </c>
      <c r="C12" s="2198" t="str">
        <f>IF(F12="","",IF('[1]Indoor Lighting'!$R$6="Yes","Yes","No"))</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67" t="str">
        <f>'W Light Exist'!H14</f>
        <v/>
      </c>
      <c r="T12" s="2579" t="str">
        <f t="shared" si="2"/>
        <v/>
      </c>
      <c r="U12" s="2580" t="str">
        <f>'W Light Exist'!J14</f>
        <v/>
      </c>
      <c r="V12" s="2086" t="str">
        <f>'W Light Exist'!K14</f>
        <v/>
      </c>
      <c r="W12" s="2086" t="str">
        <f t="shared" si="3"/>
        <v/>
      </c>
      <c r="X12" s="2086" t="str">
        <f t="shared" si="4"/>
        <v/>
      </c>
      <c r="Y12" s="2581" t="str">
        <f t="shared" si="5"/>
        <v/>
      </c>
      <c r="Z12" s="4"/>
      <c r="AA12" s="2582" t="str">
        <f>IF(P12="","",(X12*'R3 Hist'!$R$27)+(Y12*'R3 Hist'!$Q$27*12*$W$192))</f>
        <v/>
      </c>
      <c r="AB12" s="2556" t="str">
        <f t="shared" si="6"/>
        <v/>
      </c>
      <c r="AC12" s="2568" t="str">
        <f t="shared" si="7"/>
        <v/>
      </c>
      <c r="AD12" s="572"/>
      <c r="AE12" s="572" t="str">
        <f t="shared" si="8"/>
        <v/>
      </c>
      <c r="AF12" s="572" t="str">
        <f t="shared" si="9"/>
        <v/>
      </c>
      <c r="AG12" s="572"/>
      <c r="AH12" s="572">
        <f t="shared" si="10"/>
        <v>0</v>
      </c>
      <c r="AI12" s="2568">
        <f t="shared" si="11"/>
        <v>0</v>
      </c>
      <c r="AJ12" s="2568"/>
      <c r="AK12" s="2284">
        <f t="shared" si="24"/>
        <v>0</v>
      </c>
      <c r="AL12" s="2583"/>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3" t="str">
        <f t="shared" si="14"/>
        <v/>
      </c>
      <c r="C13" s="2198" t="str">
        <f>IF(F13="","",IF('[1]Indoor Lighting'!$R$7="Yes","Yes","No"))</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67" t="str">
        <f>'W Light Exist'!H15</f>
        <v/>
      </c>
      <c r="T13" s="2579" t="str">
        <f t="shared" si="2"/>
        <v/>
      </c>
      <c r="U13" s="2580" t="str">
        <f>'W Light Exist'!J15</f>
        <v/>
      </c>
      <c r="V13" s="2086" t="str">
        <f>'W Light Exist'!K15</f>
        <v/>
      </c>
      <c r="W13" s="2086" t="str">
        <f t="shared" si="3"/>
        <v/>
      </c>
      <c r="X13" s="2086" t="str">
        <f t="shared" si="4"/>
        <v/>
      </c>
      <c r="Y13" s="2581" t="str">
        <f t="shared" si="5"/>
        <v/>
      </c>
      <c r="Z13" s="4"/>
      <c r="AA13" s="2582" t="str">
        <f>IF(P13="","",(X13*'R3 Hist'!$R$27)+(Y13*'R3 Hist'!$Q$27*12*$W$192))</f>
        <v/>
      </c>
      <c r="AB13" s="2556" t="str">
        <f t="shared" si="6"/>
        <v/>
      </c>
      <c r="AC13" s="2568" t="str">
        <f t="shared" si="7"/>
        <v/>
      </c>
      <c r="AD13" s="572"/>
      <c r="AE13" s="572" t="str">
        <f t="shared" si="8"/>
        <v/>
      </c>
      <c r="AF13" s="572" t="str">
        <f t="shared" si="9"/>
        <v/>
      </c>
      <c r="AG13" s="572"/>
      <c r="AH13" s="572">
        <f t="shared" si="10"/>
        <v>0</v>
      </c>
      <c r="AI13" s="2568">
        <f t="shared" si="11"/>
        <v>0</v>
      </c>
      <c r="AJ13" s="2568"/>
      <c r="AK13" s="2284">
        <f t="shared" si="24"/>
        <v>0</v>
      </c>
      <c r="AL13" s="2583"/>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3" t="str">
        <f t="shared" si="14"/>
        <v/>
      </c>
      <c r="C14" s="2198" t="str">
        <f>IF(F14="","",IF('[1]Indoor Lighting'!$R$8="Yes","Yes","No"))</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67" t="str">
        <f>'W Light Exist'!H16</f>
        <v/>
      </c>
      <c r="T14" s="2579" t="str">
        <f t="shared" si="2"/>
        <v/>
      </c>
      <c r="U14" s="2580" t="str">
        <f>'W Light Exist'!J16</f>
        <v/>
      </c>
      <c r="V14" s="2086" t="str">
        <f>'W Light Exist'!K16</f>
        <v/>
      </c>
      <c r="W14" s="2086" t="str">
        <f t="shared" si="3"/>
        <v/>
      </c>
      <c r="X14" s="2086" t="str">
        <f t="shared" si="4"/>
        <v/>
      </c>
      <c r="Y14" s="2581" t="str">
        <f t="shared" si="5"/>
        <v/>
      </c>
      <c r="Z14" s="4"/>
      <c r="AA14" s="2582" t="str">
        <f>IF(P14="","",(X14*'R3 Hist'!$R$27)+(Y14*'R3 Hist'!$Q$27*12*$W$192))</f>
        <v/>
      </c>
      <c r="AB14" s="2556" t="str">
        <f t="shared" si="6"/>
        <v/>
      </c>
      <c r="AC14" s="2568" t="str">
        <f t="shared" si="7"/>
        <v/>
      </c>
      <c r="AD14" s="572"/>
      <c r="AE14" s="572" t="str">
        <f t="shared" si="8"/>
        <v/>
      </c>
      <c r="AF14" s="572" t="str">
        <f t="shared" si="9"/>
        <v/>
      </c>
      <c r="AG14" s="572"/>
      <c r="AH14" s="572">
        <f t="shared" si="10"/>
        <v>0</v>
      </c>
      <c r="AI14" s="2568">
        <f t="shared" si="11"/>
        <v>0</v>
      </c>
      <c r="AJ14" s="2568"/>
      <c r="AK14" s="2284">
        <f t="shared" si="24"/>
        <v>0</v>
      </c>
      <c r="AL14" s="2583"/>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3" t="str">
        <f t="shared" si="14"/>
        <v/>
      </c>
      <c r="C15" s="2198" t="str">
        <f>IF(F15="","",IF('[1]Indoor Lighting'!$R$9="Yes","Yes","No"))</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67" t="str">
        <f>'W Light Exist'!H17</f>
        <v/>
      </c>
      <c r="T15" s="2579" t="str">
        <f t="shared" si="2"/>
        <v/>
      </c>
      <c r="U15" s="2580" t="str">
        <f>'W Light Exist'!J17</f>
        <v/>
      </c>
      <c r="V15" s="2086" t="str">
        <f>'W Light Exist'!K17</f>
        <v/>
      </c>
      <c r="W15" s="2086" t="str">
        <f t="shared" si="3"/>
        <v/>
      </c>
      <c r="X15" s="2086" t="str">
        <f t="shared" si="4"/>
        <v/>
      </c>
      <c r="Y15" s="2581" t="str">
        <f t="shared" si="5"/>
        <v/>
      </c>
      <c r="Z15" s="4"/>
      <c r="AA15" s="2582" t="str">
        <f>IF(P15="","",(X15*'R3 Hist'!$R$27)+(Y15*'R3 Hist'!$Q$27*12*$W$192))</f>
        <v/>
      </c>
      <c r="AB15" s="2556" t="str">
        <f t="shared" si="6"/>
        <v/>
      </c>
      <c r="AC15" s="2568" t="str">
        <f t="shared" si="7"/>
        <v/>
      </c>
      <c r="AD15" s="572"/>
      <c r="AE15" s="572" t="str">
        <f t="shared" si="8"/>
        <v/>
      </c>
      <c r="AF15" s="572" t="str">
        <f t="shared" si="9"/>
        <v/>
      </c>
      <c r="AG15" s="572"/>
      <c r="AH15" s="572">
        <f t="shared" si="10"/>
        <v>0</v>
      </c>
      <c r="AI15" s="2568">
        <f t="shared" si="11"/>
        <v>0</v>
      </c>
      <c r="AJ15" s="2568"/>
      <c r="AK15" s="2284">
        <f t="shared" si="24"/>
        <v>0</v>
      </c>
      <c r="AL15" s="2583"/>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3" t="str">
        <f t="shared" si="14"/>
        <v/>
      </c>
      <c r="C16" s="2198" t="str">
        <f>IF(F16="","",IF('[1]Indoor Lighting'!$R$10="Yes","Yes","No"))</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67" t="str">
        <f>'W Light Exist'!H18</f>
        <v/>
      </c>
      <c r="T16" s="2579" t="str">
        <f t="shared" si="2"/>
        <v/>
      </c>
      <c r="U16" s="2580" t="str">
        <f>'W Light Exist'!J18</f>
        <v/>
      </c>
      <c r="V16" s="2086" t="str">
        <f>'W Light Exist'!K18</f>
        <v/>
      </c>
      <c r="W16" s="2086" t="str">
        <f>IF(T16="","",U16*T16)</f>
        <v/>
      </c>
      <c r="X16" s="2086" t="str">
        <f>IF(V16="","",V16-W16)</f>
        <v/>
      </c>
      <c r="Y16" s="2581" t="str">
        <f>IF(S16="","",S16-T16)</f>
        <v/>
      </c>
      <c r="Z16" s="4"/>
      <c r="AA16" s="2582" t="str">
        <f>IF(P16="","",(X16*'R3 Hist'!$R$27)+(Y16*'R3 Hist'!$Q$27*12*$W$192))</f>
        <v/>
      </c>
      <c r="AB16" s="2556" t="str">
        <f t="shared" ref="AB16:AB34" si="43">IF(AA16="","",IF(AA16=0,"",AC16/AA16))</f>
        <v/>
      </c>
      <c r="AC16" s="2568" t="str">
        <f t="shared" si="7"/>
        <v/>
      </c>
      <c r="AD16" s="572"/>
      <c r="AE16" s="572" t="str">
        <f>R16</f>
        <v/>
      </c>
      <c r="AF16" s="572" t="str">
        <f t="shared" si="9"/>
        <v/>
      </c>
      <c r="AG16" s="572"/>
      <c r="AH16" s="572">
        <f t="shared" si="10"/>
        <v>0</v>
      </c>
      <c r="AI16" s="2568">
        <f t="shared" si="11"/>
        <v>0</v>
      </c>
      <c r="AJ16" s="2568"/>
      <c r="AK16" s="2284">
        <f t="shared" si="24"/>
        <v>0</v>
      </c>
      <c r="AL16" s="2583"/>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3" t="str">
        <f>AR17</f>
        <v/>
      </c>
      <c r="C17" s="2198" t="str">
        <f>IF(F17="","",IF('[1]Indoor Lighting'!$R$11="Yes","Yes","No"))</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67" t="str">
        <f>'W Light Exist'!H19</f>
        <v/>
      </c>
      <c r="T17" s="2579" t="str">
        <f t="shared" ref="T17:T31" si="46">IF(Q17="",S17,R17*(VLOOKUP(Q17,lighting,7,FALSE)/1000))</f>
        <v/>
      </c>
      <c r="U17" s="2580" t="str">
        <f>'W Light Exist'!J19</f>
        <v/>
      </c>
      <c r="V17" s="2086" t="str">
        <f>'W Light Exist'!K19</f>
        <v/>
      </c>
      <c r="W17" s="2086" t="str">
        <f t="shared" ref="W17:W30" si="47">IF(T17="","",U17*T17)</f>
        <v/>
      </c>
      <c r="X17" s="2086" t="str">
        <f t="shared" ref="X17:X30" si="48">IF(V17="","",V17-W17)</f>
        <v/>
      </c>
      <c r="Y17" s="2581" t="str">
        <f t="shared" ref="Y17:Y30" si="49">IF(S17="","",S17-T17)</f>
        <v/>
      </c>
      <c r="Z17" s="4"/>
      <c r="AA17" s="2582" t="str">
        <f>IF(P17="","",(X17*'R3 Hist'!$R$27)+(Y17*'R3 Hist'!$Q$27*12*$W$192))</f>
        <v/>
      </c>
      <c r="AB17" s="2556" t="str">
        <f t="shared" si="43"/>
        <v/>
      </c>
      <c r="AC17" s="2568"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68">
        <f t="shared" ref="AI17:AI31" si="54">IF(P17="",0,VLOOKUP(P17,rettable,5,FALSE))</f>
        <v>0</v>
      </c>
      <c r="AJ17" s="2568"/>
      <c r="AK17" s="2284">
        <f t="shared" si="24"/>
        <v>0</v>
      </c>
      <c r="AL17" s="2583"/>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3" t="str">
        <f t="shared" ref="B18:B22" si="55">AR18</f>
        <v/>
      </c>
      <c r="C18" s="2198" t="str">
        <f>IF(F18="","",IF('[1]Indoor Lighting'!$R$12="Yes","Yes","No"))</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67" t="str">
        <f>'W Light Exist'!H20</f>
        <v/>
      </c>
      <c r="T18" s="2579" t="str">
        <f t="shared" si="46"/>
        <v/>
      </c>
      <c r="U18" s="2580" t="str">
        <f>'W Light Exist'!J20</f>
        <v/>
      </c>
      <c r="V18" s="2086" t="str">
        <f>'W Light Exist'!K20</f>
        <v/>
      </c>
      <c r="W18" s="2086" t="str">
        <f t="shared" si="47"/>
        <v/>
      </c>
      <c r="X18" s="2086" t="str">
        <f t="shared" si="48"/>
        <v/>
      </c>
      <c r="Y18" s="2581" t="str">
        <f t="shared" si="49"/>
        <v/>
      </c>
      <c r="Z18" s="4"/>
      <c r="AA18" s="2582" t="str">
        <f>IF(P18="","",(X18*'R3 Hist'!$R$27)+(Y18*'R3 Hist'!$Q$27*12*$W$192))</f>
        <v/>
      </c>
      <c r="AB18" s="2556" t="str">
        <f t="shared" si="43"/>
        <v/>
      </c>
      <c r="AC18" s="2568" t="str">
        <f t="shared" si="50"/>
        <v/>
      </c>
      <c r="AD18" s="572"/>
      <c r="AE18" s="572" t="str">
        <f t="shared" si="51"/>
        <v/>
      </c>
      <c r="AF18" s="572" t="str">
        <f t="shared" si="52"/>
        <v/>
      </c>
      <c r="AG18" s="572"/>
      <c r="AH18" s="572">
        <f t="shared" si="53"/>
        <v>0</v>
      </c>
      <c r="AI18" s="2568">
        <f t="shared" si="54"/>
        <v>0</v>
      </c>
      <c r="AJ18" s="2568"/>
      <c r="AK18" s="2284">
        <f t="shared" si="24"/>
        <v>0</v>
      </c>
      <c r="AL18" s="2583"/>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3" t="str">
        <f t="shared" si="55"/>
        <v/>
      </c>
      <c r="C19" s="2198" t="str">
        <f>IF(F19="","",IF('[1]Indoor Lighting'!$R$13="Yes","Yes","No"))</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67" t="str">
        <f>'W Light Exist'!H21</f>
        <v/>
      </c>
      <c r="T19" s="2579" t="str">
        <f t="shared" si="46"/>
        <v/>
      </c>
      <c r="U19" s="2580" t="str">
        <f>'W Light Exist'!J21</f>
        <v/>
      </c>
      <c r="V19" s="2086" t="str">
        <f>'W Light Exist'!K21</f>
        <v/>
      </c>
      <c r="W19" s="2086" t="str">
        <f t="shared" si="47"/>
        <v/>
      </c>
      <c r="X19" s="2086" t="str">
        <f t="shared" si="48"/>
        <v/>
      </c>
      <c r="Y19" s="2581" t="str">
        <f t="shared" si="49"/>
        <v/>
      </c>
      <c r="Z19" s="4"/>
      <c r="AA19" s="2582" t="str">
        <f>IF(P19="","",(X19*'R3 Hist'!$R$27)+(Y19*'R3 Hist'!$Q$27*12*$W$192))</f>
        <v/>
      </c>
      <c r="AB19" s="2556" t="str">
        <f t="shared" si="43"/>
        <v/>
      </c>
      <c r="AC19" s="2568" t="str">
        <f t="shared" si="50"/>
        <v/>
      </c>
      <c r="AD19" s="572"/>
      <c r="AE19" s="572" t="str">
        <f t="shared" si="51"/>
        <v/>
      </c>
      <c r="AF19" s="572" t="str">
        <f t="shared" si="52"/>
        <v/>
      </c>
      <c r="AG19" s="572"/>
      <c r="AH19" s="572">
        <f t="shared" si="53"/>
        <v>0</v>
      </c>
      <c r="AI19" s="2568">
        <f t="shared" si="54"/>
        <v>0</v>
      </c>
      <c r="AJ19" s="2568"/>
      <c r="AK19" s="2284">
        <f t="shared" si="24"/>
        <v>0</v>
      </c>
      <c r="AL19" s="2583"/>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3" t="str">
        <f t="shared" si="55"/>
        <v/>
      </c>
      <c r="C20" s="2198" t="str">
        <f>IF(F20="","",IF('[1]Indoor Lighting'!$R$14="Yes","Yes","No"))</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67" t="str">
        <f>'W Light Exist'!H22</f>
        <v/>
      </c>
      <c r="T20" s="2579" t="str">
        <f t="shared" si="46"/>
        <v/>
      </c>
      <c r="U20" s="2580" t="str">
        <f>'W Light Exist'!J22</f>
        <v/>
      </c>
      <c r="V20" s="2086" t="str">
        <f>'W Light Exist'!K22</f>
        <v/>
      </c>
      <c r="W20" s="2086" t="str">
        <f t="shared" si="47"/>
        <v/>
      </c>
      <c r="X20" s="2086" t="str">
        <f t="shared" si="48"/>
        <v/>
      </c>
      <c r="Y20" s="2581" t="str">
        <f t="shared" si="49"/>
        <v/>
      </c>
      <c r="Z20" s="4"/>
      <c r="AA20" s="2582" t="str">
        <f>IF(P20="","",(X20*'R3 Hist'!$R$27)+(Y20*'R3 Hist'!$Q$27*12*$W$192))</f>
        <v/>
      </c>
      <c r="AB20" s="2556" t="str">
        <f t="shared" si="43"/>
        <v/>
      </c>
      <c r="AC20" s="2568" t="str">
        <f t="shared" si="50"/>
        <v/>
      </c>
      <c r="AD20" s="572"/>
      <c r="AE20" s="572" t="str">
        <f t="shared" si="51"/>
        <v/>
      </c>
      <c r="AF20" s="572" t="str">
        <f t="shared" si="52"/>
        <v/>
      </c>
      <c r="AG20" s="572"/>
      <c r="AH20" s="572">
        <f t="shared" si="53"/>
        <v>0</v>
      </c>
      <c r="AI20" s="2568">
        <f t="shared" si="54"/>
        <v>0</v>
      </c>
      <c r="AJ20" s="2568"/>
      <c r="AK20" s="2284">
        <f t="shared" si="24"/>
        <v>0</v>
      </c>
      <c r="AL20" s="2583"/>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3" t="str">
        <f>AR21</f>
        <v/>
      </c>
      <c r="C21" s="2198" t="str">
        <f>IF(F21="","",IF('[1]Indoor Lighting'!$R$15="Yes","Yes","No"))</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67" t="str">
        <f>'W Light Exist'!H23</f>
        <v/>
      </c>
      <c r="T21" s="2579" t="str">
        <f t="shared" si="46"/>
        <v/>
      </c>
      <c r="U21" s="2580" t="str">
        <f>'W Light Exist'!J23</f>
        <v/>
      </c>
      <c r="V21" s="2086" t="str">
        <f>'W Light Exist'!K23</f>
        <v/>
      </c>
      <c r="W21" s="2086" t="str">
        <f t="shared" si="47"/>
        <v/>
      </c>
      <c r="X21" s="2086" t="str">
        <f t="shared" si="48"/>
        <v/>
      </c>
      <c r="Y21" s="2581" t="str">
        <f t="shared" si="49"/>
        <v/>
      </c>
      <c r="Z21" s="4"/>
      <c r="AA21" s="2582" t="str">
        <f>IF(P21="","",(X21*'R3 Hist'!$R$27)+(Y21*'R3 Hist'!$Q$27*12*$W$192))</f>
        <v/>
      </c>
      <c r="AB21" s="2556" t="str">
        <f t="shared" si="43"/>
        <v/>
      </c>
      <c r="AC21" s="2568" t="str">
        <f t="shared" si="50"/>
        <v/>
      </c>
      <c r="AD21" s="572"/>
      <c r="AE21" s="572" t="str">
        <f t="shared" si="51"/>
        <v/>
      </c>
      <c r="AF21" s="572" t="str">
        <f t="shared" si="52"/>
        <v/>
      </c>
      <c r="AG21" s="572"/>
      <c r="AH21" s="572">
        <f t="shared" si="53"/>
        <v>0</v>
      </c>
      <c r="AI21" s="2568">
        <f t="shared" si="54"/>
        <v>0</v>
      </c>
      <c r="AJ21" s="2568"/>
      <c r="AK21" s="2284">
        <f>IFERROR(AE21*AI21, 0)</f>
        <v>0</v>
      </c>
      <c r="AL21" s="2583"/>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3"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67" t="str">
        <f>'W Light Exist'!H24</f>
        <v/>
      </c>
      <c r="T22" s="2579" t="str">
        <f t="shared" si="46"/>
        <v/>
      </c>
      <c r="U22" s="2580" t="str">
        <f>'W Light Exist'!J24</f>
        <v/>
      </c>
      <c r="V22" s="2086" t="str">
        <f>'W Light Exist'!K24</f>
        <v/>
      </c>
      <c r="W22" s="2086" t="str">
        <f t="shared" si="47"/>
        <v/>
      </c>
      <c r="X22" s="2086" t="str">
        <f t="shared" si="48"/>
        <v/>
      </c>
      <c r="Y22" s="2581" t="str">
        <f t="shared" si="49"/>
        <v/>
      </c>
      <c r="Z22" s="4"/>
      <c r="AA22" s="2582" t="str">
        <f>IF(P22="","",(X22*'R3 Hist'!$R$27)+(Y22*'R3 Hist'!$Q$27*12*$W$192))</f>
        <v/>
      </c>
      <c r="AB22" s="2556" t="str">
        <f t="shared" si="43"/>
        <v/>
      </c>
      <c r="AC22" s="2568" t="str">
        <f t="shared" si="50"/>
        <v/>
      </c>
      <c r="AD22" s="572"/>
      <c r="AE22" s="572" t="str">
        <f t="shared" si="51"/>
        <v/>
      </c>
      <c r="AF22" s="572" t="str">
        <f t="shared" si="52"/>
        <v/>
      </c>
      <c r="AG22" s="572"/>
      <c r="AH22" s="572">
        <f t="shared" si="53"/>
        <v>0</v>
      </c>
      <c r="AI22" s="2568">
        <f t="shared" si="54"/>
        <v>0</v>
      </c>
      <c r="AJ22" s="2568"/>
      <c r="AK22" s="2284">
        <f t="shared" si="24"/>
        <v>0</v>
      </c>
      <c r="AL22" s="2583"/>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3"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67" t="str">
        <f>'W Light Exist'!H25</f>
        <v/>
      </c>
      <c r="T23" s="2579" t="str">
        <f t="shared" si="46"/>
        <v/>
      </c>
      <c r="U23" s="2580" t="str">
        <f>'W Light Exist'!J25</f>
        <v/>
      </c>
      <c r="V23" s="2086" t="str">
        <f>'W Light Exist'!K25</f>
        <v/>
      </c>
      <c r="W23" s="2086" t="str">
        <f t="shared" si="47"/>
        <v/>
      </c>
      <c r="X23" s="2086" t="str">
        <f t="shared" si="48"/>
        <v/>
      </c>
      <c r="Y23" s="2581" t="str">
        <f t="shared" si="49"/>
        <v/>
      </c>
      <c r="Z23" s="4"/>
      <c r="AA23" s="2582" t="str">
        <f>IF(P23="","",(X23*'R3 Hist'!$R$27)+(Y23*'R3 Hist'!$Q$27*12*$W$192))</f>
        <v/>
      </c>
      <c r="AB23" s="2556" t="str">
        <f t="shared" si="43"/>
        <v/>
      </c>
      <c r="AC23" s="2568" t="str">
        <f t="shared" si="50"/>
        <v/>
      </c>
      <c r="AD23" s="572"/>
      <c r="AE23" s="572" t="str">
        <f t="shared" si="51"/>
        <v/>
      </c>
      <c r="AF23" s="572" t="str">
        <f t="shared" si="52"/>
        <v/>
      </c>
      <c r="AG23" s="572"/>
      <c r="AH23" s="572">
        <f t="shared" si="53"/>
        <v>0</v>
      </c>
      <c r="AI23" s="2568">
        <f t="shared" si="54"/>
        <v>0</v>
      </c>
      <c r="AJ23" s="2568"/>
      <c r="AK23" s="2284">
        <f t="shared" si="24"/>
        <v>0</v>
      </c>
      <c r="AL23" s="2583"/>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3"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67" t="str">
        <f>'W Light Exist'!H26</f>
        <v/>
      </c>
      <c r="T24" s="2579" t="str">
        <f t="shared" si="46"/>
        <v/>
      </c>
      <c r="U24" s="2580" t="str">
        <f>'W Light Exist'!J26</f>
        <v/>
      </c>
      <c r="V24" s="2086" t="str">
        <f>'W Light Exist'!K26</f>
        <v/>
      </c>
      <c r="W24" s="2086" t="str">
        <f t="shared" si="47"/>
        <v/>
      </c>
      <c r="X24" s="2086" t="str">
        <f t="shared" si="48"/>
        <v/>
      </c>
      <c r="Y24" s="2581" t="str">
        <f t="shared" si="49"/>
        <v/>
      </c>
      <c r="Z24" s="4"/>
      <c r="AA24" s="2582" t="str">
        <f>IF(P24="","",(X24*'R3 Hist'!$R$27)+(Y24*'R3 Hist'!$Q$27*12*$W$192))</f>
        <v/>
      </c>
      <c r="AB24" s="2556" t="str">
        <f t="shared" si="43"/>
        <v/>
      </c>
      <c r="AC24" s="2568" t="str">
        <f t="shared" si="50"/>
        <v/>
      </c>
      <c r="AD24" s="572"/>
      <c r="AE24" s="572" t="str">
        <f t="shared" si="51"/>
        <v/>
      </c>
      <c r="AF24" s="572" t="str">
        <f t="shared" si="52"/>
        <v/>
      </c>
      <c r="AG24" s="572"/>
      <c r="AH24" s="572">
        <f t="shared" si="53"/>
        <v>0</v>
      </c>
      <c r="AI24" s="2568">
        <f t="shared" si="54"/>
        <v>0</v>
      </c>
      <c r="AJ24" s="2568"/>
      <c r="AK24" s="2284">
        <f t="shared" si="24"/>
        <v>0</v>
      </c>
      <c r="AL24" s="2583"/>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3"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67" t="str">
        <f>'W Light Exist'!H27</f>
        <v/>
      </c>
      <c r="T25" s="2579" t="str">
        <f t="shared" si="46"/>
        <v/>
      </c>
      <c r="U25" s="2580" t="str">
        <f>'W Light Exist'!J27</f>
        <v/>
      </c>
      <c r="V25" s="2086" t="str">
        <f>'W Light Exist'!K27</f>
        <v/>
      </c>
      <c r="W25" s="2086" t="str">
        <f t="shared" si="47"/>
        <v/>
      </c>
      <c r="X25" s="2086" t="str">
        <f t="shared" si="48"/>
        <v/>
      </c>
      <c r="Y25" s="2581" t="str">
        <f t="shared" si="49"/>
        <v/>
      </c>
      <c r="Z25" s="4"/>
      <c r="AA25" s="2582" t="str">
        <f>IF(P25="","",(X25*'R3 Hist'!$R$27)+(Y25*'R3 Hist'!$Q$27*12*$W$192))</f>
        <v/>
      </c>
      <c r="AB25" s="2556" t="str">
        <f t="shared" si="43"/>
        <v/>
      </c>
      <c r="AC25" s="2568" t="str">
        <f t="shared" si="50"/>
        <v/>
      </c>
      <c r="AD25" s="572"/>
      <c r="AE25" s="572" t="str">
        <f t="shared" si="51"/>
        <v/>
      </c>
      <c r="AF25" s="572" t="str">
        <f t="shared" si="52"/>
        <v/>
      </c>
      <c r="AG25" s="572"/>
      <c r="AH25" s="572">
        <f t="shared" si="53"/>
        <v>0</v>
      </c>
      <c r="AI25" s="2568">
        <f t="shared" si="54"/>
        <v>0</v>
      </c>
      <c r="AJ25" s="2568"/>
      <c r="AK25" s="2284">
        <f t="shared" si="24"/>
        <v>0</v>
      </c>
      <c r="AL25" s="2583"/>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3"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67" t="str">
        <f>'W Light Exist'!H28</f>
        <v/>
      </c>
      <c r="T26" s="2579" t="str">
        <f t="shared" si="46"/>
        <v/>
      </c>
      <c r="U26" s="2580" t="str">
        <f>'W Light Exist'!J28</f>
        <v/>
      </c>
      <c r="V26" s="2086" t="str">
        <f>'W Light Exist'!K28</f>
        <v/>
      </c>
      <c r="W26" s="2086" t="str">
        <f t="shared" si="47"/>
        <v/>
      </c>
      <c r="X26" s="2086" t="str">
        <f t="shared" si="48"/>
        <v/>
      </c>
      <c r="Y26" s="2581" t="str">
        <f t="shared" si="49"/>
        <v/>
      </c>
      <c r="Z26" s="4"/>
      <c r="AA26" s="2582" t="str">
        <f>IF(P26="","",(X26*'R3 Hist'!$R$27)+(Y26*'R3 Hist'!$Q$27*12*$W$192))</f>
        <v/>
      </c>
      <c r="AB26" s="2556" t="str">
        <f t="shared" si="43"/>
        <v/>
      </c>
      <c r="AC26" s="2568" t="str">
        <f t="shared" si="50"/>
        <v/>
      </c>
      <c r="AD26" s="572"/>
      <c r="AE26" s="572" t="str">
        <f t="shared" si="51"/>
        <v/>
      </c>
      <c r="AF26" s="572" t="str">
        <f t="shared" si="52"/>
        <v/>
      </c>
      <c r="AG26" s="572"/>
      <c r="AH26" s="572">
        <f t="shared" si="53"/>
        <v>0</v>
      </c>
      <c r="AI26" s="2568">
        <f t="shared" si="54"/>
        <v>0</v>
      </c>
      <c r="AJ26" s="2568"/>
      <c r="AK26" s="2284">
        <f t="shared" si="24"/>
        <v>0</v>
      </c>
      <c r="AL26" s="2583"/>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3"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67" t="str">
        <f>'W Light Exist'!H29</f>
        <v/>
      </c>
      <c r="T27" s="2579" t="str">
        <f t="shared" si="46"/>
        <v/>
      </c>
      <c r="U27" s="2580" t="str">
        <f>'W Light Exist'!J29</f>
        <v/>
      </c>
      <c r="V27" s="2086" t="str">
        <f>'W Light Exist'!K29</f>
        <v/>
      </c>
      <c r="W27" s="2086" t="str">
        <f t="shared" si="47"/>
        <v/>
      </c>
      <c r="X27" s="2086" t="str">
        <f t="shared" si="48"/>
        <v/>
      </c>
      <c r="Y27" s="2581" t="str">
        <f t="shared" si="49"/>
        <v/>
      </c>
      <c r="Z27" s="4"/>
      <c r="AA27" s="2582" t="str">
        <f>IF(P27="","",(X27*'R3 Hist'!$R$27)+(Y27*'R3 Hist'!$Q$27*12*$W$192))</f>
        <v/>
      </c>
      <c r="AB27" s="2556" t="str">
        <f t="shared" si="43"/>
        <v/>
      </c>
      <c r="AC27" s="2568" t="str">
        <f t="shared" si="50"/>
        <v/>
      </c>
      <c r="AD27" s="572"/>
      <c r="AE27" s="572" t="str">
        <f t="shared" si="51"/>
        <v/>
      </c>
      <c r="AF27" s="572" t="str">
        <f t="shared" si="52"/>
        <v/>
      </c>
      <c r="AG27" s="572"/>
      <c r="AH27" s="572">
        <f t="shared" si="53"/>
        <v>0</v>
      </c>
      <c r="AI27" s="2568">
        <f t="shared" si="54"/>
        <v>0</v>
      </c>
      <c r="AJ27" s="2568"/>
      <c r="AK27" s="2284">
        <f t="shared" si="24"/>
        <v>0</v>
      </c>
      <c r="AL27" s="2583"/>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3"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67" t="str">
        <f>'W Light Exist'!H30</f>
        <v/>
      </c>
      <c r="T28" s="2579" t="str">
        <f t="shared" si="46"/>
        <v/>
      </c>
      <c r="U28" s="2580" t="str">
        <f>'W Light Exist'!J30</f>
        <v/>
      </c>
      <c r="V28" s="2086" t="str">
        <f>'W Light Exist'!K30</f>
        <v/>
      </c>
      <c r="W28" s="2086" t="str">
        <f t="shared" si="47"/>
        <v/>
      </c>
      <c r="X28" s="2086" t="str">
        <f t="shared" si="48"/>
        <v/>
      </c>
      <c r="Y28" s="2581" t="str">
        <f t="shared" si="49"/>
        <v/>
      </c>
      <c r="Z28" s="4"/>
      <c r="AA28" s="2582" t="str">
        <f>IF(P28="","",(X28*'R3 Hist'!$R$27)+(Y28*'R3 Hist'!$Q$27*12*$W$192))</f>
        <v/>
      </c>
      <c r="AB28" s="2556" t="str">
        <f t="shared" si="43"/>
        <v/>
      </c>
      <c r="AC28" s="2568" t="str">
        <f t="shared" si="50"/>
        <v/>
      </c>
      <c r="AD28" s="572"/>
      <c r="AE28" s="572" t="str">
        <f t="shared" si="51"/>
        <v/>
      </c>
      <c r="AF28" s="572" t="str">
        <f t="shared" si="52"/>
        <v/>
      </c>
      <c r="AG28" s="572"/>
      <c r="AH28" s="572">
        <f t="shared" si="53"/>
        <v>0</v>
      </c>
      <c r="AI28" s="2568">
        <f t="shared" si="54"/>
        <v>0</v>
      </c>
      <c r="AJ28" s="2568"/>
      <c r="AK28" s="2284">
        <f t="shared" si="24"/>
        <v>0</v>
      </c>
      <c r="AL28" s="2583"/>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3"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67" t="str">
        <f>'W Light Exist'!H31</f>
        <v/>
      </c>
      <c r="T29" s="2579" t="str">
        <f t="shared" si="46"/>
        <v/>
      </c>
      <c r="U29" s="2580" t="str">
        <f>'W Light Exist'!J31</f>
        <v/>
      </c>
      <c r="V29" s="2086" t="str">
        <f>'W Light Exist'!K31</f>
        <v/>
      </c>
      <c r="W29" s="2086" t="str">
        <f t="shared" si="47"/>
        <v/>
      </c>
      <c r="X29" s="2086" t="str">
        <f t="shared" si="48"/>
        <v/>
      </c>
      <c r="Y29" s="2581" t="str">
        <f t="shared" si="49"/>
        <v/>
      </c>
      <c r="Z29" s="4"/>
      <c r="AA29" s="2582" t="str">
        <f>IF(P29="","",(X29*'R3 Hist'!$R$27)+(Y29*'R3 Hist'!$Q$27*12*$W$192))</f>
        <v/>
      </c>
      <c r="AB29" s="2556" t="str">
        <f t="shared" si="43"/>
        <v/>
      </c>
      <c r="AC29" s="2568" t="str">
        <f t="shared" si="50"/>
        <v/>
      </c>
      <c r="AD29" s="572"/>
      <c r="AE29" s="572" t="str">
        <f t="shared" si="51"/>
        <v/>
      </c>
      <c r="AF29" s="572" t="str">
        <f t="shared" si="52"/>
        <v/>
      </c>
      <c r="AG29" s="572"/>
      <c r="AH29" s="572">
        <f t="shared" si="53"/>
        <v>0</v>
      </c>
      <c r="AI29" s="2568">
        <f t="shared" si="54"/>
        <v>0</v>
      </c>
      <c r="AJ29" s="2568"/>
      <c r="AK29" s="2284">
        <f t="shared" si="24"/>
        <v>0</v>
      </c>
      <c r="AL29" s="2583"/>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3"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67" t="str">
        <f>'W Light Exist'!H32</f>
        <v/>
      </c>
      <c r="T30" s="2579" t="str">
        <f t="shared" si="46"/>
        <v/>
      </c>
      <c r="U30" s="2580" t="str">
        <f>'W Light Exist'!J32</f>
        <v/>
      </c>
      <c r="V30" s="2086" t="str">
        <f>'W Light Exist'!K32</f>
        <v/>
      </c>
      <c r="W30" s="2086" t="str">
        <f t="shared" si="47"/>
        <v/>
      </c>
      <c r="X30" s="2086" t="str">
        <f t="shared" si="48"/>
        <v/>
      </c>
      <c r="Y30" s="2581" t="str">
        <f t="shared" si="49"/>
        <v/>
      </c>
      <c r="Z30" s="4"/>
      <c r="AA30" s="2582" t="str">
        <f>IF(P30="","",(X30*'R3 Hist'!$R$27)+(Y30*'R3 Hist'!$Q$27*12*$W$192))</f>
        <v/>
      </c>
      <c r="AB30" s="2556" t="str">
        <f t="shared" si="43"/>
        <v/>
      </c>
      <c r="AC30" s="2568" t="str">
        <f t="shared" si="50"/>
        <v/>
      </c>
      <c r="AD30" s="572"/>
      <c r="AE30" s="572" t="str">
        <f t="shared" si="51"/>
        <v/>
      </c>
      <c r="AF30" s="572" t="str">
        <f t="shared" si="52"/>
        <v/>
      </c>
      <c r="AG30" s="572"/>
      <c r="AH30" s="572">
        <f t="shared" si="53"/>
        <v>0</v>
      </c>
      <c r="AI30" s="2568">
        <f t="shared" si="54"/>
        <v>0</v>
      </c>
      <c r="AJ30" s="2568"/>
      <c r="AK30" s="2284">
        <f t="shared" si="24"/>
        <v>0</v>
      </c>
      <c r="AL30" s="2583"/>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3"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67" t="str">
        <f>'W Light Exist'!H33</f>
        <v/>
      </c>
      <c r="T31" s="2579" t="str">
        <f t="shared" si="46"/>
        <v/>
      </c>
      <c r="U31" s="2580" t="str">
        <f>'W Light Exist'!J33</f>
        <v/>
      </c>
      <c r="V31" s="2086" t="str">
        <f>'W Light Exist'!K33</f>
        <v/>
      </c>
      <c r="W31" s="2086" t="str">
        <f>IF(T31="","",U31*T31)</f>
        <v/>
      </c>
      <c r="X31" s="2086" t="str">
        <f>IF(V31="","",V31-W31)</f>
        <v/>
      </c>
      <c r="Y31" s="2581" t="str">
        <f>IF(S31="","",S31-T31)</f>
        <v/>
      </c>
      <c r="Z31" s="4"/>
      <c r="AA31" s="2582" t="str">
        <f>IF(P31="","",(X31*'R3 Hist'!$R$27)+(Y31*'R3 Hist'!$Q$27*12*$W$192))</f>
        <v/>
      </c>
      <c r="AB31" s="2556" t="str">
        <f t="shared" ref="AB31" si="77">IF(AA31="","",IF(AA31=0,"",AC31/AA31))</f>
        <v/>
      </c>
      <c r="AC31" s="2568" t="str">
        <f t="shared" si="50"/>
        <v/>
      </c>
      <c r="AD31" s="572"/>
      <c r="AE31" s="572" t="str">
        <f>R31</f>
        <v/>
      </c>
      <c r="AF31" s="572" t="str">
        <f t="shared" si="52"/>
        <v/>
      </c>
      <c r="AG31" s="572"/>
      <c r="AH31" s="572">
        <f t="shared" si="53"/>
        <v>0</v>
      </c>
      <c r="AI31" s="2568">
        <f t="shared" si="54"/>
        <v>0</v>
      </c>
      <c r="AJ31" s="2568"/>
      <c r="AK31" s="2284">
        <f t="shared" si="24"/>
        <v>0</v>
      </c>
      <c r="AL31" s="2583"/>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6"/>
      <c r="C32" s="518"/>
      <c r="D32" s="500">
        <f>IF(C32="Yes",1+D26,0+D26)</f>
        <v>0</v>
      </c>
      <c r="E32" s="500">
        <f>IF(D32&gt;D26,D32,0)</f>
        <v>0</v>
      </c>
      <c r="F32" s="517"/>
      <c r="G32" s="2584"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6"/>
      <c r="S32" s="2577"/>
      <c r="T32" s="2585"/>
      <c r="U32" s="2586"/>
      <c r="V32" s="2587"/>
      <c r="W32" s="2587"/>
      <c r="X32" s="2587"/>
      <c r="Y32" s="2588"/>
      <c r="Z32" s="517"/>
      <c r="AA32" s="2589" t="str">
        <f>IF(P32="","",(X32*'R3 Hist'!$R$27)+(Y32*'R3 Hist'!$Q$27*12*$W$192))</f>
        <v/>
      </c>
      <c r="AB32" s="2590" t="str">
        <f t="shared" si="43"/>
        <v/>
      </c>
      <c r="AC32" s="2578" t="str">
        <f t="shared" si="7"/>
        <v/>
      </c>
      <c r="AD32" s="2576"/>
      <c r="AE32" s="2576"/>
      <c r="AF32" s="2576"/>
      <c r="AG32" s="2576"/>
      <c r="AH32" s="2576"/>
      <c r="AI32" s="2578"/>
      <c r="AJ32" s="2578"/>
      <c r="AK32" s="2591"/>
      <c r="AL32" s="2583"/>
      <c r="AM32" s="636"/>
      <c r="AN32" s="636"/>
      <c r="AO32" s="636"/>
      <c r="AP32" s="636"/>
      <c r="AQ32" s="636"/>
      <c r="AR32" s="643" t="str">
        <f>'W Light Exist'!B34</f>
        <v>Compact fluorescents</v>
      </c>
      <c r="AS32" s="2969"/>
      <c r="AT32" s="636"/>
      <c r="AU32" s="636"/>
      <c r="AV32" s="636"/>
      <c r="AW32" s="636"/>
      <c r="AX32" s="636"/>
      <c r="AY32" s="636"/>
      <c r="AZ32" s="636"/>
      <c r="BA32" s="636"/>
      <c r="BB32" s="636"/>
      <c r="BC32" s="636"/>
    </row>
    <row r="33" spans="1:55" ht="13.8">
      <c r="A33" s="500">
        <v>25</v>
      </c>
      <c r="B33" s="2970" t="str">
        <f>AR33</f>
        <v/>
      </c>
      <c r="C33" s="2198" t="str">
        <f>IF(F33="","",IF('[1]Indoor Lighting'!$R$2="Yes","Yes","No"))</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67" t="str">
        <f>'W Light Exist'!H35</f>
        <v/>
      </c>
      <c r="T33" s="2579" t="str">
        <f t="shared" ref="T33:T34" si="89">IF(Q33="",S33,R33*(VLOOKUP(Q33,lighting,7,FALSE)/1000))</f>
        <v/>
      </c>
      <c r="U33" s="2580" t="str">
        <f>'W Light Exist'!J35</f>
        <v/>
      </c>
      <c r="V33" s="2086" t="str">
        <f>'W Light Exist'!K35</f>
        <v/>
      </c>
      <c r="W33" s="2086" t="str">
        <f t="shared" si="3"/>
        <v/>
      </c>
      <c r="X33" s="2086" t="str">
        <f t="shared" si="4"/>
        <v/>
      </c>
      <c r="Y33" s="2581" t="str">
        <f t="shared" si="5"/>
        <v/>
      </c>
      <c r="Z33" s="4"/>
      <c r="AA33" s="2582" t="str">
        <f>IF(P33="","",(X33*'R3 Hist'!$R$27)+(Y33*'R3 Hist'!$Q$27*12*$W$192))</f>
        <v/>
      </c>
      <c r="AB33" s="2556" t="str">
        <f t="shared" si="43"/>
        <v/>
      </c>
      <c r="AC33" s="2568" t="str">
        <f t="shared" si="7"/>
        <v/>
      </c>
      <c r="AD33" s="572"/>
      <c r="AE33" s="572" t="str">
        <f t="shared" si="8"/>
        <v/>
      </c>
      <c r="AF33" s="572" t="str">
        <f t="shared" ref="AF33:AF61" si="90">IF(Q33="","",VLOOKUP(Q33,lighting,4,FALSE))</f>
        <v/>
      </c>
      <c r="AG33" s="572"/>
      <c r="AH33" s="572">
        <f>IF(AF33="",0,AF33*AE33)</f>
        <v>0</v>
      </c>
      <c r="AI33" s="2568">
        <f t="shared" ref="AI33:AI34" si="91">IF(P33="",0,VLOOKUP(P33,rettable,5,FALSE))</f>
        <v>0</v>
      </c>
      <c r="AJ33" s="2568"/>
      <c r="AK33" s="2284">
        <f t="shared" si="24"/>
        <v>0</v>
      </c>
      <c r="AL33" s="2583"/>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0" t="str">
        <f>AR34</f>
        <v/>
      </c>
      <c r="C34" s="2198" t="str">
        <f>IF(F34="","",IF('[1]Indoor Lighting'!$R$3="Yes","Yes","No"))</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67" t="str">
        <f>'W Light Exist'!H36</f>
        <v/>
      </c>
      <c r="T34" s="2579" t="str">
        <f t="shared" si="89"/>
        <v/>
      </c>
      <c r="U34" s="2580" t="str">
        <f>'W Light Exist'!J36</f>
        <v/>
      </c>
      <c r="V34" s="2086" t="str">
        <f>'W Light Exist'!K36</f>
        <v/>
      </c>
      <c r="W34" s="2086" t="str">
        <f t="shared" si="3"/>
        <v/>
      </c>
      <c r="X34" s="2086" t="str">
        <f t="shared" si="4"/>
        <v/>
      </c>
      <c r="Y34" s="2581" t="str">
        <f t="shared" si="5"/>
        <v/>
      </c>
      <c r="Z34" s="4"/>
      <c r="AA34" s="2582" t="str">
        <f>IF(P34="","",(X34*'R3 Hist'!$R$27)+(Y34*'R3 Hist'!$Q$27*12*$W$192))</f>
        <v/>
      </c>
      <c r="AB34" s="2556" t="str">
        <f t="shared" si="43"/>
        <v/>
      </c>
      <c r="AC34" s="2568" t="str">
        <f t="shared" si="7"/>
        <v/>
      </c>
      <c r="AD34" s="572"/>
      <c r="AE34" s="572" t="str">
        <f t="shared" si="8"/>
        <v/>
      </c>
      <c r="AF34" s="572" t="str">
        <f t="shared" si="90"/>
        <v/>
      </c>
      <c r="AG34" s="572"/>
      <c r="AH34" s="572">
        <f>IF(AF34="",0,AF34*AE34)</f>
        <v>0</v>
      </c>
      <c r="AI34" s="2568">
        <f t="shared" si="91"/>
        <v>0</v>
      </c>
      <c r="AJ34" s="2568"/>
      <c r="AK34" s="2284">
        <f t="shared" si="24"/>
        <v>0</v>
      </c>
      <c r="AL34" s="2583"/>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3" t="str">
        <f t="shared" ref="B35:B39" si="100">AR35</f>
        <v/>
      </c>
      <c r="C35" s="2198" t="str">
        <f>IF(F35="","",IF('[1]Indoor Lighting'!$R$4="Yes","Yes","No"))</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67" t="str">
        <f>'W Light Exist'!H37</f>
        <v/>
      </c>
      <c r="T35" s="2579" t="str">
        <f t="shared" ref="T35:T39" si="111">IF(Q35="",S35,R35*(VLOOKUP(Q35,lighting,7,FALSE)/1000))</f>
        <v/>
      </c>
      <c r="U35" s="2580" t="str">
        <f>'W Light Exist'!J37</f>
        <v/>
      </c>
      <c r="V35" s="2086" t="str">
        <f>'W Light Exist'!K37</f>
        <v/>
      </c>
      <c r="W35" s="2086" t="str">
        <f t="shared" ref="W35:W39" si="112">IF(T35="","",U35*T35)</f>
        <v/>
      </c>
      <c r="X35" s="2086" t="str">
        <f t="shared" ref="X35:X39" si="113">IF(V35="","",V35-W35)</f>
        <v/>
      </c>
      <c r="Y35" s="2581" t="str">
        <f t="shared" ref="Y35:Y39" si="114">IF(S35="","",S35-T35)</f>
        <v/>
      </c>
      <c r="Z35" s="4"/>
      <c r="AA35" s="2582" t="str">
        <f>IF(P35="","",(X35*'R3 Hist'!$R$27)+(Y35*'R3 Hist'!$Q$27*12*$W$192))</f>
        <v/>
      </c>
      <c r="AB35" s="2556" t="str">
        <f t="shared" ref="AB35:AB39" si="115">IF(AA35="","",IF(AA35=0,"",AC35/AA35))</f>
        <v/>
      </c>
      <c r="AC35" s="2568"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68">
        <f t="shared" ref="AI35:AI39" si="120">IF(P35="",0,VLOOKUP(P35,rettable,5,FALSE))</f>
        <v>0</v>
      </c>
      <c r="AJ35" s="2568"/>
      <c r="AK35" s="2284">
        <f t="shared" si="24"/>
        <v>0</v>
      </c>
      <c r="AL35" s="2583"/>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3" t="str">
        <f t="shared" si="100"/>
        <v/>
      </c>
      <c r="C36" s="2198" t="str">
        <f>IF(F36="","",IF('[1]Indoor Lighting'!$R$5="Yes","Yes","No"))</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67" t="str">
        <f>'W Light Exist'!H38</f>
        <v/>
      </c>
      <c r="T36" s="2579" t="str">
        <f t="shared" si="111"/>
        <v/>
      </c>
      <c r="U36" s="2580" t="str">
        <f>'W Light Exist'!J38</f>
        <v/>
      </c>
      <c r="V36" s="2086" t="str">
        <f>'W Light Exist'!K38</f>
        <v/>
      </c>
      <c r="W36" s="2086" t="str">
        <f t="shared" si="112"/>
        <v/>
      </c>
      <c r="X36" s="2086" t="str">
        <f t="shared" si="113"/>
        <v/>
      </c>
      <c r="Y36" s="2581" t="str">
        <f t="shared" si="114"/>
        <v/>
      </c>
      <c r="Z36" s="4"/>
      <c r="AA36" s="2582" t="str">
        <f>IF(P36="","",(X36*'R3 Hist'!$R$27)+(Y36*'R3 Hist'!$Q$27*12*$W$192))</f>
        <v/>
      </c>
      <c r="AB36" s="2556" t="str">
        <f t="shared" si="115"/>
        <v/>
      </c>
      <c r="AC36" s="2568" t="str">
        <f t="shared" si="116"/>
        <v/>
      </c>
      <c r="AD36" s="572"/>
      <c r="AE36" s="572" t="str">
        <f t="shared" si="117"/>
        <v/>
      </c>
      <c r="AF36" s="572" t="str">
        <f t="shared" si="118"/>
        <v/>
      </c>
      <c r="AG36" s="572"/>
      <c r="AH36" s="572">
        <f t="shared" si="119"/>
        <v>0</v>
      </c>
      <c r="AI36" s="2568">
        <f t="shared" si="120"/>
        <v>0</v>
      </c>
      <c r="AJ36" s="2568"/>
      <c r="AK36" s="2284">
        <f t="shared" si="24"/>
        <v>0</v>
      </c>
      <c r="AL36" s="2583"/>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3" t="str">
        <f t="shared" si="100"/>
        <v/>
      </c>
      <c r="C37" s="2198" t="str">
        <f>IF(F37="","",IF('[1]Indoor Lighting'!$R$6="Yes","Yes","No"))</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67" t="str">
        <f>'W Light Exist'!H39</f>
        <v/>
      </c>
      <c r="T37" s="2579" t="str">
        <f t="shared" si="111"/>
        <v/>
      </c>
      <c r="U37" s="2580" t="str">
        <f>'W Light Exist'!J39</f>
        <v/>
      </c>
      <c r="V37" s="2086" t="str">
        <f>'W Light Exist'!K39</f>
        <v/>
      </c>
      <c r="W37" s="2086" t="str">
        <f t="shared" si="112"/>
        <v/>
      </c>
      <c r="X37" s="2086" t="str">
        <f t="shared" si="113"/>
        <v/>
      </c>
      <c r="Y37" s="2581" t="str">
        <f t="shared" si="114"/>
        <v/>
      </c>
      <c r="Z37" s="4"/>
      <c r="AA37" s="2582" t="str">
        <f>IF(P37="","",(X37*'R3 Hist'!$R$27)+(Y37*'R3 Hist'!$Q$27*12*$W$192))</f>
        <v/>
      </c>
      <c r="AB37" s="2556" t="str">
        <f t="shared" si="115"/>
        <v/>
      </c>
      <c r="AC37" s="2568" t="str">
        <f t="shared" si="116"/>
        <v/>
      </c>
      <c r="AD37" s="572"/>
      <c r="AE37" s="572" t="str">
        <f t="shared" si="117"/>
        <v/>
      </c>
      <c r="AF37" s="572" t="str">
        <f t="shared" si="118"/>
        <v/>
      </c>
      <c r="AG37" s="572"/>
      <c r="AH37" s="572">
        <f t="shared" si="119"/>
        <v>0</v>
      </c>
      <c r="AI37" s="2568">
        <f t="shared" si="120"/>
        <v>0</v>
      </c>
      <c r="AJ37" s="2568"/>
      <c r="AK37" s="2284">
        <f t="shared" si="24"/>
        <v>0</v>
      </c>
      <c r="AL37" s="2583"/>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3" t="str">
        <f t="shared" si="100"/>
        <v/>
      </c>
      <c r="C38" s="2198" t="str">
        <f>IF(F38="","",IF('[1]Indoor Lighting'!$R$7="Yes","Yes","No"))</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67" t="str">
        <f>'W Light Exist'!H40</f>
        <v/>
      </c>
      <c r="T38" s="2579" t="str">
        <f t="shared" si="111"/>
        <v/>
      </c>
      <c r="U38" s="2580" t="str">
        <f>'W Light Exist'!J40</f>
        <v/>
      </c>
      <c r="V38" s="2086" t="str">
        <f>'W Light Exist'!K40</f>
        <v/>
      </c>
      <c r="W38" s="2086" t="str">
        <f t="shared" si="112"/>
        <v/>
      </c>
      <c r="X38" s="2086" t="str">
        <f t="shared" si="113"/>
        <v/>
      </c>
      <c r="Y38" s="2581" t="str">
        <f t="shared" si="114"/>
        <v/>
      </c>
      <c r="Z38" s="4"/>
      <c r="AA38" s="2582" t="str">
        <f>IF(P38="","",(X38*'R3 Hist'!$R$27)+(Y38*'R3 Hist'!$Q$27*12*$W$192))</f>
        <v/>
      </c>
      <c r="AB38" s="2556" t="str">
        <f t="shared" si="115"/>
        <v/>
      </c>
      <c r="AC38" s="2568" t="str">
        <f t="shared" si="116"/>
        <v/>
      </c>
      <c r="AD38" s="572"/>
      <c r="AE38" s="572" t="str">
        <f t="shared" si="117"/>
        <v/>
      </c>
      <c r="AF38" s="572" t="str">
        <f t="shared" si="118"/>
        <v/>
      </c>
      <c r="AG38" s="572"/>
      <c r="AH38" s="572">
        <f t="shared" si="119"/>
        <v>0</v>
      </c>
      <c r="AI38" s="2568">
        <f t="shared" si="120"/>
        <v>0</v>
      </c>
      <c r="AJ38" s="2568"/>
      <c r="AK38" s="2284">
        <f t="shared" si="24"/>
        <v>0</v>
      </c>
      <c r="AL38" s="2583"/>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3" t="str">
        <f t="shared" si="100"/>
        <v/>
      </c>
      <c r="C39" s="2198" t="str">
        <f>IF(F39="","",IF('[1]Indoor Lighting'!$R$8="Yes","Yes","No"))</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67" t="str">
        <f>'W Light Exist'!H41</f>
        <v/>
      </c>
      <c r="T39" s="2579" t="str">
        <f t="shared" si="111"/>
        <v/>
      </c>
      <c r="U39" s="2580" t="str">
        <f>'W Light Exist'!J41</f>
        <v/>
      </c>
      <c r="V39" s="2086" t="str">
        <f>'W Light Exist'!K41</f>
        <v/>
      </c>
      <c r="W39" s="2086" t="str">
        <f t="shared" si="112"/>
        <v/>
      </c>
      <c r="X39" s="2086" t="str">
        <f t="shared" si="113"/>
        <v/>
      </c>
      <c r="Y39" s="2581" t="str">
        <f t="shared" si="114"/>
        <v/>
      </c>
      <c r="Z39" s="4"/>
      <c r="AA39" s="2582" t="str">
        <f>IF(P39="","",(X39*'R3 Hist'!$R$27)+(Y39*'R3 Hist'!$Q$27*12*$W$192))</f>
        <v/>
      </c>
      <c r="AB39" s="2556" t="str">
        <f t="shared" si="115"/>
        <v/>
      </c>
      <c r="AC39" s="2568" t="str">
        <f t="shared" si="116"/>
        <v/>
      </c>
      <c r="AD39" s="572"/>
      <c r="AE39" s="572" t="str">
        <f t="shared" si="117"/>
        <v/>
      </c>
      <c r="AF39" s="572" t="str">
        <f t="shared" si="118"/>
        <v/>
      </c>
      <c r="AG39" s="572"/>
      <c r="AH39" s="572">
        <f t="shared" si="119"/>
        <v>0</v>
      </c>
      <c r="AI39" s="2568">
        <f t="shared" si="120"/>
        <v>0</v>
      </c>
      <c r="AJ39" s="2568"/>
      <c r="AK39" s="2284">
        <f t="shared" si="24"/>
        <v>0</v>
      </c>
      <c r="AL39" s="2583"/>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3" t="str">
        <f t="shared" ref="B40:B56" si="126">AR40</f>
        <v/>
      </c>
      <c r="C40" s="2198" t="str">
        <f>IF(F40="","",IF('[1]Indoor Lighting'!$R$9="Yes","Yes","No"))</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67" t="str">
        <f>'W Light Exist'!H42</f>
        <v/>
      </c>
      <c r="T40" s="2579" t="str">
        <f t="shared" ref="T40:T56" si="137">IF(Q40="",S40,R40*(VLOOKUP(Q40,lighting,7,FALSE)/1000))</f>
        <v/>
      </c>
      <c r="U40" s="2580" t="str">
        <f>'W Light Exist'!J42</f>
        <v/>
      </c>
      <c r="V40" s="2086" t="str">
        <f>'W Light Exist'!K42</f>
        <v/>
      </c>
      <c r="W40" s="2086" t="str">
        <f t="shared" ref="W40:W56" si="138">IF(T40="","",U40*T40)</f>
        <v/>
      </c>
      <c r="X40" s="2086" t="str">
        <f t="shared" ref="X40:X56" si="139">IF(V40="","",V40-W40)</f>
        <v/>
      </c>
      <c r="Y40" s="2581" t="str">
        <f t="shared" ref="Y40:Y56" si="140">IF(S40="","",S40-T40)</f>
        <v/>
      </c>
      <c r="Z40" s="4"/>
      <c r="AA40" s="2582" t="str">
        <f>IF(P40="","",(X40*'R3 Hist'!$R$27)+(Y40*'R3 Hist'!$Q$27*12*$W$192))</f>
        <v/>
      </c>
      <c r="AB40" s="2556" t="str">
        <f t="shared" ref="AB40:AB56" si="141">IF(AA40="","",IF(AA40=0,"",AC40/AA40))</f>
        <v/>
      </c>
      <c r="AC40" s="2568"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68">
        <f t="shared" ref="AI40:AI56" si="146">IF(P40="",0,VLOOKUP(P40,rettable,5,FALSE))</f>
        <v>0</v>
      </c>
      <c r="AJ40" s="2568"/>
      <c r="AK40" s="2284">
        <f t="shared" si="24"/>
        <v>0</v>
      </c>
      <c r="AL40" s="2583"/>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3" t="str">
        <f t="shared" si="126"/>
        <v/>
      </c>
      <c r="C41" s="2198" t="str">
        <f>IF(F41="","",IF('[1]Indoor Lighting'!$R$10="Yes","Yes","No"))</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67" t="str">
        <f>'W Light Exist'!H43</f>
        <v/>
      </c>
      <c r="T41" s="2579" t="str">
        <f t="shared" si="137"/>
        <v/>
      </c>
      <c r="U41" s="2580" t="str">
        <f>'W Light Exist'!J43</f>
        <v/>
      </c>
      <c r="V41" s="2086" t="str">
        <f>'W Light Exist'!K43</f>
        <v/>
      </c>
      <c r="W41" s="2086" t="str">
        <f t="shared" si="138"/>
        <v/>
      </c>
      <c r="X41" s="2086" t="str">
        <f t="shared" si="139"/>
        <v/>
      </c>
      <c r="Y41" s="2581" t="str">
        <f t="shared" si="140"/>
        <v/>
      </c>
      <c r="Z41" s="4"/>
      <c r="AA41" s="2582" t="str">
        <f>IF(P41="","",(X41*'R3 Hist'!$R$27)+(Y41*'R3 Hist'!$Q$27*12*$W$192))</f>
        <v/>
      </c>
      <c r="AB41" s="2556" t="str">
        <f t="shared" si="141"/>
        <v/>
      </c>
      <c r="AC41" s="2568" t="str">
        <f t="shared" si="142"/>
        <v/>
      </c>
      <c r="AD41" s="572"/>
      <c r="AE41" s="572" t="str">
        <f t="shared" si="143"/>
        <v/>
      </c>
      <c r="AF41" s="572" t="str">
        <f t="shared" si="144"/>
        <v/>
      </c>
      <c r="AG41" s="572"/>
      <c r="AH41" s="572">
        <f t="shared" si="145"/>
        <v>0</v>
      </c>
      <c r="AI41" s="2568">
        <f t="shared" si="146"/>
        <v>0</v>
      </c>
      <c r="AJ41" s="2568"/>
      <c r="AK41" s="2284">
        <f t="shared" si="24"/>
        <v>0</v>
      </c>
      <c r="AL41" s="2583"/>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3" t="str">
        <f t="shared" si="126"/>
        <v/>
      </c>
      <c r="C42" s="2198" t="str">
        <f>IF(F42="","",IF('[1]Indoor Lighting'!$R$11="Yes","Yes","No"))</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67" t="str">
        <f>'W Light Exist'!H44</f>
        <v/>
      </c>
      <c r="T42" s="2579" t="str">
        <f t="shared" si="137"/>
        <v/>
      </c>
      <c r="U42" s="2580" t="str">
        <f>'W Light Exist'!J44</f>
        <v/>
      </c>
      <c r="V42" s="2086" t="str">
        <f>'W Light Exist'!K44</f>
        <v/>
      </c>
      <c r="W42" s="2086" t="str">
        <f t="shared" si="138"/>
        <v/>
      </c>
      <c r="X42" s="2086" t="str">
        <f t="shared" si="139"/>
        <v/>
      </c>
      <c r="Y42" s="2581" t="str">
        <f t="shared" si="140"/>
        <v/>
      </c>
      <c r="Z42" s="4"/>
      <c r="AA42" s="2582" t="str">
        <f>IF(P42="","",(X42*'R3 Hist'!$R$27)+(Y42*'R3 Hist'!$Q$27*12*$W$192))</f>
        <v/>
      </c>
      <c r="AB42" s="2556" t="str">
        <f t="shared" si="141"/>
        <v/>
      </c>
      <c r="AC42" s="2568" t="str">
        <f t="shared" si="142"/>
        <v/>
      </c>
      <c r="AD42" s="572"/>
      <c r="AE42" s="572" t="str">
        <f t="shared" si="143"/>
        <v/>
      </c>
      <c r="AF42" s="572" t="str">
        <f t="shared" si="144"/>
        <v/>
      </c>
      <c r="AG42" s="572"/>
      <c r="AH42" s="572">
        <f t="shared" si="145"/>
        <v>0</v>
      </c>
      <c r="AI42" s="2568">
        <f t="shared" si="146"/>
        <v>0</v>
      </c>
      <c r="AJ42" s="2568"/>
      <c r="AK42" s="2284">
        <f t="shared" si="24"/>
        <v>0</v>
      </c>
      <c r="AL42" s="2583"/>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3" t="str">
        <f t="shared" si="126"/>
        <v/>
      </c>
      <c r="C43" s="2198" t="str">
        <f>IF(F43="","",IF('[1]Indoor Lighting'!$R$12="Yes","Yes","No"))</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67" t="str">
        <f>'W Light Exist'!H45</f>
        <v/>
      </c>
      <c r="T43" s="2579" t="str">
        <f t="shared" si="137"/>
        <v/>
      </c>
      <c r="U43" s="2580" t="str">
        <f>'W Light Exist'!J45</f>
        <v/>
      </c>
      <c r="V43" s="2086" t="str">
        <f>'W Light Exist'!K45</f>
        <v/>
      </c>
      <c r="W43" s="2086" t="str">
        <f t="shared" si="138"/>
        <v/>
      </c>
      <c r="X43" s="2086" t="str">
        <f t="shared" si="139"/>
        <v/>
      </c>
      <c r="Y43" s="2581" t="str">
        <f t="shared" si="140"/>
        <v/>
      </c>
      <c r="Z43" s="4"/>
      <c r="AA43" s="2582" t="str">
        <f>IF(P43="","",(X43*'R3 Hist'!$R$27)+(Y43*'R3 Hist'!$Q$27*12*$W$192))</f>
        <v/>
      </c>
      <c r="AB43" s="2556" t="str">
        <f t="shared" si="141"/>
        <v/>
      </c>
      <c r="AC43" s="2568" t="str">
        <f t="shared" si="142"/>
        <v/>
      </c>
      <c r="AD43" s="572"/>
      <c r="AE43" s="572" t="str">
        <f t="shared" si="143"/>
        <v/>
      </c>
      <c r="AF43" s="572" t="str">
        <f t="shared" si="144"/>
        <v/>
      </c>
      <c r="AG43" s="572"/>
      <c r="AH43" s="572">
        <f t="shared" si="145"/>
        <v>0</v>
      </c>
      <c r="AI43" s="2568">
        <f t="shared" si="146"/>
        <v>0</v>
      </c>
      <c r="AJ43" s="2568"/>
      <c r="AK43" s="2284">
        <f t="shared" si="24"/>
        <v>0</v>
      </c>
      <c r="AL43" s="2583"/>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3" t="str">
        <f t="shared" si="126"/>
        <v/>
      </c>
      <c r="C44" s="2198" t="str">
        <f>IF(F44="","",IF('[1]Indoor Lighting'!$R$13="Yes","Yes","No"))</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67" t="str">
        <f>'W Light Exist'!H46</f>
        <v/>
      </c>
      <c r="T44" s="2579" t="str">
        <f t="shared" si="137"/>
        <v/>
      </c>
      <c r="U44" s="2580" t="str">
        <f>'W Light Exist'!J46</f>
        <v/>
      </c>
      <c r="V44" s="2086" t="str">
        <f>'W Light Exist'!K46</f>
        <v/>
      </c>
      <c r="W44" s="2086" t="str">
        <f t="shared" si="138"/>
        <v/>
      </c>
      <c r="X44" s="2086" t="str">
        <f t="shared" si="139"/>
        <v/>
      </c>
      <c r="Y44" s="2581" t="str">
        <f t="shared" si="140"/>
        <v/>
      </c>
      <c r="Z44" s="4"/>
      <c r="AA44" s="2582" t="str">
        <f>IF(P44="","",(X44*'R3 Hist'!$R$27)+(Y44*'R3 Hist'!$Q$27*12*$W$192))</f>
        <v/>
      </c>
      <c r="AB44" s="2556" t="str">
        <f t="shared" si="141"/>
        <v/>
      </c>
      <c r="AC44" s="2568" t="str">
        <f t="shared" si="142"/>
        <v/>
      </c>
      <c r="AD44" s="572"/>
      <c r="AE44" s="572" t="str">
        <f t="shared" si="143"/>
        <v/>
      </c>
      <c r="AF44" s="572" t="str">
        <f t="shared" si="144"/>
        <v/>
      </c>
      <c r="AG44" s="572"/>
      <c r="AH44" s="572">
        <f t="shared" si="145"/>
        <v>0</v>
      </c>
      <c r="AI44" s="2568">
        <f t="shared" si="146"/>
        <v>0</v>
      </c>
      <c r="AJ44" s="2568"/>
      <c r="AK44" s="2284">
        <f t="shared" si="24"/>
        <v>0</v>
      </c>
      <c r="AL44" s="2583"/>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3" t="str">
        <f t="shared" si="126"/>
        <v/>
      </c>
      <c r="C45" s="2198" t="str">
        <f>IF(F45="","",IF('[1]Indoor Lighting'!$R$14="Yes","Yes","No"))</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67" t="str">
        <f>'W Light Exist'!H47</f>
        <v/>
      </c>
      <c r="T45" s="2579" t="str">
        <f t="shared" si="137"/>
        <v/>
      </c>
      <c r="U45" s="2580" t="str">
        <f>'W Light Exist'!J47</f>
        <v/>
      </c>
      <c r="V45" s="2086" t="str">
        <f>'W Light Exist'!K47</f>
        <v/>
      </c>
      <c r="W45" s="2086" t="str">
        <f t="shared" si="138"/>
        <v/>
      </c>
      <c r="X45" s="2086" t="str">
        <f t="shared" si="139"/>
        <v/>
      </c>
      <c r="Y45" s="2581" t="str">
        <f t="shared" si="140"/>
        <v/>
      </c>
      <c r="Z45" s="4"/>
      <c r="AA45" s="2582" t="str">
        <f>IF(P45="","",(X45*'R3 Hist'!$R$27)+(Y45*'R3 Hist'!$Q$27*12*$W$192))</f>
        <v/>
      </c>
      <c r="AB45" s="2556" t="str">
        <f t="shared" si="141"/>
        <v/>
      </c>
      <c r="AC45" s="2568" t="str">
        <f t="shared" si="142"/>
        <v/>
      </c>
      <c r="AD45" s="572"/>
      <c r="AE45" s="572" t="str">
        <f t="shared" si="143"/>
        <v/>
      </c>
      <c r="AF45" s="572" t="str">
        <f t="shared" si="144"/>
        <v/>
      </c>
      <c r="AG45" s="572"/>
      <c r="AH45" s="572">
        <f t="shared" si="145"/>
        <v>0</v>
      </c>
      <c r="AI45" s="2568">
        <f t="shared" si="146"/>
        <v>0</v>
      </c>
      <c r="AJ45" s="2568"/>
      <c r="AK45" s="2284">
        <f t="shared" si="24"/>
        <v>0</v>
      </c>
      <c r="AL45" s="2583"/>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3" t="str">
        <f t="shared" si="126"/>
        <v/>
      </c>
      <c r="C46" s="2198" t="str">
        <f>IF(F46="","",IF('[1]Indoor Lighting'!$R$15="Yes","Yes","No"))</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67" t="str">
        <f>'W Light Exist'!H48</f>
        <v/>
      </c>
      <c r="T46" s="2579" t="str">
        <f t="shared" ref="T46" si="161">IF(Q46="",S46,R46*(VLOOKUP(Q46,lighting,7,FALSE)/1000))</f>
        <v/>
      </c>
      <c r="U46" s="2580" t="str">
        <f>'W Light Exist'!J48</f>
        <v/>
      </c>
      <c r="V46" s="2086" t="str">
        <f>'W Light Exist'!K48</f>
        <v/>
      </c>
      <c r="W46" s="2086" t="str">
        <f t="shared" ref="W46" si="162">IF(T46="","",U46*T46)</f>
        <v/>
      </c>
      <c r="X46" s="2086" t="str">
        <f t="shared" ref="X46" si="163">IF(V46="","",V46-W46)</f>
        <v/>
      </c>
      <c r="Y46" s="2581" t="str">
        <f t="shared" ref="Y46" si="164">IF(S46="","",S46-T46)</f>
        <v/>
      </c>
      <c r="Z46" s="4"/>
      <c r="AA46" s="2582" t="str">
        <f>IF(P46="","",(X46*'R3 Hist'!$R$27)+(Y46*'R3 Hist'!$Q$27*12*$W$192))</f>
        <v/>
      </c>
      <c r="AB46" s="2556" t="str">
        <f t="shared" ref="AB46" si="165">IF(AA46="","",IF(AA46=0,"",AC46/AA46))</f>
        <v/>
      </c>
      <c r="AC46" s="2568"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68">
        <f t="shared" ref="AI46" si="170">IF(P46="",0,VLOOKUP(P46,rettable,5,FALSE))</f>
        <v>0</v>
      </c>
      <c r="AJ46" s="2568"/>
      <c r="AK46" s="2284">
        <f t="shared" ref="AK46" si="171">IFERROR(AE46*AI46, 0)</f>
        <v>0</v>
      </c>
      <c r="AL46" s="2583"/>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3"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67" t="str">
        <f>'W Light Exist'!H49</f>
        <v/>
      </c>
      <c r="T47" s="2579" t="str">
        <f t="shared" si="137"/>
        <v/>
      </c>
      <c r="U47" s="2580" t="str">
        <f>'W Light Exist'!J49</f>
        <v/>
      </c>
      <c r="V47" s="2086" t="str">
        <f>'W Light Exist'!K49</f>
        <v/>
      </c>
      <c r="W47" s="2086" t="str">
        <f t="shared" si="138"/>
        <v/>
      </c>
      <c r="X47" s="2086" t="str">
        <f t="shared" si="139"/>
        <v/>
      </c>
      <c r="Y47" s="2581" t="str">
        <f t="shared" si="140"/>
        <v/>
      </c>
      <c r="Z47" s="4"/>
      <c r="AA47" s="2582" t="str">
        <f>IF(P47="","",(X47*'R3 Hist'!$R$27)+(Y47*'R3 Hist'!$Q$27*12*$W$192))</f>
        <v/>
      </c>
      <c r="AB47" s="2556" t="str">
        <f t="shared" si="141"/>
        <v/>
      </c>
      <c r="AC47" s="2568" t="str">
        <f t="shared" si="142"/>
        <v/>
      </c>
      <c r="AD47" s="572"/>
      <c r="AE47" s="572" t="str">
        <f t="shared" si="143"/>
        <v/>
      </c>
      <c r="AF47" s="572" t="str">
        <f t="shared" si="144"/>
        <v/>
      </c>
      <c r="AG47" s="572"/>
      <c r="AH47" s="572">
        <f t="shared" si="145"/>
        <v>0</v>
      </c>
      <c r="AI47" s="2568">
        <f t="shared" si="146"/>
        <v>0</v>
      </c>
      <c r="AJ47" s="2568"/>
      <c r="AK47" s="2284">
        <f t="shared" si="24"/>
        <v>0</v>
      </c>
      <c r="AL47" s="2583"/>
      <c r="AM47" s="636"/>
      <c r="AN47" s="640">
        <v>39</v>
      </c>
      <c r="AO47" s="641" t="str">
        <f t="shared" si="123"/>
        <v/>
      </c>
      <c r="AP47" s="642" t="str">
        <f t="shared" si="124"/>
        <v/>
      </c>
      <c r="AQ47" s="642" t="str">
        <f t="shared" si="125"/>
        <v/>
      </c>
      <c r="AR47" s="643" t="str">
        <f>'W Light Exist'!L49</f>
        <v/>
      </c>
      <c r="AS47" s="2962"/>
      <c r="AT47" s="636" t="str">
        <f>'W Light Exist'!I49</f>
        <v/>
      </c>
      <c r="AU47" s="636"/>
      <c r="AV47" s="636"/>
      <c r="AW47" s="636"/>
      <c r="AX47" s="636"/>
      <c r="AY47" s="636"/>
      <c r="AZ47" s="636"/>
      <c r="BA47" s="636"/>
      <c r="BB47" s="636"/>
      <c r="BC47" s="636"/>
    </row>
    <row r="48" spans="1:55" ht="13.8">
      <c r="A48" s="500">
        <v>40</v>
      </c>
      <c r="B48" s="2723"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67" t="str">
        <f>'W Light Exist'!H50</f>
        <v/>
      </c>
      <c r="T48" s="2579" t="str">
        <f t="shared" si="137"/>
        <v/>
      </c>
      <c r="U48" s="2580" t="str">
        <f>'W Light Exist'!J50</f>
        <v/>
      </c>
      <c r="V48" s="2086" t="str">
        <f>'W Light Exist'!K50</f>
        <v/>
      </c>
      <c r="W48" s="2086" t="str">
        <f t="shared" si="138"/>
        <v/>
      </c>
      <c r="X48" s="2086" t="str">
        <f t="shared" si="139"/>
        <v/>
      </c>
      <c r="Y48" s="2581" t="str">
        <f t="shared" si="140"/>
        <v/>
      </c>
      <c r="Z48" s="4"/>
      <c r="AA48" s="2582" t="str">
        <f>IF(P48="","",(X48*'R3 Hist'!$R$27)+(Y48*'R3 Hist'!$Q$27*12*$W$192))</f>
        <v/>
      </c>
      <c r="AB48" s="2556" t="str">
        <f t="shared" si="141"/>
        <v/>
      </c>
      <c r="AC48" s="2568" t="str">
        <f t="shared" si="142"/>
        <v/>
      </c>
      <c r="AD48" s="572"/>
      <c r="AE48" s="572" t="str">
        <f t="shared" si="143"/>
        <v/>
      </c>
      <c r="AF48" s="572" t="str">
        <f t="shared" si="144"/>
        <v/>
      </c>
      <c r="AG48" s="572"/>
      <c r="AH48" s="572">
        <f t="shared" si="145"/>
        <v>0</v>
      </c>
      <c r="AI48" s="2568">
        <f t="shared" si="146"/>
        <v>0</v>
      </c>
      <c r="AJ48" s="2568"/>
      <c r="AK48" s="2284">
        <f t="shared" si="24"/>
        <v>0</v>
      </c>
      <c r="AL48" s="2583"/>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3"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67" t="str">
        <f>'W Light Exist'!H51</f>
        <v/>
      </c>
      <c r="T49" s="2579" t="str">
        <f t="shared" si="137"/>
        <v/>
      </c>
      <c r="U49" s="2580" t="str">
        <f>'W Light Exist'!J51</f>
        <v/>
      </c>
      <c r="V49" s="2086" t="str">
        <f>'W Light Exist'!K51</f>
        <v/>
      </c>
      <c r="W49" s="2086" t="str">
        <f t="shared" si="138"/>
        <v/>
      </c>
      <c r="X49" s="2086" t="str">
        <f t="shared" si="139"/>
        <v/>
      </c>
      <c r="Y49" s="2581" t="str">
        <f t="shared" si="140"/>
        <v/>
      </c>
      <c r="Z49" s="4"/>
      <c r="AA49" s="2582" t="str">
        <f>IF(P49="","",(X49*'R3 Hist'!$R$27)+(Y49*'R3 Hist'!$Q$27*12*$W$192))</f>
        <v/>
      </c>
      <c r="AB49" s="2556" t="str">
        <f t="shared" si="141"/>
        <v/>
      </c>
      <c r="AC49" s="2568" t="str">
        <f t="shared" si="142"/>
        <v/>
      </c>
      <c r="AD49" s="572"/>
      <c r="AE49" s="572" t="str">
        <f t="shared" si="143"/>
        <v/>
      </c>
      <c r="AF49" s="572" t="str">
        <f t="shared" si="144"/>
        <v/>
      </c>
      <c r="AG49" s="572"/>
      <c r="AH49" s="572">
        <f t="shared" si="145"/>
        <v>0</v>
      </c>
      <c r="AI49" s="2568">
        <f t="shared" si="146"/>
        <v>0</v>
      </c>
      <c r="AJ49" s="2568"/>
      <c r="AK49" s="2284">
        <f t="shared" si="24"/>
        <v>0</v>
      </c>
      <c r="AL49" s="2583"/>
      <c r="AM49" s="636"/>
      <c r="AN49" s="640">
        <v>41</v>
      </c>
      <c r="AO49" s="641" t="str">
        <f t="shared" si="123"/>
        <v/>
      </c>
      <c r="AP49" s="642" t="str">
        <f t="shared" si="124"/>
        <v/>
      </c>
      <c r="AQ49" s="642" t="str">
        <f t="shared" si="125"/>
        <v/>
      </c>
      <c r="AR49" s="643" t="str">
        <f>'W Light Exist'!L51</f>
        <v/>
      </c>
      <c r="AS49" s="2962"/>
      <c r="AT49" s="636" t="str">
        <f>'W Light Exist'!I51</f>
        <v/>
      </c>
      <c r="AU49" s="636"/>
      <c r="AV49" s="636"/>
      <c r="AW49" s="636"/>
      <c r="AX49" s="636"/>
      <c r="AY49" s="636"/>
      <c r="AZ49" s="636"/>
      <c r="BA49" s="636"/>
      <c r="BB49" s="636"/>
      <c r="BC49" s="636"/>
    </row>
    <row r="50" spans="1:55" ht="13.8">
      <c r="A50" s="500">
        <v>42</v>
      </c>
      <c r="B50" s="2723"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67" t="str">
        <f>'W Light Exist'!H52</f>
        <v/>
      </c>
      <c r="T50" s="2579" t="str">
        <f t="shared" si="137"/>
        <v/>
      </c>
      <c r="U50" s="2580" t="str">
        <f>'W Light Exist'!J52</f>
        <v/>
      </c>
      <c r="V50" s="2086" t="str">
        <f>'W Light Exist'!K52</f>
        <v/>
      </c>
      <c r="W50" s="2086" t="str">
        <f t="shared" si="138"/>
        <v/>
      </c>
      <c r="X50" s="2086" t="str">
        <f t="shared" si="139"/>
        <v/>
      </c>
      <c r="Y50" s="2581" t="str">
        <f t="shared" si="140"/>
        <v/>
      </c>
      <c r="Z50" s="4"/>
      <c r="AA50" s="2582" t="str">
        <f>IF(P50="","",(X50*'R3 Hist'!$R$27)+(Y50*'R3 Hist'!$Q$27*12*$W$192))</f>
        <v/>
      </c>
      <c r="AB50" s="2556" t="str">
        <f t="shared" si="141"/>
        <v/>
      </c>
      <c r="AC50" s="2568" t="str">
        <f t="shared" si="142"/>
        <v/>
      </c>
      <c r="AD50" s="572"/>
      <c r="AE50" s="572" t="str">
        <f t="shared" si="143"/>
        <v/>
      </c>
      <c r="AF50" s="572" t="str">
        <f t="shared" si="144"/>
        <v/>
      </c>
      <c r="AG50" s="572"/>
      <c r="AH50" s="572">
        <f t="shared" si="145"/>
        <v>0</v>
      </c>
      <c r="AI50" s="2568">
        <f t="shared" si="146"/>
        <v>0</v>
      </c>
      <c r="AJ50" s="2568"/>
      <c r="AK50" s="2284">
        <f t="shared" si="24"/>
        <v>0</v>
      </c>
      <c r="AL50" s="2583"/>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3"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67" t="str">
        <f>'W Light Exist'!H53</f>
        <v/>
      </c>
      <c r="T51" s="2579" t="str">
        <f t="shared" si="137"/>
        <v/>
      </c>
      <c r="U51" s="2580" t="str">
        <f>'W Light Exist'!J53</f>
        <v/>
      </c>
      <c r="V51" s="2086" t="str">
        <f>'W Light Exist'!K53</f>
        <v/>
      </c>
      <c r="W51" s="2086" t="str">
        <f t="shared" si="138"/>
        <v/>
      </c>
      <c r="X51" s="2086" t="str">
        <f t="shared" si="139"/>
        <v/>
      </c>
      <c r="Y51" s="2581" t="str">
        <f t="shared" si="140"/>
        <v/>
      </c>
      <c r="Z51" s="4"/>
      <c r="AA51" s="2582" t="str">
        <f>IF(P51="","",(X51*'R3 Hist'!$R$27)+(Y51*'R3 Hist'!$Q$27*12*$W$192))</f>
        <v/>
      </c>
      <c r="AB51" s="2556" t="str">
        <f t="shared" si="141"/>
        <v/>
      </c>
      <c r="AC51" s="2568" t="str">
        <f t="shared" si="142"/>
        <v/>
      </c>
      <c r="AD51" s="572"/>
      <c r="AE51" s="572" t="str">
        <f t="shared" si="143"/>
        <v/>
      </c>
      <c r="AF51" s="572" t="str">
        <f t="shared" si="144"/>
        <v/>
      </c>
      <c r="AG51" s="572"/>
      <c r="AH51" s="572">
        <f t="shared" si="145"/>
        <v>0</v>
      </c>
      <c r="AI51" s="2568">
        <f t="shared" si="146"/>
        <v>0</v>
      </c>
      <c r="AJ51" s="2568"/>
      <c r="AK51" s="2284">
        <f t="shared" si="24"/>
        <v>0</v>
      </c>
      <c r="AL51" s="2583"/>
      <c r="AM51" s="636"/>
      <c r="AN51" s="640">
        <v>43</v>
      </c>
      <c r="AO51" s="641" t="str">
        <f t="shared" si="123"/>
        <v/>
      </c>
      <c r="AP51" s="642" t="str">
        <f t="shared" si="124"/>
        <v/>
      </c>
      <c r="AQ51" s="642" t="str">
        <f t="shared" si="125"/>
        <v/>
      </c>
      <c r="AR51" s="643" t="str">
        <f>'W Light Exist'!L53</f>
        <v/>
      </c>
      <c r="AS51" s="2962"/>
      <c r="AT51" s="636" t="str">
        <f>'W Light Exist'!I53</f>
        <v/>
      </c>
      <c r="AU51" s="636"/>
      <c r="AV51" s="636"/>
      <c r="AW51" s="636"/>
      <c r="AX51" s="636"/>
      <c r="AY51" s="636"/>
      <c r="AZ51" s="636"/>
      <c r="BA51" s="636"/>
      <c r="BB51" s="636"/>
      <c r="BC51" s="636"/>
    </row>
    <row r="52" spans="1:55" ht="13.8">
      <c r="A52" s="500">
        <v>44</v>
      </c>
      <c r="B52" s="2723"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67" t="str">
        <f>'W Light Exist'!H54</f>
        <v/>
      </c>
      <c r="T52" s="2579" t="str">
        <f t="shared" si="137"/>
        <v/>
      </c>
      <c r="U52" s="2580" t="str">
        <f>'W Light Exist'!J54</f>
        <v/>
      </c>
      <c r="V52" s="2086" t="str">
        <f>'W Light Exist'!K54</f>
        <v/>
      </c>
      <c r="W52" s="2086" t="str">
        <f t="shared" si="138"/>
        <v/>
      </c>
      <c r="X52" s="2086" t="str">
        <f t="shared" si="139"/>
        <v/>
      </c>
      <c r="Y52" s="2581" t="str">
        <f t="shared" si="140"/>
        <v/>
      </c>
      <c r="Z52" s="4"/>
      <c r="AA52" s="2582" t="str">
        <f>IF(P52="","",(X52*'R3 Hist'!$R$27)+(Y52*'R3 Hist'!$Q$27*12*$W$192))</f>
        <v/>
      </c>
      <c r="AB52" s="2556" t="str">
        <f t="shared" si="141"/>
        <v/>
      </c>
      <c r="AC52" s="2568" t="str">
        <f t="shared" si="142"/>
        <v/>
      </c>
      <c r="AD52" s="572"/>
      <c r="AE52" s="572" t="str">
        <f t="shared" si="143"/>
        <v/>
      </c>
      <c r="AF52" s="572" t="str">
        <f t="shared" si="144"/>
        <v/>
      </c>
      <c r="AG52" s="572"/>
      <c r="AH52" s="572">
        <f t="shared" si="145"/>
        <v>0</v>
      </c>
      <c r="AI52" s="2568">
        <f t="shared" si="146"/>
        <v>0</v>
      </c>
      <c r="AJ52" s="2568"/>
      <c r="AK52" s="2284">
        <f t="shared" si="24"/>
        <v>0</v>
      </c>
      <c r="AL52" s="2583"/>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3"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67" t="str">
        <f>'W Light Exist'!H55</f>
        <v/>
      </c>
      <c r="T53" s="2579" t="str">
        <f t="shared" si="137"/>
        <v/>
      </c>
      <c r="U53" s="2580" t="str">
        <f>'W Light Exist'!J55</f>
        <v/>
      </c>
      <c r="V53" s="2086" t="str">
        <f>'W Light Exist'!K55</f>
        <v/>
      </c>
      <c r="W53" s="2086" t="str">
        <f t="shared" si="138"/>
        <v/>
      </c>
      <c r="X53" s="2086" t="str">
        <f t="shared" si="139"/>
        <v/>
      </c>
      <c r="Y53" s="2581" t="str">
        <f t="shared" si="140"/>
        <v/>
      </c>
      <c r="Z53" s="4"/>
      <c r="AA53" s="2582" t="str">
        <f>IF(P53="","",(X53*'R3 Hist'!$R$27)+(Y53*'R3 Hist'!$Q$27*12*$W$192))</f>
        <v/>
      </c>
      <c r="AB53" s="2556" t="str">
        <f t="shared" si="141"/>
        <v/>
      </c>
      <c r="AC53" s="2568" t="str">
        <f t="shared" si="142"/>
        <v/>
      </c>
      <c r="AD53" s="572"/>
      <c r="AE53" s="572" t="str">
        <f t="shared" si="143"/>
        <v/>
      </c>
      <c r="AF53" s="572" t="str">
        <f t="shared" si="144"/>
        <v/>
      </c>
      <c r="AG53" s="572"/>
      <c r="AH53" s="572">
        <f t="shared" si="145"/>
        <v>0</v>
      </c>
      <c r="AI53" s="2568">
        <f t="shared" si="146"/>
        <v>0</v>
      </c>
      <c r="AJ53" s="2568"/>
      <c r="AK53" s="2284">
        <f t="shared" si="24"/>
        <v>0</v>
      </c>
      <c r="AL53" s="2583"/>
      <c r="AM53" s="636"/>
      <c r="AN53" s="640">
        <v>45</v>
      </c>
      <c r="AO53" s="641" t="str">
        <f t="shared" si="123"/>
        <v/>
      </c>
      <c r="AP53" s="642" t="str">
        <f t="shared" si="124"/>
        <v/>
      </c>
      <c r="AQ53" s="642" t="str">
        <f t="shared" si="125"/>
        <v/>
      </c>
      <c r="AR53" s="643" t="str">
        <f>'W Light Exist'!L55</f>
        <v/>
      </c>
      <c r="AS53" s="2962"/>
      <c r="AT53" s="636" t="str">
        <f>'W Light Exist'!I55</f>
        <v/>
      </c>
      <c r="AU53" s="636"/>
      <c r="AV53" s="636"/>
      <c r="AW53" s="636"/>
      <c r="AX53" s="636"/>
      <c r="AY53" s="636"/>
      <c r="AZ53" s="636"/>
      <c r="BA53" s="636"/>
      <c r="BB53" s="636"/>
      <c r="BC53" s="636"/>
    </row>
    <row r="54" spans="1:55" ht="13.8">
      <c r="A54" s="500">
        <v>46</v>
      </c>
      <c r="B54" s="2723"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67" t="str">
        <f>'W Light Exist'!H56</f>
        <v/>
      </c>
      <c r="T54" s="2579" t="str">
        <f t="shared" si="137"/>
        <v/>
      </c>
      <c r="U54" s="2580" t="str">
        <f>'W Light Exist'!J56</f>
        <v/>
      </c>
      <c r="V54" s="2086" t="str">
        <f>'W Light Exist'!K56</f>
        <v/>
      </c>
      <c r="W54" s="2086" t="str">
        <f t="shared" si="138"/>
        <v/>
      </c>
      <c r="X54" s="2086" t="str">
        <f t="shared" si="139"/>
        <v/>
      </c>
      <c r="Y54" s="2581" t="str">
        <f t="shared" si="140"/>
        <v/>
      </c>
      <c r="Z54" s="4"/>
      <c r="AA54" s="2582" t="str">
        <f>IF(P54="","",(X54*'R3 Hist'!$R$27)+(Y54*'R3 Hist'!$Q$27*12*$W$192))</f>
        <v/>
      </c>
      <c r="AB54" s="2556" t="str">
        <f t="shared" si="141"/>
        <v/>
      </c>
      <c r="AC54" s="2568" t="str">
        <f t="shared" si="142"/>
        <v/>
      </c>
      <c r="AD54" s="572"/>
      <c r="AE54" s="572" t="str">
        <f t="shared" si="143"/>
        <v/>
      </c>
      <c r="AF54" s="572" t="str">
        <f t="shared" si="144"/>
        <v/>
      </c>
      <c r="AG54" s="572"/>
      <c r="AH54" s="572">
        <f t="shared" si="145"/>
        <v>0</v>
      </c>
      <c r="AI54" s="2568">
        <f t="shared" si="146"/>
        <v>0</v>
      </c>
      <c r="AJ54" s="2568"/>
      <c r="AK54" s="2284">
        <f t="shared" si="24"/>
        <v>0</v>
      </c>
      <c r="AL54" s="2583"/>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3"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67" t="str">
        <f>'W Light Exist'!H57</f>
        <v/>
      </c>
      <c r="T55" s="2579" t="str">
        <f t="shared" si="137"/>
        <v/>
      </c>
      <c r="U55" s="2580" t="str">
        <f>'W Light Exist'!J57</f>
        <v/>
      </c>
      <c r="V55" s="2086" t="str">
        <f>'W Light Exist'!K57</f>
        <v/>
      </c>
      <c r="W55" s="2086" t="str">
        <f t="shared" si="138"/>
        <v/>
      </c>
      <c r="X55" s="2086" t="str">
        <f t="shared" si="139"/>
        <v/>
      </c>
      <c r="Y55" s="2581" t="str">
        <f t="shared" si="140"/>
        <v/>
      </c>
      <c r="Z55" s="4"/>
      <c r="AA55" s="2582" t="str">
        <f>IF(P55="","",(X55*'R3 Hist'!$R$27)+(Y55*'R3 Hist'!$Q$27*12*$W$192))</f>
        <v/>
      </c>
      <c r="AB55" s="2556" t="str">
        <f t="shared" si="141"/>
        <v/>
      </c>
      <c r="AC55" s="2568" t="str">
        <f t="shared" si="142"/>
        <v/>
      </c>
      <c r="AD55" s="572"/>
      <c r="AE55" s="572" t="str">
        <f t="shared" si="143"/>
        <v/>
      </c>
      <c r="AF55" s="572" t="str">
        <f t="shared" si="144"/>
        <v/>
      </c>
      <c r="AG55" s="572"/>
      <c r="AH55" s="572">
        <f t="shared" si="145"/>
        <v>0</v>
      </c>
      <c r="AI55" s="2568">
        <f t="shared" si="146"/>
        <v>0</v>
      </c>
      <c r="AJ55" s="2568"/>
      <c r="AK55" s="2284">
        <f t="shared" si="24"/>
        <v>0</v>
      </c>
      <c r="AL55" s="2583"/>
      <c r="AM55" s="636"/>
      <c r="AN55" s="640">
        <v>47</v>
      </c>
      <c r="AO55" s="641" t="str">
        <f t="shared" si="123"/>
        <v/>
      </c>
      <c r="AP55" s="642" t="str">
        <f t="shared" si="124"/>
        <v/>
      </c>
      <c r="AQ55" s="642" t="str">
        <f t="shared" si="125"/>
        <v/>
      </c>
      <c r="AR55" s="643" t="str">
        <f>'W Light Exist'!L57</f>
        <v/>
      </c>
      <c r="AS55" s="2962"/>
      <c r="AT55" s="636" t="str">
        <f>'W Light Exist'!I57</f>
        <v/>
      </c>
      <c r="AU55" s="636"/>
      <c r="AV55" s="636"/>
      <c r="AW55" s="636"/>
      <c r="AX55" s="636"/>
      <c r="AY55" s="636"/>
      <c r="AZ55" s="636"/>
      <c r="BA55" s="636"/>
      <c r="BB55" s="636"/>
      <c r="BC55" s="636"/>
    </row>
    <row r="56" spans="1:55" ht="13.8">
      <c r="A56" s="500">
        <v>48</v>
      </c>
      <c r="B56" s="2723"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67" t="str">
        <f>'W Light Exist'!H58</f>
        <v/>
      </c>
      <c r="T56" s="2579" t="str">
        <f t="shared" si="137"/>
        <v/>
      </c>
      <c r="U56" s="2580" t="str">
        <f>'W Light Exist'!J58</f>
        <v/>
      </c>
      <c r="V56" s="2086" t="str">
        <f>'W Light Exist'!K58</f>
        <v/>
      </c>
      <c r="W56" s="2086" t="str">
        <f t="shared" si="138"/>
        <v/>
      </c>
      <c r="X56" s="2086" t="str">
        <f t="shared" si="139"/>
        <v/>
      </c>
      <c r="Y56" s="2581" t="str">
        <f t="shared" si="140"/>
        <v/>
      </c>
      <c r="Z56" s="4"/>
      <c r="AA56" s="2582" t="str">
        <f>IF(P56="","",(X56*'R3 Hist'!$R$27)+(Y56*'R3 Hist'!$Q$27*12*$W$192))</f>
        <v/>
      </c>
      <c r="AB56" s="2556" t="str">
        <f t="shared" si="141"/>
        <v/>
      </c>
      <c r="AC56" s="2568" t="str">
        <f t="shared" si="142"/>
        <v/>
      </c>
      <c r="AD56" s="572"/>
      <c r="AE56" s="572" t="str">
        <f t="shared" si="143"/>
        <v/>
      </c>
      <c r="AF56" s="572" t="str">
        <f t="shared" si="144"/>
        <v/>
      </c>
      <c r="AG56" s="572"/>
      <c r="AH56" s="572">
        <f t="shared" si="145"/>
        <v>0</v>
      </c>
      <c r="AI56" s="2568">
        <f t="shared" si="146"/>
        <v>0</v>
      </c>
      <c r="AJ56" s="2568"/>
      <c r="AK56" s="2284">
        <f t="shared" si="24"/>
        <v>0</v>
      </c>
      <c r="AL56" s="2583"/>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6"/>
      <c r="C57" s="518"/>
      <c r="D57" s="500">
        <f>IF(C57="Yes",1+D51,0+D51)</f>
        <v>0</v>
      </c>
      <c r="E57" s="500">
        <f>IF(D57&gt;D51,D57,0)</f>
        <v>0</v>
      </c>
      <c r="F57" s="517"/>
      <c r="G57" s="2584"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6"/>
      <c r="S57" s="2577"/>
      <c r="T57" s="2585"/>
      <c r="U57" s="2586"/>
      <c r="V57" s="2587"/>
      <c r="W57" s="2587"/>
      <c r="X57" s="2587"/>
      <c r="Y57" s="2588"/>
      <c r="Z57" s="517"/>
      <c r="AA57" s="2589" t="str">
        <f>IF(P57="","",(X57*'R3 Hist'!$R$27)+(Y57*'R3 Hist'!$Q$27*12*$W$192))</f>
        <v/>
      </c>
      <c r="AB57" s="2590" t="str">
        <f t="shared" si="6"/>
        <v/>
      </c>
      <c r="AC57" s="2578"/>
      <c r="AD57" s="2576"/>
      <c r="AE57" s="2576"/>
      <c r="AF57" s="2576" t="str">
        <f t="shared" si="90"/>
        <v/>
      </c>
      <c r="AG57" s="2576"/>
      <c r="AH57" s="2576"/>
      <c r="AI57" s="2578"/>
      <c r="AJ57" s="2578"/>
      <c r="AK57" s="2591"/>
      <c r="AL57" s="2583"/>
      <c r="AM57" s="659" t="s">
        <v>2648</v>
      </c>
      <c r="AN57" s="3393" t="str">
        <f>'W Light Exist'!B59</f>
        <v>Linear fluorescent lamps and fixtures</v>
      </c>
      <c r="AO57" s="3394"/>
      <c r="AP57" s="3394"/>
      <c r="AQ57" s="3394"/>
      <c r="AR57" s="643" t="str">
        <f>'W Light Exist'!B59</f>
        <v>Linear fluorescent lamps and fixtures</v>
      </c>
      <c r="AS57" s="2963"/>
      <c r="AT57" s="636"/>
      <c r="AU57" s="636"/>
      <c r="AV57" s="636"/>
      <c r="AW57" s="636"/>
      <c r="AX57" s="636"/>
      <c r="AY57" s="636"/>
      <c r="AZ57" s="636"/>
      <c r="BA57" s="636"/>
      <c r="BB57" s="636"/>
      <c r="BC57" s="636"/>
    </row>
    <row r="58" spans="1:55" ht="13.8">
      <c r="A58" s="500">
        <v>49</v>
      </c>
      <c r="B58" s="2723" t="str">
        <f t="shared" si="14"/>
        <v/>
      </c>
      <c r="C58" s="2198" t="str">
        <f>IF(F58="","",IF('[1]Indoor Lighting'!$R$2="Yes","Yes","No"))</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67" t="str">
        <f>'W Light Exist'!H60</f>
        <v/>
      </c>
      <c r="T58" s="2579" t="str">
        <f t="shared" ref="T58:T61" si="178">IF(Q58="",S58,R58*(VLOOKUP(Q58,lighting,7,FALSE)/1000))</f>
        <v/>
      </c>
      <c r="U58" s="2580" t="str">
        <f>'W Light Exist'!J60</f>
        <v/>
      </c>
      <c r="V58" s="2086" t="str">
        <f>'W Light Exist'!K60</f>
        <v/>
      </c>
      <c r="W58" s="2086" t="str">
        <f t="shared" ref="W58:W61" si="179">IF(T58="","",U58*T58)</f>
        <v/>
      </c>
      <c r="X58" s="2086" t="str">
        <f t="shared" ref="X58:X61" si="180">IF(V58="","",V58-W58)</f>
        <v/>
      </c>
      <c r="Y58" s="2581" t="str">
        <f t="shared" ref="Y58:Y61" si="181">IF(S58="","",S58-T58)</f>
        <v/>
      </c>
      <c r="Z58" s="4"/>
      <c r="AA58" s="2582" t="str">
        <f>IF(P58="","",(X58*'R3 Hist'!$R$27)+(Y58*'R3 Hist'!$Q$27*12*$W$192))</f>
        <v/>
      </c>
      <c r="AB58" s="2556" t="str">
        <f t="shared" si="6"/>
        <v/>
      </c>
      <c r="AC58" s="2568" t="str">
        <f t="shared" ref="AC58:AC94" si="182">IF(P58="","",R58*VLOOKUP(P58,rettable,4,FALSE))</f>
        <v/>
      </c>
      <c r="AD58" s="572"/>
      <c r="AE58" s="572" t="str">
        <f t="shared" ref="AE58:AE61" si="183">R58</f>
        <v/>
      </c>
      <c r="AF58" s="572" t="str">
        <f t="shared" si="90"/>
        <v/>
      </c>
      <c r="AG58" s="572"/>
      <c r="AH58" s="572">
        <f t="shared" ref="AH58:AH61" si="184">IF(AF58="",0,AF58*AE58)</f>
        <v>0</v>
      </c>
      <c r="AI58" s="2568">
        <f t="shared" ref="AI58:AI61" si="185">IF(P58="",0,VLOOKUP(P58,rettable,5,FALSE))</f>
        <v>0</v>
      </c>
      <c r="AJ58" s="2568"/>
      <c r="AK58" s="2284">
        <f t="shared" si="24"/>
        <v>0</v>
      </c>
      <c r="AL58" s="2583"/>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3" t="str">
        <f t="shared" si="14"/>
        <v/>
      </c>
      <c r="C59" s="2198" t="str">
        <f>IF(F59="","",IF('[1]Indoor Lighting'!$R$3="Yes","Yes","No"))</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67" t="str">
        <f>'W Light Exist'!H61</f>
        <v/>
      </c>
      <c r="T59" s="2579" t="str">
        <f t="shared" si="178"/>
        <v/>
      </c>
      <c r="U59" s="2580" t="str">
        <f>'W Light Exist'!J61</f>
        <v/>
      </c>
      <c r="V59" s="2086" t="str">
        <f>'W Light Exist'!K61</f>
        <v/>
      </c>
      <c r="W59" s="2086" t="str">
        <f t="shared" si="179"/>
        <v/>
      </c>
      <c r="X59" s="2086" t="str">
        <f t="shared" si="180"/>
        <v/>
      </c>
      <c r="Y59" s="2581" t="str">
        <f t="shared" si="181"/>
        <v/>
      </c>
      <c r="Z59" s="4"/>
      <c r="AA59" s="2582" t="str">
        <f>IF(P59="","",(X59*'R3 Hist'!$R$27)+(Y59*'R3 Hist'!$Q$27*12*$W$192))</f>
        <v/>
      </c>
      <c r="AB59" s="2556" t="str">
        <f t="shared" si="6"/>
        <v/>
      </c>
      <c r="AC59" s="2568" t="str">
        <f t="shared" si="182"/>
        <v/>
      </c>
      <c r="AD59" s="572"/>
      <c r="AE59" s="572" t="str">
        <f t="shared" si="183"/>
        <v/>
      </c>
      <c r="AF59" s="572" t="str">
        <f t="shared" si="90"/>
        <v/>
      </c>
      <c r="AG59" s="572"/>
      <c r="AH59" s="572">
        <f t="shared" si="184"/>
        <v>0</v>
      </c>
      <c r="AI59" s="2568">
        <f t="shared" si="185"/>
        <v>0</v>
      </c>
      <c r="AJ59" s="2568"/>
      <c r="AK59" s="2284">
        <f t="shared" si="24"/>
        <v>0</v>
      </c>
      <c r="AL59" s="2583"/>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3" t="str">
        <f t="shared" si="14"/>
        <v/>
      </c>
      <c r="C60" s="2198" t="str">
        <f>IF(F60="","",IF('[1]Indoor Lighting'!$R$4="Yes","Yes","No"))</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67" t="str">
        <f>'W Light Exist'!H62</f>
        <v/>
      </c>
      <c r="T60" s="2579" t="str">
        <f t="shared" si="178"/>
        <v/>
      </c>
      <c r="U60" s="2580" t="str">
        <f>'W Light Exist'!J62</f>
        <v/>
      </c>
      <c r="V60" s="2086" t="str">
        <f>'W Light Exist'!K62</f>
        <v/>
      </c>
      <c r="W60" s="2086" t="str">
        <f t="shared" si="179"/>
        <v/>
      </c>
      <c r="X60" s="2086" t="str">
        <f t="shared" si="180"/>
        <v/>
      </c>
      <c r="Y60" s="2581" t="str">
        <f t="shared" si="181"/>
        <v/>
      </c>
      <c r="Z60" s="4"/>
      <c r="AA60" s="2582" t="str">
        <f>IF(P60="","",(X60*'R3 Hist'!$R$27)+(Y60*'R3 Hist'!$Q$27*12*$W$192))</f>
        <v/>
      </c>
      <c r="AB60" s="2556" t="str">
        <f t="shared" si="6"/>
        <v/>
      </c>
      <c r="AC60" s="2568" t="str">
        <f t="shared" si="182"/>
        <v/>
      </c>
      <c r="AD60" s="572"/>
      <c r="AE60" s="572" t="str">
        <f t="shared" si="183"/>
        <v/>
      </c>
      <c r="AF60" s="572" t="str">
        <f t="shared" si="90"/>
        <v/>
      </c>
      <c r="AG60" s="572"/>
      <c r="AH60" s="572">
        <f t="shared" si="184"/>
        <v>0</v>
      </c>
      <c r="AI60" s="2568">
        <f t="shared" si="185"/>
        <v>0</v>
      </c>
      <c r="AJ60" s="2568"/>
      <c r="AK60" s="2284">
        <f t="shared" si="24"/>
        <v>0</v>
      </c>
      <c r="AL60" s="2583"/>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3" t="str">
        <f t="shared" si="14"/>
        <v/>
      </c>
      <c r="C61" s="2198" t="str">
        <f>IF(F61="","",IF('[1]Indoor Lighting'!$R$5="Yes","Yes","No"))</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67" t="str">
        <f>'W Light Exist'!H63</f>
        <v/>
      </c>
      <c r="T61" s="2579" t="str">
        <f t="shared" si="178"/>
        <v/>
      </c>
      <c r="U61" s="2580" t="str">
        <f>'W Light Exist'!J63</f>
        <v/>
      </c>
      <c r="V61" s="2086" t="str">
        <f>'W Light Exist'!K63</f>
        <v/>
      </c>
      <c r="W61" s="2086" t="str">
        <f t="shared" si="179"/>
        <v/>
      </c>
      <c r="X61" s="2086" t="str">
        <f t="shared" si="180"/>
        <v/>
      </c>
      <c r="Y61" s="2581" t="str">
        <f t="shared" si="181"/>
        <v/>
      </c>
      <c r="Z61" s="4"/>
      <c r="AA61" s="2582" t="str">
        <f>IF(P61="","",(X61*'R3 Hist'!$R$27)+(Y61*'R3 Hist'!$Q$27*12*$W$192))</f>
        <v/>
      </c>
      <c r="AB61" s="2556" t="str">
        <f t="shared" si="6"/>
        <v/>
      </c>
      <c r="AC61" s="2568" t="str">
        <f t="shared" si="182"/>
        <v/>
      </c>
      <c r="AD61" s="572"/>
      <c r="AE61" s="572" t="str">
        <f t="shared" si="183"/>
        <v/>
      </c>
      <c r="AF61" s="572" t="str">
        <f t="shared" si="90"/>
        <v/>
      </c>
      <c r="AG61" s="572"/>
      <c r="AH61" s="572">
        <f t="shared" si="184"/>
        <v>0</v>
      </c>
      <c r="AI61" s="2568">
        <f t="shared" si="185"/>
        <v>0</v>
      </c>
      <c r="AJ61" s="2568"/>
      <c r="AK61" s="2284">
        <f t="shared" si="24"/>
        <v>0</v>
      </c>
      <c r="AL61" s="2583"/>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3" t="str">
        <f t="shared" ref="B62:B81" si="194">AR62</f>
        <v/>
      </c>
      <c r="C62" s="2198" t="str">
        <f>IF(F62="","",IF('[1]Indoor Lighting'!$R$6="Yes","Yes","No"))</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67" t="str">
        <f>'W Light Exist'!H64</f>
        <v/>
      </c>
      <c r="T62" s="2579" t="str">
        <f t="shared" ref="T62:T69" si="205">IF(Q62="",S62,R62*(VLOOKUP(Q62,lighting,7,FALSE)/1000))</f>
        <v/>
      </c>
      <c r="U62" s="2580" t="str">
        <f>'W Light Exist'!J64</f>
        <v/>
      </c>
      <c r="V62" s="2086" t="str">
        <f>'W Light Exist'!K64</f>
        <v/>
      </c>
      <c r="W62" s="2086" t="str">
        <f t="shared" ref="W62:W69" si="206">IF(T62="","",U62*T62)</f>
        <v/>
      </c>
      <c r="X62" s="2086" t="str">
        <f t="shared" ref="X62:X69" si="207">IF(V62="","",V62-W62)</f>
        <v/>
      </c>
      <c r="Y62" s="2581" t="str">
        <f t="shared" ref="Y62:Y69" si="208">IF(S62="","",S62-T62)</f>
        <v/>
      </c>
      <c r="Z62" s="4"/>
      <c r="AA62" s="2582" t="str">
        <f>IF(P62="","",(X62*'R3 Hist'!$R$27)+(Y62*'R3 Hist'!$Q$27*12*$W$192))</f>
        <v/>
      </c>
      <c r="AB62" s="2556" t="str">
        <f t="shared" ref="AB62:AB69" si="209">IF(AA62="","",IF(AA62=0,"",AC62/AA62))</f>
        <v/>
      </c>
      <c r="AC62" s="2568"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68">
        <f t="shared" ref="AI62:AI69" si="214">IF(P62="",0,VLOOKUP(P62,rettable,5,FALSE))</f>
        <v>0</v>
      </c>
      <c r="AJ62" s="2568"/>
      <c r="AK62" s="2284">
        <f t="shared" si="24"/>
        <v>0</v>
      </c>
      <c r="AL62" s="2583"/>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3" t="str">
        <f t="shared" si="194"/>
        <v/>
      </c>
      <c r="C63" s="2198" t="str">
        <f>IF(F63="","",IF('[1]Indoor Lighting'!$R$7="Yes","Yes","No"))</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67" t="str">
        <f>'W Light Exist'!H65</f>
        <v/>
      </c>
      <c r="T63" s="2579" t="str">
        <f t="shared" si="205"/>
        <v/>
      </c>
      <c r="U63" s="2580" t="str">
        <f>'W Light Exist'!J65</f>
        <v/>
      </c>
      <c r="V63" s="2086" t="str">
        <f>'W Light Exist'!K65</f>
        <v/>
      </c>
      <c r="W63" s="2086" t="str">
        <f t="shared" si="206"/>
        <v/>
      </c>
      <c r="X63" s="2086" t="str">
        <f t="shared" si="207"/>
        <v/>
      </c>
      <c r="Y63" s="2581" t="str">
        <f t="shared" si="208"/>
        <v/>
      </c>
      <c r="Z63" s="4"/>
      <c r="AA63" s="2582" t="str">
        <f>IF(P63="","",(X63*'R3 Hist'!$R$27)+(Y63*'R3 Hist'!$Q$27*12*$W$192))</f>
        <v/>
      </c>
      <c r="AB63" s="2556" t="str">
        <f t="shared" si="209"/>
        <v/>
      </c>
      <c r="AC63" s="2568" t="str">
        <f t="shared" si="210"/>
        <v/>
      </c>
      <c r="AD63" s="572"/>
      <c r="AE63" s="572" t="str">
        <f t="shared" si="211"/>
        <v/>
      </c>
      <c r="AF63" s="572" t="str">
        <f t="shared" si="212"/>
        <v/>
      </c>
      <c r="AG63" s="572"/>
      <c r="AH63" s="572">
        <f t="shared" si="213"/>
        <v>0</v>
      </c>
      <c r="AI63" s="2568">
        <f t="shared" si="214"/>
        <v>0</v>
      </c>
      <c r="AJ63" s="2568"/>
      <c r="AK63" s="2284">
        <f t="shared" si="24"/>
        <v>0</v>
      </c>
      <c r="AL63" s="2583"/>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3" t="str">
        <f t="shared" si="194"/>
        <v/>
      </c>
      <c r="C64" s="2198" t="str">
        <f>IF(F64="","",IF('[1]Indoor Lighting'!$R$8="Yes","Yes","No"))</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67" t="str">
        <f>'W Light Exist'!H66</f>
        <v/>
      </c>
      <c r="T64" s="2579" t="str">
        <f t="shared" si="205"/>
        <v/>
      </c>
      <c r="U64" s="2580" t="str">
        <f>'W Light Exist'!J66</f>
        <v/>
      </c>
      <c r="V64" s="2086" t="str">
        <f>'W Light Exist'!K66</f>
        <v/>
      </c>
      <c r="W64" s="2086" t="str">
        <f t="shared" si="206"/>
        <v/>
      </c>
      <c r="X64" s="2086" t="str">
        <f t="shared" si="207"/>
        <v/>
      </c>
      <c r="Y64" s="2581" t="str">
        <f t="shared" si="208"/>
        <v/>
      </c>
      <c r="Z64" s="4"/>
      <c r="AA64" s="2582" t="str">
        <f>IF(P64="","",(X64*'R3 Hist'!$R$27)+(Y64*'R3 Hist'!$Q$27*12*$W$192))</f>
        <v/>
      </c>
      <c r="AB64" s="2556" t="str">
        <f t="shared" si="209"/>
        <v/>
      </c>
      <c r="AC64" s="2568" t="str">
        <f t="shared" si="210"/>
        <v/>
      </c>
      <c r="AD64" s="572"/>
      <c r="AE64" s="572" t="str">
        <f t="shared" si="211"/>
        <v/>
      </c>
      <c r="AF64" s="572" t="str">
        <f t="shared" si="212"/>
        <v/>
      </c>
      <c r="AG64" s="572"/>
      <c r="AH64" s="572">
        <f t="shared" si="213"/>
        <v>0</v>
      </c>
      <c r="AI64" s="2568">
        <f t="shared" si="214"/>
        <v>0</v>
      </c>
      <c r="AJ64" s="2568"/>
      <c r="AK64" s="2284">
        <f t="shared" si="24"/>
        <v>0</v>
      </c>
      <c r="AL64" s="2583"/>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3" t="str">
        <f t="shared" si="194"/>
        <v/>
      </c>
      <c r="C65" s="2198" t="str">
        <f>IF(F65="","",IF('[1]Indoor Lighting'!$R$9="Yes","Yes","No"))</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67" t="str">
        <f>'W Light Exist'!H67</f>
        <v/>
      </c>
      <c r="T65" s="2579" t="str">
        <f t="shared" si="205"/>
        <v/>
      </c>
      <c r="U65" s="2580" t="str">
        <f>'W Light Exist'!J67</f>
        <v/>
      </c>
      <c r="V65" s="2086" t="str">
        <f>'W Light Exist'!K67</f>
        <v/>
      </c>
      <c r="W65" s="2086" t="str">
        <f t="shared" si="206"/>
        <v/>
      </c>
      <c r="X65" s="2086" t="str">
        <f t="shared" si="207"/>
        <v/>
      </c>
      <c r="Y65" s="2581" t="str">
        <f t="shared" si="208"/>
        <v/>
      </c>
      <c r="Z65" s="4"/>
      <c r="AA65" s="2582" t="str">
        <f>IF(P65="","",(X65*'R3 Hist'!$R$27)+(Y65*'R3 Hist'!$Q$27*12*$W$192))</f>
        <v/>
      </c>
      <c r="AB65" s="2556" t="str">
        <f t="shared" si="209"/>
        <v/>
      </c>
      <c r="AC65" s="2568" t="str">
        <f t="shared" si="210"/>
        <v/>
      </c>
      <c r="AD65" s="572"/>
      <c r="AE65" s="572" t="str">
        <f t="shared" si="211"/>
        <v/>
      </c>
      <c r="AF65" s="572" t="str">
        <f t="shared" si="212"/>
        <v/>
      </c>
      <c r="AG65" s="572"/>
      <c r="AH65" s="572">
        <f t="shared" si="213"/>
        <v>0</v>
      </c>
      <c r="AI65" s="2568">
        <f t="shared" si="214"/>
        <v>0</v>
      </c>
      <c r="AJ65" s="2568"/>
      <c r="AK65" s="2284">
        <f t="shared" si="24"/>
        <v>0</v>
      </c>
      <c r="AL65" s="2583"/>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3" t="str">
        <f t="shared" si="194"/>
        <v/>
      </c>
      <c r="C66" s="2198" t="str">
        <f>IF(F66="","",IF('[1]Indoor Lighting'!$R$10="Yes","Yes","No"))</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67" t="str">
        <f>'W Light Exist'!H68</f>
        <v/>
      </c>
      <c r="T66" s="2579" t="str">
        <f t="shared" si="205"/>
        <v/>
      </c>
      <c r="U66" s="2580" t="str">
        <f>'W Light Exist'!J68</f>
        <v/>
      </c>
      <c r="V66" s="2086" t="str">
        <f>'W Light Exist'!K68</f>
        <v/>
      </c>
      <c r="W66" s="2086" t="str">
        <f t="shared" si="206"/>
        <v/>
      </c>
      <c r="X66" s="2086" t="str">
        <f t="shared" si="207"/>
        <v/>
      </c>
      <c r="Y66" s="2581" t="str">
        <f t="shared" si="208"/>
        <v/>
      </c>
      <c r="Z66" s="4"/>
      <c r="AA66" s="2582" t="str">
        <f>IF(P66="","",(X66*'R3 Hist'!$R$27)+(Y66*'R3 Hist'!$Q$27*12*$W$192))</f>
        <v/>
      </c>
      <c r="AB66" s="2556" t="str">
        <f t="shared" si="209"/>
        <v/>
      </c>
      <c r="AC66" s="2568" t="str">
        <f t="shared" si="210"/>
        <v/>
      </c>
      <c r="AD66" s="572"/>
      <c r="AE66" s="572" t="str">
        <f t="shared" si="211"/>
        <v/>
      </c>
      <c r="AF66" s="572" t="str">
        <f t="shared" si="212"/>
        <v/>
      </c>
      <c r="AG66" s="572"/>
      <c r="AH66" s="572">
        <f t="shared" si="213"/>
        <v>0</v>
      </c>
      <c r="AI66" s="2568">
        <f t="shared" si="214"/>
        <v>0</v>
      </c>
      <c r="AJ66" s="2568"/>
      <c r="AK66" s="2284">
        <f t="shared" si="24"/>
        <v>0</v>
      </c>
      <c r="AL66" s="2583"/>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3" t="str">
        <f t="shared" si="194"/>
        <v/>
      </c>
      <c r="C67" s="2198" t="str">
        <f>IF(F67="","",IF('[1]Indoor Lighting'!$R$11="Yes","Yes","No"))</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67" t="str">
        <f>'W Light Exist'!H69</f>
        <v/>
      </c>
      <c r="T67" s="2579" t="str">
        <f t="shared" si="205"/>
        <v/>
      </c>
      <c r="U67" s="2580" t="str">
        <f>'W Light Exist'!J69</f>
        <v/>
      </c>
      <c r="V67" s="2086" t="str">
        <f>'W Light Exist'!K69</f>
        <v/>
      </c>
      <c r="W67" s="2086" t="str">
        <f t="shared" si="206"/>
        <v/>
      </c>
      <c r="X67" s="2086" t="str">
        <f t="shared" si="207"/>
        <v/>
      </c>
      <c r="Y67" s="2581" t="str">
        <f t="shared" si="208"/>
        <v/>
      </c>
      <c r="Z67" s="4"/>
      <c r="AA67" s="2582" t="str">
        <f>IF(P67="","",(X67*'R3 Hist'!$R$27)+(Y67*'R3 Hist'!$Q$27*12*$W$192))</f>
        <v/>
      </c>
      <c r="AB67" s="2556" t="str">
        <f t="shared" si="209"/>
        <v/>
      </c>
      <c r="AC67" s="2568" t="str">
        <f t="shared" si="210"/>
        <v/>
      </c>
      <c r="AD67" s="572"/>
      <c r="AE67" s="572" t="str">
        <f t="shared" si="211"/>
        <v/>
      </c>
      <c r="AF67" s="572" t="str">
        <f t="shared" si="212"/>
        <v/>
      </c>
      <c r="AG67" s="572"/>
      <c r="AH67" s="572">
        <f t="shared" si="213"/>
        <v>0</v>
      </c>
      <c r="AI67" s="2568">
        <f t="shared" si="214"/>
        <v>0</v>
      </c>
      <c r="AJ67" s="2568"/>
      <c r="AK67" s="2284">
        <f t="shared" si="24"/>
        <v>0</v>
      </c>
      <c r="AL67" s="2583"/>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3" t="str">
        <f t="shared" si="194"/>
        <v/>
      </c>
      <c r="C68" s="2198" t="str">
        <f>IF(F68="","",IF('[1]Indoor Lighting'!$R$12="Yes","Yes","No"))</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67" t="str">
        <f>'W Light Exist'!H70</f>
        <v/>
      </c>
      <c r="T68" s="2579" t="str">
        <f t="shared" si="205"/>
        <v/>
      </c>
      <c r="U68" s="2580" t="str">
        <f>'W Light Exist'!J70</f>
        <v/>
      </c>
      <c r="V68" s="2086" t="str">
        <f>'W Light Exist'!K70</f>
        <v/>
      </c>
      <c r="W68" s="2086" t="str">
        <f t="shared" si="206"/>
        <v/>
      </c>
      <c r="X68" s="2086" t="str">
        <f t="shared" si="207"/>
        <v/>
      </c>
      <c r="Y68" s="2581" t="str">
        <f t="shared" si="208"/>
        <v/>
      </c>
      <c r="Z68" s="4"/>
      <c r="AA68" s="2582" t="str">
        <f>IF(P68="","",(X68*'R3 Hist'!$R$27)+(Y68*'R3 Hist'!$Q$27*12*$W$192))</f>
        <v/>
      </c>
      <c r="AB68" s="2556" t="str">
        <f t="shared" si="209"/>
        <v/>
      </c>
      <c r="AC68" s="2568" t="str">
        <f t="shared" si="210"/>
        <v/>
      </c>
      <c r="AD68" s="572"/>
      <c r="AE68" s="572" t="str">
        <f t="shared" si="211"/>
        <v/>
      </c>
      <c r="AF68" s="572" t="str">
        <f t="shared" si="212"/>
        <v/>
      </c>
      <c r="AG68" s="572"/>
      <c r="AH68" s="572">
        <f t="shared" si="213"/>
        <v>0</v>
      </c>
      <c r="AI68" s="2568">
        <f t="shared" si="214"/>
        <v>0</v>
      </c>
      <c r="AJ68" s="2568"/>
      <c r="AK68" s="2284">
        <f t="shared" si="24"/>
        <v>0</v>
      </c>
      <c r="AL68" s="2583"/>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3" t="str">
        <f t="shared" si="194"/>
        <v/>
      </c>
      <c r="C69" s="2198" t="str">
        <f>IF(F69="","",IF('[1]Indoor Lighting'!$R$13="Yes","Yes","No"))</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67" t="str">
        <f>'W Light Exist'!H71</f>
        <v/>
      </c>
      <c r="T69" s="2579" t="str">
        <f t="shared" si="205"/>
        <v/>
      </c>
      <c r="U69" s="2580" t="str">
        <f>'W Light Exist'!J71</f>
        <v/>
      </c>
      <c r="V69" s="2086" t="str">
        <f>'W Light Exist'!K71</f>
        <v/>
      </c>
      <c r="W69" s="2086" t="str">
        <f t="shared" si="206"/>
        <v/>
      </c>
      <c r="X69" s="2086" t="str">
        <f t="shared" si="207"/>
        <v/>
      </c>
      <c r="Y69" s="2581" t="str">
        <f t="shared" si="208"/>
        <v/>
      </c>
      <c r="Z69" s="4"/>
      <c r="AA69" s="2582" t="str">
        <f>IF(P69="","",(X69*'R3 Hist'!$R$27)+(Y69*'R3 Hist'!$Q$27*12*$W$192))</f>
        <v/>
      </c>
      <c r="AB69" s="2556" t="str">
        <f t="shared" si="209"/>
        <v/>
      </c>
      <c r="AC69" s="2568" t="str">
        <f t="shared" si="210"/>
        <v/>
      </c>
      <c r="AD69" s="572"/>
      <c r="AE69" s="572" t="str">
        <f t="shared" si="211"/>
        <v/>
      </c>
      <c r="AF69" s="572" t="str">
        <f t="shared" si="212"/>
        <v/>
      </c>
      <c r="AG69" s="572"/>
      <c r="AH69" s="572">
        <f t="shared" si="213"/>
        <v>0</v>
      </c>
      <c r="AI69" s="2568">
        <f t="shared" si="214"/>
        <v>0</v>
      </c>
      <c r="AJ69" s="2568"/>
      <c r="AK69" s="2284">
        <f t="shared" si="24"/>
        <v>0</v>
      </c>
      <c r="AL69" s="2583"/>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3" t="str">
        <f t="shared" si="194"/>
        <v/>
      </c>
      <c r="C70" s="2198" t="str">
        <f>IF(F70="","",IF('[1]Indoor Lighting'!$R$14="Yes","Yes","No"))</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67" t="str">
        <f>'W Light Exist'!H72</f>
        <v/>
      </c>
      <c r="T70" s="2579" t="str">
        <f t="shared" ref="T70:T81" si="229">IF(Q70="",S70,R70*(VLOOKUP(Q70,lighting,7,FALSE)/1000))</f>
        <v/>
      </c>
      <c r="U70" s="2580" t="str">
        <f>'W Light Exist'!J72</f>
        <v/>
      </c>
      <c r="V70" s="2086" t="str">
        <f>'W Light Exist'!K72</f>
        <v/>
      </c>
      <c r="W70" s="2086" t="str">
        <f t="shared" ref="W70:W81" si="230">IF(T70="","",U70*T70)</f>
        <v/>
      </c>
      <c r="X70" s="2086" t="str">
        <f t="shared" ref="X70:X81" si="231">IF(V70="","",V70-W70)</f>
        <v/>
      </c>
      <c r="Y70" s="2581" t="str">
        <f t="shared" ref="Y70:Y81" si="232">IF(S70="","",S70-T70)</f>
        <v/>
      </c>
      <c r="Z70" s="4"/>
      <c r="AA70" s="2582" t="str">
        <f>IF(P70="","",(X70*'R3 Hist'!$R$27)+(Y70*'R3 Hist'!$Q$27*12*$W$192))</f>
        <v/>
      </c>
      <c r="AB70" s="2556" t="str">
        <f t="shared" ref="AB70:AB81" si="233">IF(AA70="","",IF(AA70=0,"",AC70/AA70))</f>
        <v/>
      </c>
      <c r="AC70" s="2568"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68">
        <f t="shared" ref="AI70:AI81" si="238">IF(P70="",0,VLOOKUP(P70,rettable,5,FALSE))</f>
        <v>0</v>
      </c>
      <c r="AJ70" s="2568"/>
      <c r="AK70" s="2284">
        <f t="shared" si="24"/>
        <v>0</v>
      </c>
      <c r="AL70" s="2583"/>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3"/>
      <c r="C71" s="2198" t="str">
        <f>IF(F71="","",IF('[1]Indoor Lighting'!$R$15="Yes","Yes","No"))</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67" t="str">
        <f>'W Light Exist'!H73</f>
        <v/>
      </c>
      <c r="T71" s="2579" t="str">
        <f t="shared" si="229"/>
        <v/>
      </c>
      <c r="U71" s="2580" t="str">
        <f>'W Light Exist'!J73</f>
        <v/>
      </c>
      <c r="V71" s="2086" t="str">
        <f>'W Light Exist'!K73</f>
        <v/>
      </c>
      <c r="W71" s="2086" t="str">
        <f t="shared" si="230"/>
        <v/>
      </c>
      <c r="X71" s="2086" t="str">
        <f t="shared" si="231"/>
        <v/>
      </c>
      <c r="Y71" s="2581" t="str">
        <f t="shared" si="232"/>
        <v/>
      </c>
      <c r="Z71" s="4"/>
      <c r="AA71" s="2582" t="str">
        <f>IF(P71="","",(X71*'R3 Hist'!$R$27)+(Y71*'R3 Hist'!$Q$27*12*$W$192))</f>
        <v/>
      </c>
      <c r="AB71" s="2556" t="str">
        <f t="shared" si="233"/>
        <v/>
      </c>
      <c r="AC71" s="2568" t="str">
        <f t="shared" si="234"/>
        <v/>
      </c>
      <c r="AD71" s="572"/>
      <c r="AE71" s="572" t="str">
        <f t="shared" si="235"/>
        <v/>
      </c>
      <c r="AF71" s="572" t="str">
        <f t="shared" si="236"/>
        <v/>
      </c>
      <c r="AG71" s="572"/>
      <c r="AH71" s="572">
        <f t="shared" si="237"/>
        <v>0</v>
      </c>
      <c r="AI71" s="2568">
        <f t="shared" si="238"/>
        <v>0</v>
      </c>
      <c r="AJ71" s="2568"/>
      <c r="AK71" s="2284">
        <f t="shared" ref="AK71" si="243">IFERROR(AE71*AI71, 0)</f>
        <v>0</v>
      </c>
      <c r="AL71" s="2583"/>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3"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67" t="str">
        <f>'W Light Exist'!H74</f>
        <v/>
      </c>
      <c r="T72" s="2579" t="str">
        <f t="shared" si="229"/>
        <v/>
      </c>
      <c r="U72" s="2580" t="str">
        <f>'W Light Exist'!J74</f>
        <v/>
      </c>
      <c r="V72" s="2086" t="str">
        <f>'W Light Exist'!K74</f>
        <v/>
      </c>
      <c r="W72" s="2086" t="str">
        <f t="shared" si="230"/>
        <v/>
      </c>
      <c r="X72" s="2086" t="str">
        <f t="shared" si="231"/>
        <v/>
      </c>
      <c r="Y72" s="2581" t="str">
        <f t="shared" si="232"/>
        <v/>
      </c>
      <c r="Z72" s="4"/>
      <c r="AA72" s="2582" t="str">
        <f>IF(P72="","",(X72*'R3 Hist'!$R$27)+(Y72*'R3 Hist'!$Q$27*12*$W$192))</f>
        <v/>
      </c>
      <c r="AB72" s="2556" t="str">
        <f t="shared" si="233"/>
        <v/>
      </c>
      <c r="AC72" s="2568" t="str">
        <f t="shared" si="234"/>
        <v/>
      </c>
      <c r="AD72" s="572"/>
      <c r="AE72" s="572" t="str">
        <f t="shared" si="235"/>
        <v/>
      </c>
      <c r="AF72" s="572" t="str">
        <f t="shared" si="236"/>
        <v/>
      </c>
      <c r="AG72" s="572"/>
      <c r="AH72" s="572">
        <f t="shared" si="237"/>
        <v>0</v>
      </c>
      <c r="AI72" s="2568">
        <f t="shared" si="238"/>
        <v>0</v>
      </c>
      <c r="AJ72" s="2568"/>
      <c r="AK72" s="2284">
        <f t="shared" si="24"/>
        <v>0</v>
      </c>
      <c r="AL72" s="2583"/>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3"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67" t="str">
        <f>'W Light Exist'!H75</f>
        <v/>
      </c>
      <c r="T73" s="2579" t="str">
        <f t="shared" si="229"/>
        <v/>
      </c>
      <c r="U73" s="2580" t="str">
        <f>'W Light Exist'!J75</f>
        <v/>
      </c>
      <c r="V73" s="2086" t="str">
        <f>'W Light Exist'!K75</f>
        <v/>
      </c>
      <c r="W73" s="2086" t="str">
        <f t="shared" si="230"/>
        <v/>
      </c>
      <c r="X73" s="2086" t="str">
        <f t="shared" si="231"/>
        <v/>
      </c>
      <c r="Y73" s="2581" t="str">
        <f t="shared" si="232"/>
        <v/>
      </c>
      <c r="Z73" s="4"/>
      <c r="AA73" s="2582" t="str">
        <f>IF(P73="","",(X73*'R3 Hist'!$R$27)+(Y73*'R3 Hist'!$Q$27*12*$W$192))</f>
        <v/>
      </c>
      <c r="AB73" s="2556" t="str">
        <f t="shared" si="233"/>
        <v/>
      </c>
      <c r="AC73" s="2568" t="str">
        <f t="shared" si="234"/>
        <v/>
      </c>
      <c r="AD73" s="572"/>
      <c r="AE73" s="572" t="str">
        <f t="shared" si="235"/>
        <v/>
      </c>
      <c r="AF73" s="572" t="str">
        <f t="shared" si="236"/>
        <v/>
      </c>
      <c r="AG73" s="572"/>
      <c r="AH73" s="572">
        <f t="shared" si="237"/>
        <v>0</v>
      </c>
      <c r="AI73" s="2568">
        <f t="shared" si="238"/>
        <v>0</v>
      </c>
      <c r="AJ73" s="2568"/>
      <c r="AK73" s="2284">
        <f t="shared" si="24"/>
        <v>0</v>
      </c>
      <c r="AL73" s="2583"/>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3"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67" t="str">
        <f>'W Light Exist'!H76</f>
        <v/>
      </c>
      <c r="T74" s="2579" t="str">
        <f t="shared" si="229"/>
        <v/>
      </c>
      <c r="U74" s="2580" t="str">
        <f>'W Light Exist'!J76</f>
        <v/>
      </c>
      <c r="V74" s="2086" t="str">
        <f>'W Light Exist'!K76</f>
        <v/>
      </c>
      <c r="W74" s="2086" t="str">
        <f t="shared" si="230"/>
        <v/>
      </c>
      <c r="X74" s="2086" t="str">
        <f t="shared" si="231"/>
        <v/>
      </c>
      <c r="Y74" s="2581" t="str">
        <f t="shared" si="232"/>
        <v/>
      </c>
      <c r="Z74" s="4"/>
      <c r="AA74" s="2582" t="str">
        <f>IF(P74="","",(X74*'R3 Hist'!$R$27)+(Y74*'R3 Hist'!$Q$27*12*$W$192))</f>
        <v/>
      </c>
      <c r="AB74" s="2556" t="str">
        <f t="shared" si="233"/>
        <v/>
      </c>
      <c r="AC74" s="2568" t="str">
        <f t="shared" si="234"/>
        <v/>
      </c>
      <c r="AD74" s="572"/>
      <c r="AE74" s="572" t="str">
        <f t="shared" si="235"/>
        <v/>
      </c>
      <c r="AF74" s="572" t="str">
        <f t="shared" si="236"/>
        <v/>
      </c>
      <c r="AG74" s="572"/>
      <c r="AH74" s="572">
        <f t="shared" si="237"/>
        <v>0</v>
      </c>
      <c r="AI74" s="2568">
        <f t="shared" si="238"/>
        <v>0</v>
      </c>
      <c r="AJ74" s="2568"/>
      <c r="AK74" s="2284">
        <f t="shared" si="24"/>
        <v>0</v>
      </c>
      <c r="AL74" s="2583"/>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3"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67" t="str">
        <f>'W Light Exist'!H77</f>
        <v/>
      </c>
      <c r="T75" s="2579" t="str">
        <f t="shared" si="229"/>
        <v/>
      </c>
      <c r="U75" s="2580" t="str">
        <f>'W Light Exist'!J77</f>
        <v/>
      </c>
      <c r="V75" s="2086" t="str">
        <f>'W Light Exist'!K77</f>
        <v/>
      </c>
      <c r="W75" s="2086" t="str">
        <f t="shared" si="230"/>
        <v/>
      </c>
      <c r="X75" s="2086" t="str">
        <f t="shared" si="231"/>
        <v/>
      </c>
      <c r="Y75" s="2581" t="str">
        <f t="shared" si="232"/>
        <v/>
      </c>
      <c r="Z75" s="4"/>
      <c r="AA75" s="2582" t="str">
        <f>IF(P75="","",(X75*'R3 Hist'!$R$27)+(Y75*'R3 Hist'!$Q$27*12*$W$192))</f>
        <v/>
      </c>
      <c r="AB75" s="2556" t="str">
        <f t="shared" si="233"/>
        <v/>
      </c>
      <c r="AC75" s="2568" t="str">
        <f t="shared" si="234"/>
        <v/>
      </c>
      <c r="AD75" s="572"/>
      <c r="AE75" s="572" t="str">
        <f t="shared" si="235"/>
        <v/>
      </c>
      <c r="AF75" s="572" t="str">
        <f t="shared" si="236"/>
        <v/>
      </c>
      <c r="AG75" s="572"/>
      <c r="AH75" s="572">
        <f t="shared" si="237"/>
        <v>0</v>
      </c>
      <c r="AI75" s="2568">
        <f t="shared" si="238"/>
        <v>0</v>
      </c>
      <c r="AJ75" s="2568"/>
      <c r="AK75" s="2284">
        <f t="shared" si="24"/>
        <v>0</v>
      </c>
      <c r="AL75" s="2583"/>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3"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67" t="str">
        <f>'W Light Exist'!H78</f>
        <v/>
      </c>
      <c r="T76" s="2579" t="str">
        <f t="shared" si="229"/>
        <v/>
      </c>
      <c r="U76" s="2580" t="str">
        <f>'W Light Exist'!J78</f>
        <v/>
      </c>
      <c r="V76" s="2086" t="str">
        <f>'W Light Exist'!K78</f>
        <v/>
      </c>
      <c r="W76" s="2086" t="str">
        <f t="shared" si="230"/>
        <v/>
      </c>
      <c r="X76" s="2086" t="str">
        <f t="shared" si="231"/>
        <v/>
      </c>
      <c r="Y76" s="2581" t="str">
        <f t="shared" si="232"/>
        <v/>
      </c>
      <c r="Z76" s="4"/>
      <c r="AA76" s="2582" t="str">
        <f>IF(P76="","",(X76*'R3 Hist'!$R$27)+(Y76*'R3 Hist'!$Q$27*12*$W$192))</f>
        <v/>
      </c>
      <c r="AB76" s="2556" t="str">
        <f t="shared" si="233"/>
        <v/>
      </c>
      <c r="AC76" s="2568" t="str">
        <f t="shared" si="234"/>
        <v/>
      </c>
      <c r="AD76" s="572"/>
      <c r="AE76" s="572" t="str">
        <f t="shared" si="235"/>
        <v/>
      </c>
      <c r="AF76" s="572" t="str">
        <f t="shared" si="236"/>
        <v/>
      </c>
      <c r="AG76" s="572"/>
      <c r="AH76" s="572">
        <f t="shared" si="237"/>
        <v>0</v>
      </c>
      <c r="AI76" s="2568">
        <f t="shared" si="238"/>
        <v>0</v>
      </c>
      <c r="AJ76" s="2568"/>
      <c r="AK76" s="2284">
        <f t="shared" ref="AK76:AK83" si="247">IFERROR(AE76*AI76, 0)</f>
        <v>0</v>
      </c>
      <c r="AL76" s="2583"/>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3"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67" t="str">
        <f>'W Light Exist'!H79</f>
        <v/>
      </c>
      <c r="T77" s="2579" t="str">
        <f t="shared" si="229"/>
        <v/>
      </c>
      <c r="U77" s="2580" t="str">
        <f>'W Light Exist'!J79</f>
        <v/>
      </c>
      <c r="V77" s="2086" t="str">
        <f>'W Light Exist'!K79</f>
        <v/>
      </c>
      <c r="W77" s="2086" t="str">
        <f t="shared" si="230"/>
        <v/>
      </c>
      <c r="X77" s="2086" t="str">
        <f t="shared" si="231"/>
        <v/>
      </c>
      <c r="Y77" s="2581" t="str">
        <f t="shared" si="232"/>
        <v/>
      </c>
      <c r="Z77" s="4"/>
      <c r="AA77" s="2582" t="str">
        <f>IF(P77="","",(X77*'R3 Hist'!$R$27)+(Y77*'R3 Hist'!$Q$27*12*$W$192))</f>
        <v/>
      </c>
      <c r="AB77" s="2556" t="str">
        <f t="shared" si="233"/>
        <v/>
      </c>
      <c r="AC77" s="2568" t="str">
        <f t="shared" si="234"/>
        <v/>
      </c>
      <c r="AD77" s="572"/>
      <c r="AE77" s="572" t="str">
        <f t="shared" si="235"/>
        <v/>
      </c>
      <c r="AF77" s="572" t="str">
        <f t="shared" si="236"/>
        <v/>
      </c>
      <c r="AG77" s="572"/>
      <c r="AH77" s="572">
        <f t="shared" si="237"/>
        <v>0</v>
      </c>
      <c r="AI77" s="2568">
        <f t="shared" si="238"/>
        <v>0</v>
      </c>
      <c r="AJ77" s="2568"/>
      <c r="AK77" s="2284">
        <f t="shared" si="247"/>
        <v>0</v>
      </c>
      <c r="AL77" s="2583"/>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3"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67" t="str">
        <f>'W Light Exist'!H80</f>
        <v/>
      </c>
      <c r="T78" s="2579" t="str">
        <f t="shared" si="229"/>
        <v/>
      </c>
      <c r="U78" s="2580" t="str">
        <f>'W Light Exist'!J80</f>
        <v/>
      </c>
      <c r="V78" s="2086" t="str">
        <f>'W Light Exist'!K80</f>
        <v/>
      </c>
      <c r="W78" s="2086" t="str">
        <f t="shared" si="230"/>
        <v/>
      </c>
      <c r="X78" s="2086" t="str">
        <f t="shared" si="231"/>
        <v/>
      </c>
      <c r="Y78" s="2581" t="str">
        <f t="shared" si="232"/>
        <v/>
      </c>
      <c r="Z78" s="4"/>
      <c r="AA78" s="2582" t="str">
        <f>IF(P78="","",(X78*'R3 Hist'!$R$27)+(Y78*'R3 Hist'!$Q$27*12*$W$192))</f>
        <v/>
      </c>
      <c r="AB78" s="2556" t="str">
        <f t="shared" si="233"/>
        <v/>
      </c>
      <c r="AC78" s="2568" t="str">
        <f t="shared" si="234"/>
        <v/>
      </c>
      <c r="AD78" s="572"/>
      <c r="AE78" s="572" t="str">
        <f t="shared" si="235"/>
        <v/>
      </c>
      <c r="AF78" s="572" t="str">
        <f t="shared" si="236"/>
        <v/>
      </c>
      <c r="AG78" s="572"/>
      <c r="AH78" s="572">
        <f t="shared" si="237"/>
        <v>0</v>
      </c>
      <c r="AI78" s="2568">
        <f t="shared" si="238"/>
        <v>0</v>
      </c>
      <c r="AJ78" s="2568"/>
      <c r="AK78" s="2284">
        <f t="shared" si="247"/>
        <v>0</v>
      </c>
      <c r="AL78" s="2583"/>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3"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67" t="str">
        <f>'W Light Exist'!H81</f>
        <v/>
      </c>
      <c r="T79" s="2579" t="str">
        <f t="shared" si="229"/>
        <v/>
      </c>
      <c r="U79" s="2580" t="str">
        <f>'W Light Exist'!J81</f>
        <v/>
      </c>
      <c r="V79" s="2086" t="str">
        <f>'W Light Exist'!K81</f>
        <v/>
      </c>
      <c r="W79" s="2086" t="str">
        <f t="shared" si="230"/>
        <v/>
      </c>
      <c r="X79" s="2086" t="str">
        <f t="shared" si="231"/>
        <v/>
      </c>
      <c r="Y79" s="2581" t="str">
        <f t="shared" si="232"/>
        <v/>
      </c>
      <c r="Z79" s="4"/>
      <c r="AA79" s="2582" t="str">
        <f>IF(P79="","",(X79*'R3 Hist'!$R$27)+(Y79*'R3 Hist'!$Q$27*12*$W$192))</f>
        <v/>
      </c>
      <c r="AB79" s="2556" t="str">
        <f t="shared" si="233"/>
        <v/>
      </c>
      <c r="AC79" s="2568" t="str">
        <f t="shared" si="234"/>
        <v/>
      </c>
      <c r="AD79" s="572"/>
      <c r="AE79" s="572" t="str">
        <f t="shared" si="235"/>
        <v/>
      </c>
      <c r="AF79" s="572" t="str">
        <f t="shared" si="236"/>
        <v/>
      </c>
      <c r="AG79" s="572"/>
      <c r="AH79" s="572">
        <f t="shared" si="237"/>
        <v>0</v>
      </c>
      <c r="AI79" s="2568">
        <f t="shared" si="238"/>
        <v>0</v>
      </c>
      <c r="AJ79" s="2568"/>
      <c r="AK79" s="2284">
        <f t="shared" si="247"/>
        <v>0</v>
      </c>
      <c r="AL79" s="2583"/>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3"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67" t="str">
        <f>'W Light Exist'!H82</f>
        <v/>
      </c>
      <c r="T80" s="2579" t="str">
        <f t="shared" si="229"/>
        <v/>
      </c>
      <c r="U80" s="2580" t="str">
        <f>'W Light Exist'!J82</f>
        <v/>
      </c>
      <c r="V80" s="2086" t="str">
        <f>'W Light Exist'!K82</f>
        <v/>
      </c>
      <c r="W80" s="2086" t="str">
        <f t="shared" si="230"/>
        <v/>
      </c>
      <c r="X80" s="2086" t="str">
        <f t="shared" si="231"/>
        <v/>
      </c>
      <c r="Y80" s="2581" t="str">
        <f t="shared" si="232"/>
        <v/>
      </c>
      <c r="Z80" s="4"/>
      <c r="AA80" s="2582" t="str">
        <f>IF(P80="","",(X80*'R3 Hist'!$R$27)+(Y80*'R3 Hist'!$Q$27*12*$W$192))</f>
        <v/>
      </c>
      <c r="AB80" s="2556" t="str">
        <f t="shared" si="233"/>
        <v/>
      </c>
      <c r="AC80" s="2568" t="str">
        <f t="shared" si="234"/>
        <v/>
      </c>
      <c r="AD80" s="572"/>
      <c r="AE80" s="572" t="str">
        <f t="shared" si="235"/>
        <v/>
      </c>
      <c r="AF80" s="572" t="str">
        <f t="shared" si="236"/>
        <v/>
      </c>
      <c r="AG80" s="572"/>
      <c r="AH80" s="572">
        <f t="shared" si="237"/>
        <v>0</v>
      </c>
      <c r="AI80" s="2568">
        <f t="shared" si="238"/>
        <v>0</v>
      </c>
      <c r="AJ80" s="2568"/>
      <c r="AK80" s="2284">
        <f t="shared" si="247"/>
        <v>0</v>
      </c>
      <c r="AL80" s="2583"/>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3"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67" t="str">
        <f>'W Light Exist'!H83</f>
        <v/>
      </c>
      <c r="T81" s="2579" t="str">
        <f t="shared" si="229"/>
        <v/>
      </c>
      <c r="U81" s="2580" t="str">
        <f>'W Light Exist'!J83</f>
        <v/>
      </c>
      <c r="V81" s="2086" t="str">
        <f>'W Light Exist'!K83</f>
        <v/>
      </c>
      <c r="W81" s="2086" t="str">
        <f t="shared" si="230"/>
        <v/>
      </c>
      <c r="X81" s="2086" t="str">
        <f t="shared" si="231"/>
        <v/>
      </c>
      <c r="Y81" s="2581" t="str">
        <f t="shared" si="232"/>
        <v/>
      </c>
      <c r="Z81" s="4"/>
      <c r="AA81" s="2582" t="str">
        <f>IF(P81="","",(X81*'R3 Hist'!$R$27)+(Y81*'R3 Hist'!$Q$27*12*$W$192))</f>
        <v/>
      </c>
      <c r="AB81" s="2556" t="str">
        <f t="shared" si="233"/>
        <v/>
      </c>
      <c r="AC81" s="2568" t="str">
        <f t="shared" si="234"/>
        <v/>
      </c>
      <c r="AD81" s="572"/>
      <c r="AE81" s="572" t="str">
        <f t="shared" si="235"/>
        <v/>
      </c>
      <c r="AF81" s="572" t="str">
        <f t="shared" si="236"/>
        <v/>
      </c>
      <c r="AG81" s="572"/>
      <c r="AH81" s="572">
        <f t="shared" si="237"/>
        <v>0</v>
      </c>
      <c r="AI81" s="2568">
        <f t="shared" si="238"/>
        <v>0</v>
      </c>
      <c r="AJ81" s="2568"/>
      <c r="AK81" s="2284">
        <f t="shared" si="247"/>
        <v>0</v>
      </c>
      <c r="AL81" s="2583"/>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6"/>
      <c r="C82" s="518"/>
      <c r="D82" s="500">
        <f>IF(C82="Yes",1+D76,0+D76)</f>
        <v>0</v>
      </c>
      <c r="E82" s="500">
        <f>IF(D82&gt;D76,D82,0)</f>
        <v>0</v>
      </c>
      <c r="F82" s="517"/>
      <c r="G82" s="2584"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6"/>
      <c r="S82" s="2577"/>
      <c r="T82" s="2585"/>
      <c r="U82" s="2586"/>
      <c r="V82" s="2587"/>
      <c r="W82" s="2587"/>
      <c r="X82" s="2587"/>
      <c r="Y82" s="2588"/>
      <c r="Z82" s="517"/>
      <c r="AA82" s="2589" t="str">
        <f>IF(P82="","",(X82*'R3 Hist'!$R$27)+(Y82*'R3 Hist'!$Q$27*12*$W$192))</f>
        <v/>
      </c>
      <c r="AB82" s="2590" t="str">
        <f>IF(AA82="","",IF(AA82=0,"",AC82/AA82))</f>
        <v/>
      </c>
      <c r="AC82" s="2578" t="str">
        <f t="shared" si="182"/>
        <v/>
      </c>
      <c r="AD82" s="2576"/>
      <c r="AE82" s="2576"/>
      <c r="AF82" s="2576"/>
      <c r="AG82" s="2576"/>
      <c r="AH82" s="2576"/>
      <c r="AI82" s="2578"/>
      <c r="AJ82" s="2578"/>
      <c r="AK82" s="2591"/>
      <c r="AL82" s="2583"/>
      <c r="AM82" s="636"/>
      <c r="AN82" s="648" t="str">
        <f>'W Light Exist'!B86</f>
        <v>Exit Signs</v>
      </c>
      <c r="AO82" s="649"/>
      <c r="AP82" s="650"/>
      <c r="AQ82" s="650"/>
      <c r="AR82" s="644"/>
      <c r="AS82" s="2963"/>
      <c r="AT82" s="636"/>
      <c r="AU82" s="636"/>
      <c r="AV82" s="636"/>
      <c r="AW82" s="636"/>
      <c r="AX82" s="636"/>
      <c r="AY82" s="636"/>
      <c r="AZ82" s="636"/>
      <c r="BA82" s="636"/>
      <c r="BB82" s="636"/>
      <c r="BC82" s="636"/>
    </row>
    <row r="83" spans="1:55" s="19" customFormat="1" ht="13.8">
      <c r="A83" s="1556">
        <v>73</v>
      </c>
      <c r="B83" s="2723" t="str">
        <f t="shared" si="14"/>
        <v/>
      </c>
      <c r="C83" s="2867"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2" t="str">
        <f>'W Light Exist'!H87</f>
        <v/>
      </c>
      <c r="T83" s="2579" t="str">
        <f t="shared" ref="T83" si="255">IF(Q83="",S83,R83*(VLOOKUP(Q83,lighting,7,FALSE)/1000))</f>
        <v/>
      </c>
      <c r="U83" s="2580" t="str">
        <f>'W Light Exist'!J87</f>
        <v/>
      </c>
      <c r="V83" s="1557" t="str">
        <f>'W Light Exist'!K87</f>
        <v/>
      </c>
      <c r="W83" s="1557" t="str">
        <f>IF(T83="","",U83*T83)</f>
        <v/>
      </c>
      <c r="X83" s="1557" t="str">
        <f>IF(V83="","",V83-W83)</f>
        <v/>
      </c>
      <c r="Y83" s="2593" t="str">
        <f>IF(S83="","",S83-T83)</f>
        <v/>
      </c>
      <c r="Z83" s="515"/>
      <c r="AA83" s="1554" t="str">
        <f>IF(P83="","",(X83*'R3 Hist'!$R$27)+(Y83*'R3 Hist'!$Q$27*12*$W$192))</f>
        <v/>
      </c>
      <c r="AB83" s="2594" t="str">
        <f>IF(AA83="","",IF(AA83=0,"",AC83/AA83))</f>
        <v/>
      </c>
      <c r="AC83" s="2595" t="str">
        <f t="shared" si="182"/>
        <v/>
      </c>
      <c r="AD83" s="1543"/>
      <c r="AE83" s="1543" t="str">
        <f>R83</f>
        <v/>
      </c>
      <c r="AF83" s="1543" t="str">
        <f t="shared" ref="AF83" si="256">IF(Q83="","",VLOOKUP(Q83,lighting,4,FALSE))</f>
        <v/>
      </c>
      <c r="AG83" s="1543"/>
      <c r="AH83" s="1543">
        <f>IF(AF83="",0,AF83*AE83)</f>
        <v>0</v>
      </c>
      <c r="AI83" s="2595">
        <f t="shared" ref="AI83" si="257">IF(P83="",0,VLOOKUP(P83,rettable,5,FALSE))</f>
        <v>0</v>
      </c>
      <c r="AJ83" s="2595"/>
      <c r="AK83" s="2284">
        <f t="shared" si="247"/>
        <v>0</v>
      </c>
      <c r="AL83" s="2583"/>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3">
        <f t="shared" ref="B84:B92" si="259">AR84</f>
        <v>0</v>
      </c>
      <c r="C84" s="2867"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2" t="str">
        <f>'W Light Exist'!H88</f>
        <v/>
      </c>
      <c r="T84" s="2579" t="str">
        <f t="shared" ref="T84:T92" si="272">IF(Q84="",S84,R84*(VLOOKUP(Q84,lighting,7,FALSE)/1000))</f>
        <v/>
      </c>
      <c r="U84" s="2580" t="str">
        <f>'W Light Exist'!J88</f>
        <v/>
      </c>
      <c r="V84" s="1557" t="str">
        <f>'W Light Exist'!K88</f>
        <v/>
      </c>
      <c r="W84" s="1557" t="str">
        <f t="shared" ref="W84:W92" si="273">IF(T84="","",U84*T84)</f>
        <v/>
      </c>
      <c r="X84" s="1557" t="str">
        <f t="shared" ref="X84:X92" si="274">IF(V84="","",V84-W84)</f>
        <v/>
      </c>
      <c r="Y84" s="2593" t="str">
        <f t="shared" ref="Y84:Y92" si="275">IF(S84="","",S84-T84)</f>
        <v/>
      </c>
      <c r="Z84" s="515"/>
      <c r="AA84" s="1554" t="str">
        <f>IF(P84="","",(X84*'R3 Hist'!$R$27)+(Y84*'R3 Hist'!$Q$27*12*$W$192))</f>
        <v/>
      </c>
      <c r="AB84" s="2594" t="str">
        <f t="shared" ref="AB84:AB92" si="276">IF(AA84="","",IF(AA84=0,"",AC84/AA84))</f>
        <v/>
      </c>
      <c r="AC84" s="2595"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5">
        <f t="shared" ref="AI84:AI92" si="281">IF(P84="",0,VLOOKUP(P84,rettable,5,FALSE))</f>
        <v>0</v>
      </c>
      <c r="AJ84" s="2595"/>
      <c r="AK84" s="2583">
        <f t="shared" ref="AK84:AK92" si="282">AE84*AI84</f>
        <v>0</v>
      </c>
      <c r="AL84" s="2583"/>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3">
        <f t="shared" si="259"/>
        <v>0</v>
      </c>
      <c r="C85" s="2867"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2" t="str">
        <f>'W Light Exist'!H89</f>
        <v/>
      </c>
      <c r="T85" s="2579" t="str">
        <f t="shared" si="272"/>
        <v/>
      </c>
      <c r="U85" s="2580" t="str">
        <f>'W Light Exist'!J89</f>
        <v/>
      </c>
      <c r="V85" s="1557" t="str">
        <f>'W Light Exist'!K89</f>
        <v/>
      </c>
      <c r="W85" s="1557" t="str">
        <f t="shared" si="273"/>
        <v/>
      </c>
      <c r="X85" s="1557" t="str">
        <f t="shared" si="274"/>
        <v/>
      </c>
      <c r="Y85" s="2593" t="str">
        <f t="shared" si="275"/>
        <v/>
      </c>
      <c r="Z85" s="515"/>
      <c r="AA85" s="1554" t="str">
        <f>IF(P85="","",(X85*'R3 Hist'!$R$27)+(Y85*'R3 Hist'!$Q$27*12*$W$192))</f>
        <v/>
      </c>
      <c r="AB85" s="2594" t="str">
        <f t="shared" si="276"/>
        <v/>
      </c>
      <c r="AC85" s="2595" t="str">
        <f t="shared" si="277"/>
        <v/>
      </c>
      <c r="AD85" s="1543"/>
      <c r="AE85" s="1543">
        <f t="shared" si="278"/>
        <v>0</v>
      </c>
      <c r="AF85" s="1543" t="str">
        <f t="shared" si="279"/>
        <v/>
      </c>
      <c r="AG85" s="1543"/>
      <c r="AH85" s="1543">
        <f t="shared" si="280"/>
        <v>0</v>
      </c>
      <c r="AI85" s="2595">
        <f t="shared" si="281"/>
        <v>0</v>
      </c>
      <c r="AJ85" s="2595"/>
      <c r="AK85" s="2583">
        <f t="shared" si="282"/>
        <v>0</v>
      </c>
      <c r="AL85" s="2583"/>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3">
        <f t="shared" si="259"/>
        <v>0</v>
      </c>
      <c r="C86" s="2867"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2" t="str">
        <f>'W Light Exist'!H90</f>
        <v/>
      </c>
      <c r="T86" s="2579" t="str">
        <f t="shared" si="272"/>
        <v/>
      </c>
      <c r="U86" s="2580" t="str">
        <f>'W Light Exist'!J90</f>
        <v/>
      </c>
      <c r="V86" s="1557" t="str">
        <f>'W Light Exist'!K90</f>
        <v/>
      </c>
      <c r="W86" s="1557" t="str">
        <f t="shared" si="273"/>
        <v/>
      </c>
      <c r="X86" s="1557" t="str">
        <f t="shared" si="274"/>
        <v/>
      </c>
      <c r="Y86" s="2593" t="str">
        <f t="shared" si="275"/>
        <v/>
      </c>
      <c r="Z86" s="515"/>
      <c r="AA86" s="1554" t="str">
        <f>IF(P86="","",(X86*'R3 Hist'!$R$27)+(Y86*'R3 Hist'!$Q$27*12*$W$192))</f>
        <v/>
      </c>
      <c r="AB86" s="2594" t="str">
        <f t="shared" si="276"/>
        <v/>
      </c>
      <c r="AC86" s="2595" t="str">
        <f t="shared" si="277"/>
        <v/>
      </c>
      <c r="AD86" s="1543"/>
      <c r="AE86" s="1543">
        <f t="shared" si="278"/>
        <v>0</v>
      </c>
      <c r="AF86" s="1543" t="str">
        <f t="shared" si="279"/>
        <v/>
      </c>
      <c r="AG86" s="1543"/>
      <c r="AH86" s="1543">
        <f t="shared" si="280"/>
        <v>0</v>
      </c>
      <c r="AI86" s="2595">
        <f t="shared" si="281"/>
        <v>0</v>
      </c>
      <c r="AJ86" s="2595"/>
      <c r="AK86" s="2583">
        <f t="shared" si="282"/>
        <v>0</v>
      </c>
      <c r="AL86" s="2583"/>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3">
        <f t="shared" si="259"/>
        <v>0</v>
      </c>
      <c r="C87" s="2867"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2" t="str">
        <f>'W Light Exist'!H91</f>
        <v/>
      </c>
      <c r="T87" s="2579" t="str">
        <f t="shared" si="272"/>
        <v/>
      </c>
      <c r="U87" s="2580" t="str">
        <f>'W Light Exist'!J91</f>
        <v/>
      </c>
      <c r="V87" s="1557" t="str">
        <f>'W Light Exist'!K91</f>
        <v/>
      </c>
      <c r="W87" s="1557" t="str">
        <f t="shared" si="273"/>
        <v/>
      </c>
      <c r="X87" s="1557" t="str">
        <f t="shared" si="274"/>
        <v/>
      </c>
      <c r="Y87" s="2593" t="str">
        <f t="shared" si="275"/>
        <v/>
      </c>
      <c r="Z87" s="515"/>
      <c r="AA87" s="1554" t="str">
        <f>IF(P87="","",(X87*'R3 Hist'!$R$27)+(Y87*'R3 Hist'!$Q$27*12*$W$192))</f>
        <v/>
      </c>
      <c r="AB87" s="2594" t="str">
        <f t="shared" si="276"/>
        <v/>
      </c>
      <c r="AC87" s="2595" t="str">
        <f t="shared" si="277"/>
        <v/>
      </c>
      <c r="AD87" s="1543"/>
      <c r="AE87" s="1543">
        <f t="shared" si="278"/>
        <v>0</v>
      </c>
      <c r="AF87" s="1543" t="str">
        <f t="shared" si="279"/>
        <v/>
      </c>
      <c r="AG87" s="1543"/>
      <c r="AH87" s="1543">
        <f t="shared" si="280"/>
        <v>0</v>
      </c>
      <c r="AI87" s="2595">
        <f t="shared" si="281"/>
        <v>0</v>
      </c>
      <c r="AJ87" s="2595"/>
      <c r="AK87" s="2583">
        <f t="shared" si="282"/>
        <v>0</v>
      </c>
      <c r="AL87" s="2583"/>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3">
        <f t="shared" si="259"/>
        <v>0</v>
      </c>
      <c r="C88" s="2867"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2" t="str">
        <f>'W Light Exist'!H92</f>
        <v/>
      </c>
      <c r="T88" s="2579" t="str">
        <f t="shared" si="272"/>
        <v/>
      </c>
      <c r="U88" s="2580" t="str">
        <f>'W Light Exist'!J92</f>
        <v/>
      </c>
      <c r="V88" s="1557" t="str">
        <f>'W Light Exist'!K92</f>
        <v/>
      </c>
      <c r="W88" s="1557" t="str">
        <f t="shared" si="273"/>
        <v/>
      </c>
      <c r="X88" s="1557" t="str">
        <f t="shared" si="274"/>
        <v/>
      </c>
      <c r="Y88" s="2593" t="str">
        <f t="shared" si="275"/>
        <v/>
      </c>
      <c r="Z88" s="515"/>
      <c r="AA88" s="1554" t="str">
        <f>IF(P88="","",(X88*'R3 Hist'!$R$27)+(Y88*'R3 Hist'!$Q$27*12*$W$192))</f>
        <v/>
      </c>
      <c r="AB88" s="2594" t="str">
        <f t="shared" si="276"/>
        <v/>
      </c>
      <c r="AC88" s="2595" t="str">
        <f t="shared" si="277"/>
        <v/>
      </c>
      <c r="AD88" s="1543"/>
      <c r="AE88" s="1543">
        <f t="shared" si="278"/>
        <v>0</v>
      </c>
      <c r="AF88" s="1543" t="str">
        <f t="shared" si="279"/>
        <v/>
      </c>
      <c r="AG88" s="1543"/>
      <c r="AH88" s="1543">
        <f t="shared" si="280"/>
        <v>0</v>
      </c>
      <c r="AI88" s="2595">
        <f t="shared" si="281"/>
        <v>0</v>
      </c>
      <c r="AJ88" s="2595"/>
      <c r="AK88" s="2583">
        <f t="shared" si="282"/>
        <v>0</v>
      </c>
      <c r="AL88" s="2583"/>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3">
        <f t="shared" si="259"/>
        <v>0</v>
      </c>
      <c r="C89" s="2867"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2" t="str">
        <f>'W Light Exist'!H93</f>
        <v/>
      </c>
      <c r="T89" s="2579" t="str">
        <f t="shared" si="272"/>
        <v/>
      </c>
      <c r="U89" s="2580" t="str">
        <f>'W Light Exist'!J93</f>
        <v/>
      </c>
      <c r="V89" s="1557" t="str">
        <f>'W Light Exist'!K93</f>
        <v/>
      </c>
      <c r="W89" s="1557" t="str">
        <f t="shared" si="273"/>
        <v/>
      </c>
      <c r="X89" s="1557" t="str">
        <f t="shared" si="274"/>
        <v/>
      </c>
      <c r="Y89" s="2593" t="str">
        <f t="shared" si="275"/>
        <v/>
      </c>
      <c r="Z89" s="515"/>
      <c r="AA89" s="1554" t="str">
        <f>IF(P89="","",(X89*'R3 Hist'!$R$27)+(Y89*'R3 Hist'!$Q$27*12*$W$192))</f>
        <v/>
      </c>
      <c r="AB89" s="2594" t="str">
        <f t="shared" si="276"/>
        <v/>
      </c>
      <c r="AC89" s="2595" t="str">
        <f t="shared" si="277"/>
        <v/>
      </c>
      <c r="AD89" s="1543"/>
      <c r="AE89" s="1543">
        <f t="shared" si="278"/>
        <v>0</v>
      </c>
      <c r="AF89" s="1543" t="str">
        <f t="shared" si="279"/>
        <v/>
      </c>
      <c r="AG89" s="1543"/>
      <c r="AH89" s="1543">
        <f t="shared" si="280"/>
        <v>0</v>
      </c>
      <c r="AI89" s="2595">
        <f t="shared" si="281"/>
        <v>0</v>
      </c>
      <c r="AJ89" s="2595"/>
      <c r="AK89" s="2583">
        <f t="shared" si="282"/>
        <v>0</v>
      </c>
      <c r="AL89" s="2583"/>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3">
        <f t="shared" si="259"/>
        <v>0</v>
      </c>
      <c r="C90" s="2867"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2" t="str">
        <f>'W Light Exist'!H94</f>
        <v/>
      </c>
      <c r="T90" s="2579" t="str">
        <f t="shared" si="272"/>
        <v/>
      </c>
      <c r="U90" s="2580" t="str">
        <f>'W Light Exist'!J94</f>
        <v/>
      </c>
      <c r="V90" s="1557" t="str">
        <f>'W Light Exist'!K94</f>
        <v/>
      </c>
      <c r="W90" s="1557" t="str">
        <f t="shared" si="273"/>
        <v/>
      </c>
      <c r="X90" s="1557" t="str">
        <f t="shared" si="274"/>
        <v/>
      </c>
      <c r="Y90" s="2593" t="str">
        <f t="shared" si="275"/>
        <v/>
      </c>
      <c r="Z90" s="515"/>
      <c r="AA90" s="1554" t="str">
        <f>IF(P90="","",(X90*'R3 Hist'!$R$27)+(Y90*'R3 Hist'!$Q$27*12*$W$192))</f>
        <v/>
      </c>
      <c r="AB90" s="2594" t="str">
        <f t="shared" si="276"/>
        <v/>
      </c>
      <c r="AC90" s="2595" t="str">
        <f t="shared" si="277"/>
        <v/>
      </c>
      <c r="AD90" s="1543"/>
      <c r="AE90" s="1543">
        <f t="shared" si="278"/>
        <v>0</v>
      </c>
      <c r="AF90" s="1543" t="str">
        <f t="shared" si="279"/>
        <v/>
      </c>
      <c r="AG90" s="1543"/>
      <c r="AH90" s="1543">
        <f t="shared" si="280"/>
        <v>0</v>
      </c>
      <c r="AI90" s="2595">
        <f t="shared" si="281"/>
        <v>0</v>
      </c>
      <c r="AJ90" s="2595"/>
      <c r="AK90" s="2583">
        <f t="shared" si="282"/>
        <v>0</v>
      </c>
      <c r="AL90" s="2583"/>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3">
        <f t="shared" si="259"/>
        <v>0</v>
      </c>
      <c r="C91" s="2867"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2" t="str">
        <f>'W Light Exist'!H95</f>
        <v/>
      </c>
      <c r="T91" s="2579" t="str">
        <f t="shared" si="272"/>
        <v/>
      </c>
      <c r="U91" s="2580" t="str">
        <f>'W Light Exist'!J95</f>
        <v/>
      </c>
      <c r="V91" s="1557" t="str">
        <f>'W Light Exist'!K95</f>
        <v/>
      </c>
      <c r="W91" s="1557" t="str">
        <f t="shared" si="273"/>
        <v/>
      </c>
      <c r="X91" s="1557" t="str">
        <f t="shared" si="274"/>
        <v/>
      </c>
      <c r="Y91" s="2593" t="str">
        <f t="shared" si="275"/>
        <v/>
      </c>
      <c r="Z91" s="515"/>
      <c r="AA91" s="1554" t="str">
        <f>IF(P91="","",(X91*'R3 Hist'!$R$27)+(Y91*'R3 Hist'!$Q$27*12*$W$192))</f>
        <v/>
      </c>
      <c r="AB91" s="2594" t="str">
        <f t="shared" si="276"/>
        <v/>
      </c>
      <c r="AC91" s="2595" t="str">
        <f t="shared" si="277"/>
        <v/>
      </c>
      <c r="AD91" s="1543"/>
      <c r="AE91" s="1543">
        <f t="shared" si="278"/>
        <v>0</v>
      </c>
      <c r="AF91" s="1543" t="str">
        <f t="shared" si="279"/>
        <v/>
      </c>
      <c r="AG91" s="1543"/>
      <c r="AH91" s="1543">
        <f t="shared" si="280"/>
        <v>0</v>
      </c>
      <c r="AI91" s="2595">
        <f t="shared" si="281"/>
        <v>0</v>
      </c>
      <c r="AJ91" s="2595"/>
      <c r="AK91" s="2583">
        <f t="shared" si="282"/>
        <v>0</v>
      </c>
      <c r="AL91" s="2583"/>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3">
        <f t="shared" si="259"/>
        <v>0</v>
      </c>
      <c r="C92" s="2867"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2" t="str">
        <f>'W Light Exist'!H96</f>
        <v/>
      </c>
      <c r="T92" s="2579" t="str">
        <f t="shared" si="272"/>
        <v/>
      </c>
      <c r="U92" s="2580" t="str">
        <f>'W Light Exist'!J96</f>
        <v/>
      </c>
      <c r="V92" s="1557" t="str">
        <f>'W Light Exist'!K96</f>
        <v/>
      </c>
      <c r="W92" s="1557" t="str">
        <f t="shared" si="273"/>
        <v/>
      </c>
      <c r="X92" s="1557" t="str">
        <f t="shared" si="274"/>
        <v/>
      </c>
      <c r="Y92" s="2593" t="str">
        <f t="shared" si="275"/>
        <v/>
      </c>
      <c r="Z92" s="515"/>
      <c r="AA92" s="1554" t="str">
        <f>IF(P92="","",(X92*'R3 Hist'!$R$27)+(Y92*'R3 Hist'!$Q$27*12*$W$192))</f>
        <v/>
      </c>
      <c r="AB92" s="2594" t="str">
        <f t="shared" si="276"/>
        <v/>
      </c>
      <c r="AC92" s="2595" t="str">
        <f t="shared" si="277"/>
        <v/>
      </c>
      <c r="AD92" s="1543"/>
      <c r="AE92" s="1543">
        <f t="shared" si="278"/>
        <v>0</v>
      </c>
      <c r="AF92" s="1543" t="str">
        <f t="shared" si="279"/>
        <v/>
      </c>
      <c r="AG92" s="1543"/>
      <c r="AH92" s="1543">
        <f t="shared" si="280"/>
        <v>0</v>
      </c>
      <c r="AI92" s="2595">
        <f t="shared" si="281"/>
        <v>0</v>
      </c>
      <c r="AJ92" s="2595"/>
      <c r="AK92" s="2583">
        <f t="shared" si="282"/>
        <v>0</v>
      </c>
      <c r="AL92" s="2583"/>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6"/>
      <c r="C93" s="518"/>
      <c r="D93" s="500">
        <f>IF(C93="Yes",1+D92,0+D92)</f>
        <v>0</v>
      </c>
      <c r="E93" s="500">
        <f>IF(D93&gt;D92,D93,0)</f>
        <v>0</v>
      </c>
      <c r="F93" s="517"/>
      <c r="G93" s="2584"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6"/>
      <c r="S93" s="2577"/>
      <c r="T93" s="2585"/>
      <c r="U93" s="2586"/>
      <c r="V93" s="2587"/>
      <c r="W93" s="2587"/>
      <c r="X93" s="2587"/>
      <c r="Y93" s="2588"/>
      <c r="Z93" s="517"/>
      <c r="AA93" s="2589" t="str">
        <f>IF(P93="","",(X93*'R3 Hist'!$R$27)+(Y93*'R3 Hist'!$Q$27*12*$W$192))</f>
        <v/>
      </c>
      <c r="AB93" s="2590" t="str">
        <f>IF(AA93="","",IF(AA93=0,"",AC93/AA93))</f>
        <v/>
      </c>
      <c r="AC93" s="2578" t="str">
        <f t="shared" si="182"/>
        <v/>
      </c>
      <c r="AD93" s="2576"/>
      <c r="AE93" s="2576"/>
      <c r="AF93" s="2576"/>
      <c r="AG93" s="2576"/>
      <c r="AH93" s="2576"/>
      <c r="AI93" s="2578"/>
      <c r="AJ93" s="2576"/>
      <c r="AK93" s="2576"/>
      <c r="AL93" s="1543"/>
      <c r="AM93" s="660" t="s">
        <v>2303</v>
      </c>
      <c r="AN93" s="648" t="str">
        <f>'W Light Exist'!B97</f>
        <v>High intensity discharge fixtures</v>
      </c>
      <c r="AO93" s="653"/>
      <c r="AP93" s="653"/>
      <c r="AQ93" s="653"/>
      <c r="AR93" s="644"/>
      <c r="AS93" s="2963"/>
      <c r="AT93" s="636"/>
      <c r="AU93" s="636"/>
      <c r="AV93" s="636"/>
      <c r="AW93" s="636"/>
      <c r="AX93" s="636"/>
      <c r="AY93" s="636"/>
      <c r="AZ93" s="636"/>
      <c r="BA93" s="636"/>
      <c r="BB93" s="636"/>
      <c r="BC93" s="636"/>
    </row>
    <row r="94" spans="1:55" ht="13.8">
      <c r="A94" s="500">
        <v>83</v>
      </c>
      <c r="B94" s="2723" t="str">
        <f t="shared" si="14"/>
        <v/>
      </c>
      <c r="C94" s="2198" t="str">
        <f>IF(F94="","",IF('[1]Indoor Lighting'!$R$2="Yes","Yes","No"))</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67" t="str">
        <f>'W Light Exist'!H98</f>
        <v/>
      </c>
      <c r="T94" s="2579" t="str">
        <f t="shared" ref="T94" si="290">IF(Q94="",S94,R94*(VLOOKUP(Q94,lighting,7,FALSE)/1000))</f>
        <v/>
      </c>
      <c r="U94" s="2580" t="str">
        <f>'W Light Exist'!J98</f>
        <v/>
      </c>
      <c r="V94" s="2086" t="str">
        <f>'W Light Exist'!K98</f>
        <v/>
      </c>
      <c r="W94" s="2086" t="str">
        <f>IF(T94="","",U94*T94)</f>
        <v/>
      </c>
      <c r="X94" s="2086" t="str">
        <f>IF(V94="","",V94-W94)</f>
        <v/>
      </c>
      <c r="Y94" s="2581" t="str">
        <f>IF(S94="","",S94-T94)</f>
        <v/>
      </c>
      <c r="Z94" s="4"/>
      <c r="AA94" s="2582" t="str">
        <f>IF(P94="","",(X94*'R3 Hist'!$R$27)+(Y94*'R3 Hist'!$Q$27*12*$W$192))</f>
        <v/>
      </c>
      <c r="AB94" s="2556" t="str">
        <f>IF(AA94="","",IF(AA94=0,"",AC94/AA94))</f>
        <v/>
      </c>
      <c r="AC94" s="2568" t="str">
        <f t="shared" si="182"/>
        <v/>
      </c>
      <c r="AD94" s="572"/>
      <c r="AE94" s="572" t="str">
        <f>R94</f>
        <v/>
      </c>
      <c r="AF94" s="572" t="str">
        <f t="shared" ref="AF94" si="291">IF(Q94="","",VLOOKUP(Q94,lighting,4,FALSE))</f>
        <v/>
      </c>
      <c r="AG94" s="572"/>
      <c r="AH94" s="1543">
        <f t="shared" ref="AH94" si="292">IF(AF94="",0,AF94*AE94)</f>
        <v>0</v>
      </c>
      <c r="AI94" s="2568">
        <f t="shared" ref="AI94" si="293">IF(P94="",0,VLOOKUP(P94,rettable,5,FALSE))</f>
        <v>0</v>
      </c>
      <c r="AJ94" s="2568"/>
      <c r="AK94" s="2284">
        <f t="shared" ref="AK94:AK117" si="294">IFERROR(AE94*AI94, 0)</f>
        <v>0</v>
      </c>
      <c r="AL94" s="2583"/>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3" t="str">
        <f t="shared" ref="B95:B102" si="296">AR95</f>
        <v/>
      </c>
      <c r="C95" s="2198" t="str">
        <f>IF(F95="","",IF('[1]Indoor Lighting'!$R$3="Yes","Yes","No"))</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67" t="str">
        <f>'W Light Exist'!H99</f>
        <v/>
      </c>
      <c r="T95" s="2579" t="str">
        <f t="shared" ref="T95:T102" si="309">IF(Q95="",S95,R95*(VLOOKUP(Q95,lighting,7,FALSE)/1000))</f>
        <v/>
      </c>
      <c r="U95" s="2580" t="str">
        <f>'W Light Exist'!J99</f>
        <v/>
      </c>
      <c r="V95" s="2086" t="str">
        <f>'W Light Exist'!K99</f>
        <v/>
      </c>
      <c r="W95" s="2086" t="str">
        <f t="shared" ref="W95:W102" si="310">IF(T95="","",U95*T95)</f>
        <v/>
      </c>
      <c r="X95" s="2086" t="str">
        <f t="shared" ref="X95:X102" si="311">IF(V95="","",V95-W95)</f>
        <v/>
      </c>
      <c r="Y95" s="2581" t="str">
        <f t="shared" ref="Y95:Y102" si="312">IF(S95="","",S95-T95)</f>
        <v/>
      </c>
      <c r="Z95" s="4"/>
      <c r="AA95" s="2582" t="str">
        <f>IF(P95="","",(X95*'R3 Hist'!$R$27)+(Y95*'R3 Hist'!$Q$27*12*$W$192))</f>
        <v/>
      </c>
      <c r="AB95" s="2556" t="str">
        <f t="shared" ref="AB95:AB102" si="313">IF(AA95="","",IF(AA95=0,"",AC95/AA95))</f>
        <v/>
      </c>
      <c r="AC95" s="2568"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68">
        <f t="shared" ref="AI95:AI102" si="318">IF(P95="",0,VLOOKUP(P95,rettable,5,FALSE))</f>
        <v>0</v>
      </c>
      <c r="AJ95" s="2568"/>
      <c r="AK95" s="2284">
        <f t="shared" si="294"/>
        <v>0</v>
      </c>
      <c r="AL95" s="2583"/>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3" t="str">
        <f t="shared" si="296"/>
        <v/>
      </c>
      <c r="C96" s="2198" t="str">
        <f>IF(F96="","",IF('[1]Indoor Lighting'!$R$4="Yes","Yes","No"))</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67" t="str">
        <f>'W Light Exist'!H100</f>
        <v/>
      </c>
      <c r="T96" s="2579" t="str">
        <f t="shared" si="309"/>
        <v/>
      </c>
      <c r="U96" s="2580" t="str">
        <f>'W Light Exist'!J100</f>
        <v/>
      </c>
      <c r="V96" s="2086" t="str">
        <f>'W Light Exist'!K100</f>
        <v/>
      </c>
      <c r="W96" s="2086" t="str">
        <f t="shared" si="310"/>
        <v/>
      </c>
      <c r="X96" s="2086" t="str">
        <f t="shared" si="311"/>
        <v/>
      </c>
      <c r="Y96" s="2581" t="str">
        <f t="shared" si="312"/>
        <v/>
      </c>
      <c r="Z96" s="4"/>
      <c r="AA96" s="2582" t="str">
        <f>IF(P96="","",(X96*'R3 Hist'!$R$27)+(Y96*'R3 Hist'!$Q$27*12*$W$192))</f>
        <v/>
      </c>
      <c r="AB96" s="2556" t="str">
        <f t="shared" si="313"/>
        <v/>
      </c>
      <c r="AC96" s="2568" t="str">
        <f t="shared" si="314"/>
        <v/>
      </c>
      <c r="AD96" s="572"/>
      <c r="AE96" s="572" t="str">
        <f t="shared" si="315"/>
        <v/>
      </c>
      <c r="AF96" s="572" t="str">
        <f t="shared" si="316"/>
        <v/>
      </c>
      <c r="AG96" s="572"/>
      <c r="AH96" s="1543">
        <f t="shared" si="317"/>
        <v>0</v>
      </c>
      <c r="AI96" s="2568">
        <f t="shared" si="318"/>
        <v>0</v>
      </c>
      <c r="AJ96" s="2568"/>
      <c r="AK96" s="2284">
        <f t="shared" si="294"/>
        <v>0</v>
      </c>
      <c r="AL96" s="2583"/>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3" t="str">
        <f t="shared" si="296"/>
        <v/>
      </c>
      <c r="C97" s="2198" t="str">
        <f>IF(F97="","",IF('[1]Indoor Lighting'!$R$5="Yes","Yes","No"))</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67" t="str">
        <f>'W Light Exist'!H101</f>
        <v/>
      </c>
      <c r="T97" s="2579" t="str">
        <f t="shared" si="309"/>
        <v/>
      </c>
      <c r="U97" s="2580" t="str">
        <f>'W Light Exist'!J101</f>
        <v/>
      </c>
      <c r="V97" s="2086" t="str">
        <f>'W Light Exist'!K101</f>
        <v/>
      </c>
      <c r="W97" s="2086" t="str">
        <f t="shared" si="310"/>
        <v/>
      </c>
      <c r="X97" s="2086" t="str">
        <f t="shared" si="311"/>
        <v/>
      </c>
      <c r="Y97" s="2581" t="str">
        <f t="shared" si="312"/>
        <v/>
      </c>
      <c r="Z97" s="4"/>
      <c r="AA97" s="2582" t="str">
        <f>IF(P97="","",(X97*'R3 Hist'!$R$27)+(Y97*'R3 Hist'!$Q$27*12*$W$192))</f>
        <v/>
      </c>
      <c r="AB97" s="2556" t="str">
        <f t="shared" si="313"/>
        <v/>
      </c>
      <c r="AC97" s="2568" t="str">
        <f t="shared" si="314"/>
        <v/>
      </c>
      <c r="AD97" s="572"/>
      <c r="AE97" s="572" t="str">
        <f t="shared" si="315"/>
        <v/>
      </c>
      <c r="AF97" s="572" t="str">
        <f t="shared" si="316"/>
        <v/>
      </c>
      <c r="AG97" s="572"/>
      <c r="AH97" s="1543">
        <f t="shared" si="317"/>
        <v>0</v>
      </c>
      <c r="AI97" s="2568">
        <f t="shared" si="318"/>
        <v>0</v>
      </c>
      <c r="AJ97" s="2568"/>
      <c r="AK97" s="2284">
        <f t="shared" si="294"/>
        <v>0</v>
      </c>
      <c r="AL97" s="2583"/>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3" t="str">
        <f t="shared" si="296"/>
        <v/>
      </c>
      <c r="C98" s="2198" t="str">
        <f>IF(F98="","",IF('[1]Indoor Lighting'!$R$6="Yes","Yes","No"))</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67" t="str">
        <f>'W Light Exist'!H102</f>
        <v/>
      </c>
      <c r="T98" s="2579" t="str">
        <f t="shared" si="309"/>
        <v/>
      </c>
      <c r="U98" s="2580" t="str">
        <f>'W Light Exist'!J102</f>
        <v/>
      </c>
      <c r="V98" s="2086" t="str">
        <f>'W Light Exist'!K102</f>
        <v/>
      </c>
      <c r="W98" s="2086" t="str">
        <f t="shared" si="310"/>
        <v/>
      </c>
      <c r="X98" s="2086" t="str">
        <f t="shared" si="311"/>
        <v/>
      </c>
      <c r="Y98" s="2581" t="str">
        <f t="shared" si="312"/>
        <v/>
      </c>
      <c r="Z98" s="4"/>
      <c r="AA98" s="2582" t="str">
        <f>IF(P98="","",(X98*'R3 Hist'!$R$27)+(Y98*'R3 Hist'!$Q$27*12*$W$192))</f>
        <v/>
      </c>
      <c r="AB98" s="2556" t="str">
        <f t="shared" si="313"/>
        <v/>
      </c>
      <c r="AC98" s="2568" t="str">
        <f t="shared" si="314"/>
        <v/>
      </c>
      <c r="AD98" s="572"/>
      <c r="AE98" s="572" t="str">
        <f t="shared" si="315"/>
        <v/>
      </c>
      <c r="AF98" s="572" t="str">
        <f t="shared" si="316"/>
        <v/>
      </c>
      <c r="AG98" s="572"/>
      <c r="AH98" s="1543">
        <f t="shared" si="317"/>
        <v>0</v>
      </c>
      <c r="AI98" s="2568">
        <f t="shared" si="318"/>
        <v>0</v>
      </c>
      <c r="AJ98" s="2568"/>
      <c r="AK98" s="2284">
        <f t="shared" si="294"/>
        <v>0</v>
      </c>
      <c r="AL98" s="2583"/>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3" t="str">
        <f t="shared" si="296"/>
        <v/>
      </c>
      <c r="C99" s="2198" t="str">
        <f>IF(F99="","",IF('[1]Indoor Lighting'!$R$7="Yes","Yes","No"))</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67" t="str">
        <f>'W Light Exist'!H103</f>
        <v/>
      </c>
      <c r="T99" s="2579" t="str">
        <f t="shared" si="309"/>
        <v/>
      </c>
      <c r="U99" s="2580" t="str">
        <f>'W Light Exist'!J103</f>
        <v/>
      </c>
      <c r="V99" s="2086" t="str">
        <f>'W Light Exist'!K103</f>
        <v/>
      </c>
      <c r="W99" s="2086" t="str">
        <f t="shared" si="310"/>
        <v/>
      </c>
      <c r="X99" s="2086" t="str">
        <f t="shared" si="311"/>
        <v/>
      </c>
      <c r="Y99" s="2581" t="str">
        <f t="shared" si="312"/>
        <v/>
      </c>
      <c r="Z99" s="4"/>
      <c r="AA99" s="2582" t="str">
        <f>IF(P99="","",(X99*'R3 Hist'!$R$27)+(Y99*'R3 Hist'!$Q$27*12*$W$192))</f>
        <v/>
      </c>
      <c r="AB99" s="2556" t="str">
        <f t="shared" si="313"/>
        <v/>
      </c>
      <c r="AC99" s="2568" t="str">
        <f t="shared" si="314"/>
        <v/>
      </c>
      <c r="AD99" s="572"/>
      <c r="AE99" s="572" t="str">
        <f t="shared" si="315"/>
        <v/>
      </c>
      <c r="AF99" s="572" t="str">
        <f t="shared" si="316"/>
        <v/>
      </c>
      <c r="AG99" s="572"/>
      <c r="AH99" s="1543">
        <f t="shared" si="317"/>
        <v>0</v>
      </c>
      <c r="AI99" s="2568">
        <f t="shared" si="318"/>
        <v>0</v>
      </c>
      <c r="AJ99" s="2568"/>
      <c r="AK99" s="2284">
        <f t="shared" si="294"/>
        <v>0</v>
      </c>
      <c r="AL99" s="2583"/>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3" t="str">
        <f t="shared" si="296"/>
        <v/>
      </c>
      <c r="C100" s="2198" t="str">
        <f>IF(F100="","",IF('[1]Indoor Lighting'!$R$8="Yes","Yes","No"))</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67" t="str">
        <f>'W Light Exist'!H104</f>
        <v/>
      </c>
      <c r="T100" s="2579" t="str">
        <f t="shared" si="309"/>
        <v/>
      </c>
      <c r="U100" s="2580" t="str">
        <f>'W Light Exist'!J104</f>
        <v/>
      </c>
      <c r="V100" s="2086" t="str">
        <f>'W Light Exist'!K104</f>
        <v/>
      </c>
      <c r="W100" s="2086" t="str">
        <f t="shared" si="310"/>
        <v/>
      </c>
      <c r="X100" s="2086" t="str">
        <f t="shared" si="311"/>
        <v/>
      </c>
      <c r="Y100" s="2581" t="str">
        <f t="shared" si="312"/>
        <v/>
      </c>
      <c r="Z100" s="4"/>
      <c r="AA100" s="2582" t="str">
        <f>IF(P100="","",(X100*'R3 Hist'!$R$27)+(Y100*'R3 Hist'!$Q$27*12*$W$192))</f>
        <v/>
      </c>
      <c r="AB100" s="2556" t="str">
        <f t="shared" si="313"/>
        <v/>
      </c>
      <c r="AC100" s="2568" t="str">
        <f t="shared" si="314"/>
        <v/>
      </c>
      <c r="AD100" s="572"/>
      <c r="AE100" s="572" t="str">
        <f t="shared" si="315"/>
        <v/>
      </c>
      <c r="AF100" s="572" t="str">
        <f t="shared" si="316"/>
        <v/>
      </c>
      <c r="AG100" s="572"/>
      <c r="AH100" s="1543">
        <f t="shared" si="317"/>
        <v>0</v>
      </c>
      <c r="AI100" s="2568">
        <f t="shared" si="318"/>
        <v>0</v>
      </c>
      <c r="AJ100" s="2568"/>
      <c r="AK100" s="2284">
        <f t="shared" si="294"/>
        <v>0</v>
      </c>
      <c r="AL100" s="2583"/>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3" t="str">
        <f t="shared" si="296"/>
        <v/>
      </c>
      <c r="C101" s="2198" t="str">
        <f>IF(F101="","",IF('[1]Indoor Lighting'!$R$9="Yes","Yes","No"))</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67" t="str">
        <f>'W Light Exist'!H105</f>
        <v/>
      </c>
      <c r="T101" s="2579" t="str">
        <f t="shared" si="309"/>
        <v/>
      </c>
      <c r="U101" s="2580" t="str">
        <f>'W Light Exist'!J105</f>
        <v/>
      </c>
      <c r="V101" s="2086" t="str">
        <f>'W Light Exist'!K105</f>
        <v/>
      </c>
      <c r="W101" s="2086" t="str">
        <f t="shared" si="310"/>
        <v/>
      </c>
      <c r="X101" s="2086" t="str">
        <f t="shared" si="311"/>
        <v/>
      </c>
      <c r="Y101" s="2581" t="str">
        <f t="shared" si="312"/>
        <v/>
      </c>
      <c r="Z101" s="4"/>
      <c r="AA101" s="2582" t="str">
        <f>IF(P101="","",(X101*'R3 Hist'!$R$27)+(Y101*'R3 Hist'!$Q$27*12*$W$192))</f>
        <v/>
      </c>
      <c r="AB101" s="2556" t="str">
        <f t="shared" si="313"/>
        <v/>
      </c>
      <c r="AC101" s="2568" t="str">
        <f t="shared" si="314"/>
        <v/>
      </c>
      <c r="AD101" s="572"/>
      <c r="AE101" s="572" t="str">
        <f t="shared" si="315"/>
        <v/>
      </c>
      <c r="AF101" s="572" t="str">
        <f t="shared" si="316"/>
        <v/>
      </c>
      <c r="AG101" s="572"/>
      <c r="AH101" s="1543">
        <f t="shared" si="317"/>
        <v>0</v>
      </c>
      <c r="AI101" s="2568">
        <f t="shared" si="318"/>
        <v>0</v>
      </c>
      <c r="AJ101" s="2568"/>
      <c r="AK101" s="2284">
        <f t="shared" si="294"/>
        <v>0</v>
      </c>
      <c r="AL101" s="2583"/>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3" t="str">
        <f t="shared" si="296"/>
        <v/>
      </c>
      <c r="C102" s="2198" t="str">
        <f>IF(F102="","",IF('[1]Indoor Lighting'!$R$10="Yes","Yes","No"))</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67" t="str">
        <f>'W Light Exist'!H106</f>
        <v/>
      </c>
      <c r="T102" s="2579" t="str">
        <f t="shared" si="309"/>
        <v/>
      </c>
      <c r="U102" s="2580" t="str">
        <f>'W Light Exist'!J106</f>
        <v/>
      </c>
      <c r="V102" s="2086" t="str">
        <f>'W Light Exist'!K106</f>
        <v/>
      </c>
      <c r="W102" s="2086" t="str">
        <f t="shared" si="310"/>
        <v/>
      </c>
      <c r="X102" s="2086" t="str">
        <f t="shared" si="311"/>
        <v/>
      </c>
      <c r="Y102" s="2581" t="str">
        <f t="shared" si="312"/>
        <v/>
      </c>
      <c r="Z102" s="4"/>
      <c r="AA102" s="2582" t="str">
        <f>IF(P102="","",(X102*'R3 Hist'!$R$27)+(Y102*'R3 Hist'!$Q$27*12*$W$192))</f>
        <v/>
      </c>
      <c r="AB102" s="2556" t="str">
        <f t="shared" si="313"/>
        <v/>
      </c>
      <c r="AC102" s="2568" t="str">
        <f t="shared" si="314"/>
        <v/>
      </c>
      <c r="AD102" s="572"/>
      <c r="AE102" s="572" t="str">
        <f t="shared" si="315"/>
        <v/>
      </c>
      <c r="AF102" s="572" t="str">
        <f t="shared" si="316"/>
        <v/>
      </c>
      <c r="AG102" s="572"/>
      <c r="AH102" s="1543">
        <f t="shared" si="317"/>
        <v>0</v>
      </c>
      <c r="AI102" s="2568">
        <f t="shared" si="318"/>
        <v>0</v>
      </c>
      <c r="AJ102" s="2568"/>
      <c r="AK102" s="2284">
        <f t="shared" si="294"/>
        <v>0</v>
      </c>
      <c r="AL102" s="2583"/>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3" t="str">
        <f t="shared" ref="B103:B117" si="321">AR103</f>
        <v/>
      </c>
      <c r="C103" s="2198" t="str">
        <f>IF(F103="","",IF('[1]Indoor Lighting'!$R$11="Yes","Yes","No"))</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67" t="str">
        <f>'W Light Exist'!H107</f>
        <v/>
      </c>
      <c r="T103" s="2579" t="str">
        <f t="shared" ref="T103:T117" si="334">IF(Q103="",S103,R103*(VLOOKUP(Q103,lighting,7,FALSE)/1000))</f>
        <v/>
      </c>
      <c r="U103" s="2580" t="str">
        <f>'W Light Exist'!J107</f>
        <v/>
      </c>
      <c r="V103" s="2086" t="str">
        <f>'W Light Exist'!K107</f>
        <v/>
      </c>
      <c r="W103" s="2086" t="str">
        <f t="shared" ref="W103:W117" si="335">IF(T103="","",U103*T103)</f>
        <v/>
      </c>
      <c r="X103" s="2086" t="str">
        <f t="shared" ref="X103:X117" si="336">IF(V103="","",V103-W103)</f>
        <v/>
      </c>
      <c r="Y103" s="2581" t="str">
        <f t="shared" ref="Y103:Y117" si="337">IF(S103="","",S103-T103)</f>
        <v/>
      </c>
      <c r="Z103" s="4"/>
      <c r="AA103" s="2582" t="str">
        <f>IF(P103="","",(X103*'R3 Hist'!$R$27)+(Y103*'R3 Hist'!$Q$27*12*$W$192))</f>
        <v/>
      </c>
      <c r="AB103" s="2556" t="str">
        <f t="shared" ref="AB103:AB117" si="338">IF(AA103="","",IF(AA103=0,"",AC103/AA103))</f>
        <v/>
      </c>
      <c r="AC103" s="2568"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68">
        <f t="shared" ref="AI103:AI117" si="343">IF(P103="",0,VLOOKUP(P103,rettable,5,FALSE))</f>
        <v>0</v>
      </c>
      <c r="AJ103" s="2568"/>
      <c r="AK103" s="2284">
        <f t="shared" si="294"/>
        <v>0</v>
      </c>
      <c r="AL103" s="2583"/>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3" t="str">
        <f t="shared" si="321"/>
        <v/>
      </c>
      <c r="C104" s="2198" t="str">
        <f>IF(F104="","",IF('[1]Indoor Lighting'!$R$12="Yes","Yes","No"))</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67" t="str">
        <f>'W Light Exist'!H108</f>
        <v/>
      </c>
      <c r="T104" s="2579" t="str">
        <f t="shared" si="334"/>
        <v/>
      </c>
      <c r="U104" s="2580" t="str">
        <f>'W Light Exist'!J108</f>
        <v/>
      </c>
      <c r="V104" s="2086" t="str">
        <f>'W Light Exist'!K108</f>
        <v/>
      </c>
      <c r="W104" s="2086" t="str">
        <f t="shared" si="335"/>
        <v/>
      </c>
      <c r="X104" s="2086" t="str">
        <f t="shared" si="336"/>
        <v/>
      </c>
      <c r="Y104" s="2581" t="str">
        <f t="shared" si="337"/>
        <v/>
      </c>
      <c r="Z104" s="4"/>
      <c r="AA104" s="2582" t="str">
        <f>IF(P104="","",(X104*'R3 Hist'!$R$27)+(Y104*'R3 Hist'!$Q$27*12*$W$192))</f>
        <v/>
      </c>
      <c r="AB104" s="2556" t="str">
        <f t="shared" si="338"/>
        <v/>
      </c>
      <c r="AC104" s="2568" t="str">
        <f t="shared" si="339"/>
        <v/>
      </c>
      <c r="AD104" s="572"/>
      <c r="AE104" s="572" t="str">
        <f t="shared" si="340"/>
        <v/>
      </c>
      <c r="AF104" s="572" t="str">
        <f t="shared" si="341"/>
        <v/>
      </c>
      <c r="AG104" s="572"/>
      <c r="AH104" s="1543">
        <f t="shared" si="342"/>
        <v>0</v>
      </c>
      <c r="AI104" s="2568">
        <f t="shared" si="343"/>
        <v>0</v>
      </c>
      <c r="AJ104" s="2568"/>
      <c r="AK104" s="2284">
        <f t="shared" si="294"/>
        <v>0</v>
      </c>
      <c r="AL104" s="2583"/>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3" t="str">
        <f t="shared" si="321"/>
        <v/>
      </c>
      <c r="C105" s="2198" t="str">
        <f>IF(F105="","",IF('[1]Indoor Lighting'!$R$13="Yes","Yes","No"))</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67" t="str">
        <f>'W Light Exist'!H109</f>
        <v/>
      </c>
      <c r="T105" s="2579" t="str">
        <f t="shared" si="334"/>
        <v/>
      </c>
      <c r="U105" s="2580" t="str">
        <f>'W Light Exist'!J109</f>
        <v/>
      </c>
      <c r="V105" s="2086" t="str">
        <f>'W Light Exist'!K109</f>
        <v/>
      </c>
      <c r="W105" s="2086" t="str">
        <f t="shared" si="335"/>
        <v/>
      </c>
      <c r="X105" s="2086" t="str">
        <f t="shared" si="336"/>
        <v/>
      </c>
      <c r="Y105" s="2581" t="str">
        <f t="shared" si="337"/>
        <v/>
      </c>
      <c r="Z105" s="4"/>
      <c r="AA105" s="2582" t="str">
        <f>IF(P105="","",(X105*'R3 Hist'!$R$27)+(Y105*'R3 Hist'!$Q$27*12*$W$192))</f>
        <v/>
      </c>
      <c r="AB105" s="2556" t="str">
        <f t="shared" si="338"/>
        <v/>
      </c>
      <c r="AC105" s="2568" t="str">
        <f t="shared" si="339"/>
        <v/>
      </c>
      <c r="AD105" s="572"/>
      <c r="AE105" s="572" t="str">
        <f t="shared" si="340"/>
        <v/>
      </c>
      <c r="AF105" s="572" t="str">
        <f t="shared" si="341"/>
        <v/>
      </c>
      <c r="AG105" s="572"/>
      <c r="AH105" s="1543">
        <f t="shared" si="342"/>
        <v>0</v>
      </c>
      <c r="AI105" s="2568">
        <f t="shared" si="343"/>
        <v>0</v>
      </c>
      <c r="AJ105" s="2568"/>
      <c r="AK105" s="2284">
        <f t="shared" si="294"/>
        <v>0</v>
      </c>
      <c r="AL105" s="2583"/>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3" t="str">
        <f t="shared" si="321"/>
        <v/>
      </c>
      <c r="C106" s="2198" t="str">
        <f>IF(F106="","",IF('[1]Indoor Lighting'!$R$14="Yes","Yes","No"))</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67" t="str">
        <f>'W Light Exist'!H110</f>
        <v/>
      </c>
      <c r="T106" s="2579" t="str">
        <f t="shared" si="334"/>
        <v/>
      </c>
      <c r="U106" s="2580" t="str">
        <f>'W Light Exist'!J110</f>
        <v/>
      </c>
      <c r="V106" s="2086" t="str">
        <f>'W Light Exist'!K110</f>
        <v/>
      </c>
      <c r="W106" s="2086" t="str">
        <f t="shared" si="335"/>
        <v/>
      </c>
      <c r="X106" s="2086" t="str">
        <f t="shared" si="336"/>
        <v/>
      </c>
      <c r="Y106" s="2581" t="str">
        <f t="shared" si="337"/>
        <v/>
      </c>
      <c r="Z106" s="4"/>
      <c r="AA106" s="2582" t="str">
        <f>IF(P106="","",(X106*'R3 Hist'!$R$27)+(Y106*'R3 Hist'!$Q$27*12*$W$192))</f>
        <v/>
      </c>
      <c r="AB106" s="2556" t="str">
        <f t="shared" si="338"/>
        <v/>
      </c>
      <c r="AC106" s="2568" t="str">
        <f t="shared" si="339"/>
        <v/>
      </c>
      <c r="AD106" s="572"/>
      <c r="AE106" s="572" t="str">
        <f t="shared" si="340"/>
        <v/>
      </c>
      <c r="AF106" s="572" t="str">
        <f t="shared" si="341"/>
        <v/>
      </c>
      <c r="AG106" s="572"/>
      <c r="AH106" s="1543">
        <f t="shared" si="342"/>
        <v>0</v>
      </c>
      <c r="AI106" s="2568">
        <f t="shared" si="343"/>
        <v>0</v>
      </c>
      <c r="AJ106" s="2568"/>
      <c r="AK106" s="2284">
        <f t="shared" si="294"/>
        <v>0</v>
      </c>
      <c r="AL106" s="2583"/>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3" t="str">
        <f t="shared" ref="B107" si="346">AR107</f>
        <v/>
      </c>
      <c r="C107" s="2198" t="str">
        <f>IF(F107="","",IF('[1]Indoor Lighting'!$R$15="Yes","Yes","No"))</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67" t="str">
        <f>'W Light Exist'!H111</f>
        <v/>
      </c>
      <c r="T107" s="2579" t="str">
        <f t="shared" ref="T107" si="359">IF(Q107="",S107,R107*(VLOOKUP(Q107,lighting,7,FALSE)/1000))</f>
        <v/>
      </c>
      <c r="U107" s="2580" t="str">
        <f>'W Light Exist'!J111</f>
        <v/>
      </c>
      <c r="V107" s="2086" t="str">
        <f>'W Light Exist'!K111</f>
        <v/>
      </c>
      <c r="W107" s="2086" t="str">
        <f t="shared" ref="W107" si="360">IF(T107="","",U107*T107)</f>
        <v/>
      </c>
      <c r="X107" s="2086" t="str">
        <f t="shared" ref="X107" si="361">IF(V107="","",V107-W107)</f>
        <v/>
      </c>
      <c r="Y107" s="2581" t="str">
        <f t="shared" ref="Y107" si="362">IF(S107="","",S107-T107)</f>
        <v/>
      </c>
      <c r="Z107" s="4"/>
      <c r="AA107" s="2582" t="str">
        <f>IF(P107="","",(X107*'R3 Hist'!$R$27)+(Y107*'R3 Hist'!$Q$27*12*$W$192))</f>
        <v/>
      </c>
      <c r="AB107" s="2556" t="str">
        <f t="shared" ref="AB107" si="363">IF(AA107="","",IF(AA107=0,"",AC107/AA107))</f>
        <v/>
      </c>
      <c r="AC107" s="2568"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68">
        <f t="shared" ref="AI107" si="368">IF(P107="",0,VLOOKUP(P107,rettable,5,FALSE))</f>
        <v>0</v>
      </c>
      <c r="AJ107" s="2568"/>
      <c r="AK107" s="2284">
        <f t="shared" ref="AK107" si="369">IFERROR(AE107*AI107, 0)</f>
        <v>0</v>
      </c>
      <c r="AL107" s="2583"/>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3"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67" t="str">
        <f>'W Light Exist'!H112</f>
        <v/>
      </c>
      <c r="T108" s="2579" t="str">
        <f t="shared" si="334"/>
        <v/>
      </c>
      <c r="U108" s="2580" t="str">
        <f>'W Light Exist'!J112</f>
        <v/>
      </c>
      <c r="V108" s="2086" t="str">
        <f>'W Light Exist'!K112</f>
        <v/>
      </c>
      <c r="W108" s="2086" t="str">
        <f t="shared" si="335"/>
        <v/>
      </c>
      <c r="X108" s="2086" t="str">
        <f t="shared" si="336"/>
        <v/>
      </c>
      <c r="Y108" s="2581" t="str">
        <f t="shared" si="337"/>
        <v/>
      </c>
      <c r="Z108" s="4"/>
      <c r="AA108" s="2582" t="str">
        <f>IF(P108="","",(X108*'R3 Hist'!$R$27)+(Y108*'R3 Hist'!$Q$27*12*$W$192))</f>
        <v/>
      </c>
      <c r="AB108" s="2556" t="str">
        <f t="shared" si="338"/>
        <v/>
      </c>
      <c r="AC108" s="2568" t="str">
        <f t="shared" si="339"/>
        <v/>
      </c>
      <c r="AD108" s="572"/>
      <c r="AE108" s="572" t="str">
        <f t="shared" si="340"/>
        <v/>
      </c>
      <c r="AF108" s="572" t="str">
        <f t="shared" si="341"/>
        <v/>
      </c>
      <c r="AG108" s="572"/>
      <c r="AH108" s="1543">
        <f t="shared" si="342"/>
        <v>0</v>
      </c>
      <c r="AI108" s="2568">
        <f t="shared" si="343"/>
        <v>0</v>
      </c>
      <c r="AJ108" s="2568"/>
      <c r="AK108" s="2284">
        <f t="shared" si="294"/>
        <v>0</v>
      </c>
      <c r="AL108" s="2583"/>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3"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67" t="str">
        <f>'W Light Exist'!H113</f>
        <v/>
      </c>
      <c r="T109" s="2579" t="str">
        <f t="shared" si="334"/>
        <v/>
      </c>
      <c r="U109" s="2580" t="str">
        <f>'W Light Exist'!J113</f>
        <v/>
      </c>
      <c r="V109" s="2086" t="str">
        <f>'W Light Exist'!K113</f>
        <v/>
      </c>
      <c r="W109" s="2086" t="str">
        <f t="shared" si="335"/>
        <v/>
      </c>
      <c r="X109" s="2086" t="str">
        <f t="shared" si="336"/>
        <v/>
      </c>
      <c r="Y109" s="2581" t="str">
        <f t="shared" si="337"/>
        <v/>
      </c>
      <c r="Z109" s="4"/>
      <c r="AA109" s="2582" t="str">
        <f>IF(P109="","",(X109*'R3 Hist'!$R$27)+(Y109*'R3 Hist'!$Q$27*12*$W$192))</f>
        <v/>
      </c>
      <c r="AB109" s="2556" t="str">
        <f t="shared" si="338"/>
        <v/>
      </c>
      <c r="AC109" s="2568" t="str">
        <f t="shared" si="339"/>
        <v/>
      </c>
      <c r="AD109" s="572"/>
      <c r="AE109" s="572" t="str">
        <f t="shared" si="340"/>
        <v/>
      </c>
      <c r="AF109" s="572" t="str">
        <f t="shared" si="341"/>
        <v/>
      </c>
      <c r="AG109" s="572"/>
      <c r="AH109" s="1543">
        <f t="shared" si="342"/>
        <v>0</v>
      </c>
      <c r="AI109" s="2568">
        <f t="shared" si="343"/>
        <v>0</v>
      </c>
      <c r="AJ109" s="2568"/>
      <c r="AK109" s="2284">
        <f t="shared" si="294"/>
        <v>0</v>
      </c>
      <c r="AL109" s="2583"/>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3"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67" t="str">
        <f>'W Light Exist'!H114</f>
        <v/>
      </c>
      <c r="T110" s="2579" t="str">
        <f t="shared" si="334"/>
        <v/>
      </c>
      <c r="U110" s="2580" t="str">
        <f>'W Light Exist'!J114</f>
        <v/>
      </c>
      <c r="V110" s="2086" t="str">
        <f>'W Light Exist'!K114</f>
        <v/>
      </c>
      <c r="W110" s="2086" t="str">
        <f t="shared" si="335"/>
        <v/>
      </c>
      <c r="X110" s="2086" t="str">
        <f t="shared" si="336"/>
        <v/>
      </c>
      <c r="Y110" s="2581" t="str">
        <f t="shared" si="337"/>
        <v/>
      </c>
      <c r="Z110" s="4"/>
      <c r="AA110" s="2582" t="str">
        <f>IF(P110="","",(X110*'R3 Hist'!$R$27)+(Y110*'R3 Hist'!$Q$27*12*$W$192))</f>
        <v/>
      </c>
      <c r="AB110" s="2556" t="str">
        <f t="shared" si="338"/>
        <v/>
      </c>
      <c r="AC110" s="2568" t="str">
        <f t="shared" si="339"/>
        <v/>
      </c>
      <c r="AD110" s="572"/>
      <c r="AE110" s="572" t="str">
        <f t="shared" si="340"/>
        <v/>
      </c>
      <c r="AF110" s="572" t="str">
        <f t="shared" si="341"/>
        <v/>
      </c>
      <c r="AG110" s="572"/>
      <c r="AH110" s="1543">
        <f t="shared" si="342"/>
        <v>0</v>
      </c>
      <c r="AI110" s="2568">
        <f t="shared" si="343"/>
        <v>0</v>
      </c>
      <c r="AJ110" s="2568"/>
      <c r="AK110" s="2284">
        <f t="shared" si="294"/>
        <v>0</v>
      </c>
      <c r="AL110" s="2583"/>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3"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67" t="str">
        <f>'W Light Exist'!H115</f>
        <v/>
      </c>
      <c r="T111" s="2579" t="str">
        <f t="shared" si="334"/>
        <v/>
      </c>
      <c r="U111" s="2580" t="str">
        <f>'W Light Exist'!J115</f>
        <v/>
      </c>
      <c r="V111" s="2086" t="str">
        <f>'W Light Exist'!K115</f>
        <v/>
      </c>
      <c r="W111" s="2086" t="str">
        <f t="shared" si="335"/>
        <v/>
      </c>
      <c r="X111" s="2086" t="str">
        <f t="shared" si="336"/>
        <v/>
      </c>
      <c r="Y111" s="2581" t="str">
        <f t="shared" si="337"/>
        <v/>
      </c>
      <c r="Z111" s="4"/>
      <c r="AA111" s="2582" t="str">
        <f>IF(P111="","",(X111*'R3 Hist'!$R$27)+(Y111*'R3 Hist'!$Q$27*12*$W$192))</f>
        <v/>
      </c>
      <c r="AB111" s="2556" t="str">
        <f t="shared" si="338"/>
        <v/>
      </c>
      <c r="AC111" s="2568" t="str">
        <f t="shared" si="339"/>
        <v/>
      </c>
      <c r="AD111" s="572"/>
      <c r="AE111" s="572" t="str">
        <f t="shared" si="340"/>
        <v/>
      </c>
      <c r="AF111" s="572" t="str">
        <f t="shared" si="341"/>
        <v/>
      </c>
      <c r="AG111" s="572"/>
      <c r="AH111" s="1543">
        <f t="shared" si="342"/>
        <v>0</v>
      </c>
      <c r="AI111" s="2568">
        <f t="shared" si="343"/>
        <v>0</v>
      </c>
      <c r="AJ111" s="2568"/>
      <c r="AK111" s="2284">
        <f t="shared" si="294"/>
        <v>0</v>
      </c>
      <c r="AL111" s="2583"/>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3"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67" t="str">
        <f>'W Light Exist'!H116</f>
        <v/>
      </c>
      <c r="T112" s="2579" t="str">
        <f t="shared" si="334"/>
        <v/>
      </c>
      <c r="U112" s="2580" t="str">
        <f>'W Light Exist'!J116</f>
        <v/>
      </c>
      <c r="V112" s="2086" t="str">
        <f>'W Light Exist'!K116</f>
        <v/>
      </c>
      <c r="W112" s="2086" t="str">
        <f t="shared" si="335"/>
        <v/>
      </c>
      <c r="X112" s="2086" t="str">
        <f t="shared" si="336"/>
        <v/>
      </c>
      <c r="Y112" s="2581" t="str">
        <f t="shared" si="337"/>
        <v/>
      </c>
      <c r="Z112" s="4"/>
      <c r="AA112" s="2582" t="str">
        <f>IF(P112="","",(X112*'R3 Hist'!$R$27)+(Y112*'R3 Hist'!$Q$27*12*$W$192))</f>
        <v/>
      </c>
      <c r="AB112" s="2556" t="str">
        <f t="shared" si="338"/>
        <v/>
      </c>
      <c r="AC112" s="2568" t="str">
        <f t="shared" si="339"/>
        <v/>
      </c>
      <c r="AD112" s="572"/>
      <c r="AE112" s="572" t="str">
        <f t="shared" si="340"/>
        <v/>
      </c>
      <c r="AF112" s="572" t="str">
        <f t="shared" si="341"/>
        <v/>
      </c>
      <c r="AG112" s="572"/>
      <c r="AH112" s="1543">
        <f t="shared" si="342"/>
        <v>0</v>
      </c>
      <c r="AI112" s="2568">
        <f t="shared" si="343"/>
        <v>0</v>
      </c>
      <c r="AJ112" s="2568"/>
      <c r="AK112" s="2284">
        <f t="shared" si="294"/>
        <v>0</v>
      </c>
      <c r="AL112" s="2583"/>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3"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67" t="str">
        <f>'W Light Exist'!H117</f>
        <v/>
      </c>
      <c r="T113" s="2579" t="str">
        <f t="shared" si="334"/>
        <v/>
      </c>
      <c r="U113" s="2580" t="str">
        <f>'W Light Exist'!J117</f>
        <v/>
      </c>
      <c r="V113" s="2086" t="str">
        <f>'W Light Exist'!K117</f>
        <v/>
      </c>
      <c r="W113" s="2086" t="str">
        <f t="shared" si="335"/>
        <v/>
      </c>
      <c r="X113" s="2086" t="str">
        <f t="shared" si="336"/>
        <v/>
      </c>
      <c r="Y113" s="2581" t="str">
        <f t="shared" si="337"/>
        <v/>
      </c>
      <c r="Z113" s="4"/>
      <c r="AA113" s="2582" t="str">
        <f>IF(P113="","",(X113*'R3 Hist'!$R$27)+(Y113*'R3 Hist'!$Q$27*12*$W$192))</f>
        <v/>
      </c>
      <c r="AB113" s="2556" t="str">
        <f t="shared" si="338"/>
        <v/>
      </c>
      <c r="AC113" s="2568" t="str">
        <f t="shared" si="339"/>
        <v/>
      </c>
      <c r="AD113" s="572"/>
      <c r="AE113" s="572" t="str">
        <f t="shared" si="340"/>
        <v/>
      </c>
      <c r="AF113" s="572" t="str">
        <f t="shared" si="341"/>
        <v/>
      </c>
      <c r="AG113" s="572"/>
      <c r="AH113" s="1543">
        <f t="shared" si="342"/>
        <v>0</v>
      </c>
      <c r="AI113" s="2568">
        <f t="shared" si="343"/>
        <v>0</v>
      </c>
      <c r="AJ113" s="2568"/>
      <c r="AK113" s="2284">
        <f t="shared" si="294"/>
        <v>0</v>
      </c>
      <c r="AL113" s="2583"/>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3"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67" t="str">
        <f>'W Light Exist'!H118</f>
        <v/>
      </c>
      <c r="T114" s="2579" t="str">
        <f t="shared" si="334"/>
        <v/>
      </c>
      <c r="U114" s="2580" t="str">
        <f>'W Light Exist'!J118</f>
        <v/>
      </c>
      <c r="V114" s="2086" t="str">
        <f>'W Light Exist'!K118</f>
        <v/>
      </c>
      <c r="W114" s="2086" t="str">
        <f t="shared" si="335"/>
        <v/>
      </c>
      <c r="X114" s="2086" t="str">
        <f t="shared" si="336"/>
        <v/>
      </c>
      <c r="Y114" s="2581" t="str">
        <f t="shared" si="337"/>
        <v/>
      </c>
      <c r="Z114" s="4"/>
      <c r="AA114" s="2582" t="str">
        <f>IF(P114="","",(X114*'R3 Hist'!$R$27)+(Y114*'R3 Hist'!$Q$27*12*$W$192))</f>
        <v/>
      </c>
      <c r="AB114" s="2556" t="str">
        <f t="shared" si="338"/>
        <v/>
      </c>
      <c r="AC114" s="2568" t="str">
        <f t="shared" si="339"/>
        <v/>
      </c>
      <c r="AD114" s="572"/>
      <c r="AE114" s="572" t="str">
        <f t="shared" si="340"/>
        <v/>
      </c>
      <c r="AF114" s="572" t="str">
        <f t="shared" si="341"/>
        <v/>
      </c>
      <c r="AG114" s="572"/>
      <c r="AH114" s="1543">
        <f t="shared" si="342"/>
        <v>0</v>
      </c>
      <c r="AI114" s="2568">
        <f t="shared" si="343"/>
        <v>0</v>
      </c>
      <c r="AJ114" s="2568"/>
      <c r="AK114" s="2284">
        <f t="shared" si="294"/>
        <v>0</v>
      </c>
      <c r="AL114" s="2583"/>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3"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67" t="str">
        <f>'W Light Exist'!H119</f>
        <v/>
      </c>
      <c r="T115" s="2579" t="str">
        <f t="shared" si="334"/>
        <v/>
      </c>
      <c r="U115" s="2580" t="str">
        <f>'W Light Exist'!J119</f>
        <v/>
      </c>
      <c r="V115" s="2086" t="str">
        <f>'W Light Exist'!K119</f>
        <v/>
      </c>
      <c r="W115" s="2086" t="str">
        <f t="shared" si="335"/>
        <v/>
      </c>
      <c r="X115" s="2086" t="str">
        <f t="shared" si="336"/>
        <v/>
      </c>
      <c r="Y115" s="2581" t="str">
        <f t="shared" si="337"/>
        <v/>
      </c>
      <c r="Z115" s="4"/>
      <c r="AA115" s="2582" t="str">
        <f>IF(P115="","",(X115*'R3 Hist'!$R$27)+(Y115*'R3 Hist'!$Q$27*12*$W$192))</f>
        <v/>
      </c>
      <c r="AB115" s="2556" t="str">
        <f t="shared" si="338"/>
        <v/>
      </c>
      <c r="AC115" s="2568" t="str">
        <f t="shared" si="339"/>
        <v/>
      </c>
      <c r="AD115" s="572"/>
      <c r="AE115" s="572" t="str">
        <f t="shared" si="340"/>
        <v/>
      </c>
      <c r="AF115" s="572" t="str">
        <f t="shared" si="341"/>
        <v/>
      </c>
      <c r="AG115" s="572"/>
      <c r="AH115" s="1543">
        <f t="shared" si="342"/>
        <v>0</v>
      </c>
      <c r="AI115" s="2568">
        <f t="shared" si="343"/>
        <v>0</v>
      </c>
      <c r="AJ115" s="2568"/>
      <c r="AK115" s="2284">
        <f t="shared" si="294"/>
        <v>0</v>
      </c>
      <c r="AL115" s="2583"/>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3"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67" t="str">
        <f>'W Light Exist'!H120</f>
        <v/>
      </c>
      <c r="T116" s="2579" t="str">
        <f t="shared" si="334"/>
        <v/>
      </c>
      <c r="U116" s="2580" t="str">
        <f>'W Light Exist'!J120</f>
        <v/>
      </c>
      <c r="V116" s="2086" t="str">
        <f>'W Light Exist'!K120</f>
        <v/>
      </c>
      <c r="W116" s="2086" t="str">
        <f t="shared" si="335"/>
        <v/>
      </c>
      <c r="X116" s="2086" t="str">
        <f t="shared" si="336"/>
        <v/>
      </c>
      <c r="Y116" s="2581" t="str">
        <f t="shared" si="337"/>
        <v/>
      </c>
      <c r="Z116" s="4"/>
      <c r="AA116" s="2582" t="str">
        <f>IF(P116="","",(X116*'R3 Hist'!$R$27)+(Y116*'R3 Hist'!$Q$27*12*$W$192))</f>
        <v/>
      </c>
      <c r="AB116" s="2556" t="str">
        <f t="shared" si="338"/>
        <v/>
      </c>
      <c r="AC116" s="2568" t="str">
        <f t="shared" si="339"/>
        <v/>
      </c>
      <c r="AD116" s="572"/>
      <c r="AE116" s="572" t="str">
        <f t="shared" si="340"/>
        <v/>
      </c>
      <c r="AF116" s="572" t="str">
        <f t="shared" si="341"/>
        <v/>
      </c>
      <c r="AG116" s="572"/>
      <c r="AH116" s="1543">
        <f t="shared" si="342"/>
        <v>0</v>
      </c>
      <c r="AI116" s="2568">
        <f t="shared" si="343"/>
        <v>0</v>
      </c>
      <c r="AJ116" s="2568"/>
      <c r="AK116" s="2284">
        <f t="shared" si="294"/>
        <v>0</v>
      </c>
      <c r="AL116" s="2583"/>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3"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67" t="str">
        <f>'W Light Exist'!H121</f>
        <v/>
      </c>
      <c r="T117" s="2579" t="str">
        <f t="shared" si="334"/>
        <v/>
      </c>
      <c r="U117" s="2580" t="str">
        <f>'W Light Exist'!J121</f>
        <v/>
      </c>
      <c r="V117" s="2086" t="str">
        <f>'W Light Exist'!K121</f>
        <v/>
      </c>
      <c r="W117" s="2086" t="str">
        <f t="shared" si="335"/>
        <v/>
      </c>
      <c r="X117" s="2086" t="str">
        <f t="shared" si="336"/>
        <v/>
      </c>
      <c r="Y117" s="2581" t="str">
        <f t="shared" si="337"/>
        <v/>
      </c>
      <c r="Z117" s="4"/>
      <c r="AA117" s="2582" t="str">
        <f>IF(P117="","",(X117*'R3 Hist'!$R$27)+(Y117*'R3 Hist'!$Q$27*12*$W$192))</f>
        <v/>
      </c>
      <c r="AB117" s="2556" t="str">
        <f t="shared" si="338"/>
        <v/>
      </c>
      <c r="AC117" s="2568" t="str">
        <f t="shared" si="339"/>
        <v/>
      </c>
      <c r="AD117" s="572"/>
      <c r="AE117" s="572" t="str">
        <f t="shared" si="340"/>
        <v/>
      </c>
      <c r="AF117" s="572" t="str">
        <f t="shared" si="341"/>
        <v/>
      </c>
      <c r="AG117" s="572"/>
      <c r="AH117" s="1543">
        <f t="shared" si="342"/>
        <v>0</v>
      </c>
      <c r="AI117" s="2568">
        <f t="shared" si="343"/>
        <v>0</v>
      </c>
      <c r="AJ117" s="2568"/>
      <c r="AK117" s="2284">
        <f t="shared" si="294"/>
        <v>0</v>
      </c>
      <c r="AL117" s="2583"/>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3">
        <f t="shared" si="14"/>
        <v>0</v>
      </c>
      <c r="C118" s="518"/>
      <c r="D118" s="500">
        <f>IF(C118="Yes",1+D112,0+D112)</f>
        <v>0</v>
      </c>
      <c r="E118" s="500">
        <f>IF(D118&gt;D112,D118,0)</f>
        <v>0</v>
      </c>
      <c r="F118" s="517"/>
      <c r="G118" s="2571"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6"/>
      <c r="S118" s="2577"/>
      <c r="T118" s="2585"/>
      <c r="U118" s="2586"/>
      <c r="V118" s="2587"/>
      <c r="W118" s="2587"/>
      <c r="X118" s="2587"/>
      <c r="Y118" s="2588"/>
      <c r="Z118" s="517"/>
      <c r="AA118" s="2589"/>
      <c r="AB118" s="2590"/>
      <c r="AC118" s="2578"/>
      <c r="AD118" s="2576"/>
      <c r="AE118" s="2576"/>
      <c r="AF118" s="2576"/>
      <c r="AG118" s="2576"/>
      <c r="AH118" s="2576"/>
      <c r="AI118" s="2578"/>
      <c r="AJ118" s="2578"/>
      <c r="AK118" s="2591"/>
      <c r="AL118" s="2583"/>
      <c r="AM118" s="636"/>
      <c r="AN118" s="655" t="s">
        <v>2070</v>
      </c>
      <c r="AO118" s="656"/>
      <c r="AP118" s="650"/>
      <c r="AQ118" s="650" t="str">
        <f t="shared" ref="AQ118" si="374">IF(P118="","",VLOOKUP(P118,rettable,2,FALSE))</f>
        <v/>
      </c>
      <c r="AR118" s="644"/>
      <c r="AS118" s="2963"/>
      <c r="AT118" s="636"/>
      <c r="AU118" s="636"/>
      <c r="AV118" s="636"/>
      <c r="AW118" s="636"/>
      <c r="AX118" s="636"/>
      <c r="AY118" s="636"/>
      <c r="AZ118" s="636"/>
      <c r="BA118" s="636"/>
      <c r="BB118" s="636"/>
      <c r="BC118" s="636"/>
    </row>
    <row r="119" spans="1:55" s="19" customFormat="1" ht="13.8" hidden="1">
      <c r="A119" s="1556">
        <v>56</v>
      </c>
      <c r="B119" s="2723">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2" t="str">
        <f>'W Light Exist'!H123</f>
        <v/>
      </c>
      <c r="T119" s="2579" t="str">
        <f t="shared" ref="T119:T128" si="380">IF(Q119="",S119,R119*(VLOOKUP(Q119,lighting,7,FALSE)/1000))</f>
        <v/>
      </c>
      <c r="U119" s="2580" t="str">
        <f>'W Light Exist'!J123</f>
        <v/>
      </c>
      <c r="V119" s="1557" t="str">
        <f>'W Light Exist'!K123</f>
        <v/>
      </c>
      <c r="W119" s="1557" t="str">
        <f>IF(T119="","",U119*T119)</f>
        <v/>
      </c>
      <c r="X119" s="1557" t="str">
        <f>IF(V119="","",V119-W119)</f>
        <v/>
      </c>
      <c r="Y119" s="2593" t="str">
        <f>IF(S119="","",S119-T119)</f>
        <v/>
      </c>
      <c r="Z119" s="515"/>
      <c r="AA119" s="1554" t="str">
        <f>IF(P119="","",(X119*'R3 Hist'!$R$27)+(Y119*'R3 Hist'!$Q$27*12*$W$192))</f>
        <v/>
      </c>
      <c r="AB119" s="2594" t="str">
        <f>IF(AA119="","",IF(AA119=0,"",AC119/AA119))</f>
        <v/>
      </c>
      <c r="AC119" s="2595" t="str">
        <f t="shared" ref="AC119:AC128" si="381">IF(P119="","",R119*VLOOKUP(P119,rettable,4,FALSE))</f>
        <v/>
      </c>
      <c r="AD119" s="1543"/>
      <c r="AE119" s="1543">
        <f>R119</f>
        <v>0</v>
      </c>
      <c r="AF119" s="1543" t="str">
        <f t="shared" ref="AF119:AF128" si="382">IF(Q119="","",VLOOKUP(Q119,lighting,4,FALSE))</f>
        <v/>
      </c>
      <c r="AG119" s="1543"/>
      <c r="AH119" s="1543">
        <f>IF(AF119="",0,AF119*AE119)</f>
        <v>0</v>
      </c>
      <c r="AI119" s="2595">
        <f t="shared" ref="AI119:AI128" si="383">IF(P119="",0,VLOOKUP(P119,rettable,5,FALSE))</f>
        <v>0</v>
      </c>
      <c r="AJ119" s="2595"/>
      <c r="AK119" s="2583">
        <f>AE119*AI119</f>
        <v>0</v>
      </c>
      <c r="AL119" s="2583"/>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3">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2" t="str">
        <f>'W Light Exist'!H124</f>
        <v/>
      </c>
      <c r="T120" s="2579" t="str">
        <f t="shared" si="380"/>
        <v/>
      </c>
      <c r="U120" s="2580" t="str">
        <f>'W Light Exist'!J124</f>
        <v/>
      </c>
      <c r="V120" s="1557" t="str">
        <f>'W Light Exist'!K124</f>
        <v/>
      </c>
      <c r="W120" s="1557" t="str">
        <f>IF(T120="","",U120*T120)</f>
        <v/>
      </c>
      <c r="X120" s="1557" t="str">
        <f>IF(V120="","",V120-W120)</f>
        <v/>
      </c>
      <c r="Y120" s="2593" t="str">
        <f>IF(S120="","",S120-T120)</f>
        <v/>
      </c>
      <c r="Z120" s="515"/>
      <c r="AA120" s="1554" t="str">
        <f>IF(P120="","",(X120*'R3 Hist'!$R$27)+(Y120*'R3 Hist'!$Q$27*12*$W$192))</f>
        <v/>
      </c>
      <c r="AB120" s="2594" t="str">
        <f>IF(AA120="","",IF(AA120=0,"",AC120/AA120))</f>
        <v/>
      </c>
      <c r="AC120" s="2595" t="str">
        <f t="shared" si="381"/>
        <v/>
      </c>
      <c r="AD120" s="1543"/>
      <c r="AE120" s="1543">
        <f>R120</f>
        <v>0</v>
      </c>
      <c r="AF120" s="1543" t="str">
        <f t="shared" si="382"/>
        <v/>
      </c>
      <c r="AG120" s="1543"/>
      <c r="AH120" s="1543">
        <f>IF(AF120="",0,AF120*AE120)</f>
        <v>0</v>
      </c>
      <c r="AI120" s="2595">
        <f t="shared" si="383"/>
        <v>0</v>
      </c>
      <c r="AJ120" s="2595"/>
      <c r="AK120" s="2583">
        <f>AE120*AI120</f>
        <v>0</v>
      </c>
      <c r="AL120" s="2583"/>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3">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2" t="str">
        <f>'W Light Exist'!H125</f>
        <v/>
      </c>
      <c r="T121" s="2579" t="str">
        <f t="shared" si="380"/>
        <v/>
      </c>
      <c r="U121" s="2580" t="str">
        <f>'W Light Exist'!J125</f>
        <v/>
      </c>
      <c r="V121" s="1557" t="str">
        <f>'W Light Exist'!K125</f>
        <v/>
      </c>
      <c r="W121" s="1557" t="str">
        <f t="shared" ref="W121:W128" si="389">IF(T121="","",U121*T121)</f>
        <v/>
      </c>
      <c r="X121" s="1557" t="str">
        <f t="shared" ref="X121:X128" si="390">IF(V121="","",V121-W121)</f>
        <v/>
      </c>
      <c r="Y121" s="2593" t="str">
        <f t="shared" ref="Y121:Y128" si="391">IF(S121="","",S121-T121)</f>
        <v/>
      </c>
      <c r="Z121" s="515"/>
      <c r="AA121" s="1554" t="str">
        <f>IF(P121="","",(X121*'R3 Hist'!$R$27)+(Y121*'R3 Hist'!$Q$27*12*$W$192))</f>
        <v/>
      </c>
      <c r="AB121" s="2594" t="str">
        <f t="shared" ref="AB121:AB128" si="392">IF(AA121="","",IF(AA121=0,"",AC121/AA121))</f>
        <v/>
      </c>
      <c r="AC121" s="2595" t="str">
        <f t="shared" si="381"/>
        <v/>
      </c>
      <c r="AD121" s="1543"/>
      <c r="AE121" s="1543">
        <f t="shared" ref="AE121:AE128" si="393">R121</f>
        <v>0</v>
      </c>
      <c r="AF121" s="1543" t="str">
        <f t="shared" si="382"/>
        <v/>
      </c>
      <c r="AG121" s="1543"/>
      <c r="AH121" s="1543">
        <f t="shared" ref="AH121:AH128" si="394">IF(AF121="",0,AF121*AE121)</f>
        <v>0</v>
      </c>
      <c r="AI121" s="2595">
        <f t="shared" si="383"/>
        <v>0</v>
      </c>
      <c r="AJ121" s="2595"/>
      <c r="AK121" s="2583">
        <f t="shared" ref="AK121:AK128" si="395">AE121*AI121</f>
        <v>0</v>
      </c>
      <c r="AL121" s="2583"/>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3">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2" t="str">
        <f>'W Light Exist'!H126</f>
        <v/>
      </c>
      <c r="T122" s="2579" t="str">
        <f t="shared" si="380"/>
        <v/>
      </c>
      <c r="U122" s="2580" t="str">
        <f>'W Light Exist'!J126</f>
        <v/>
      </c>
      <c r="V122" s="1557" t="str">
        <f>'W Light Exist'!K126</f>
        <v/>
      </c>
      <c r="W122" s="1557" t="str">
        <f t="shared" si="389"/>
        <v/>
      </c>
      <c r="X122" s="1557" t="str">
        <f t="shared" si="390"/>
        <v/>
      </c>
      <c r="Y122" s="2593" t="str">
        <f t="shared" si="391"/>
        <v/>
      </c>
      <c r="Z122" s="515"/>
      <c r="AA122" s="1554" t="str">
        <f>IF(P122="","",(X122*'R3 Hist'!$R$27)+(Y122*'R3 Hist'!$Q$27*12*$W$192))</f>
        <v/>
      </c>
      <c r="AB122" s="2594" t="str">
        <f t="shared" si="392"/>
        <v/>
      </c>
      <c r="AC122" s="2595" t="str">
        <f t="shared" si="381"/>
        <v/>
      </c>
      <c r="AD122" s="1543"/>
      <c r="AE122" s="1543">
        <f t="shared" si="393"/>
        <v>0</v>
      </c>
      <c r="AF122" s="1543" t="str">
        <f t="shared" si="382"/>
        <v/>
      </c>
      <c r="AG122" s="1543"/>
      <c r="AH122" s="1543">
        <f t="shared" si="394"/>
        <v>0</v>
      </c>
      <c r="AI122" s="2595">
        <f t="shared" si="383"/>
        <v>0</v>
      </c>
      <c r="AJ122" s="2595"/>
      <c r="AK122" s="2583">
        <f t="shared" si="395"/>
        <v>0</v>
      </c>
      <c r="AL122" s="2583"/>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3">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2" t="str">
        <f>'W Light Exist'!H127</f>
        <v/>
      </c>
      <c r="T123" s="2579" t="str">
        <f t="shared" si="380"/>
        <v/>
      </c>
      <c r="U123" s="2580" t="str">
        <f>'W Light Exist'!J127</f>
        <v/>
      </c>
      <c r="V123" s="1557" t="str">
        <f>'W Light Exist'!K127</f>
        <v/>
      </c>
      <c r="W123" s="1557" t="str">
        <f t="shared" si="389"/>
        <v/>
      </c>
      <c r="X123" s="1557" t="str">
        <f t="shared" si="390"/>
        <v/>
      </c>
      <c r="Y123" s="2593" t="str">
        <f t="shared" si="391"/>
        <v/>
      </c>
      <c r="Z123" s="515"/>
      <c r="AA123" s="1554" t="str">
        <f>IF(P123="","",(X123*'R3 Hist'!$R$27)+(Y123*'R3 Hist'!$Q$27*12*$W$192))</f>
        <v/>
      </c>
      <c r="AB123" s="2594" t="str">
        <f t="shared" si="392"/>
        <v/>
      </c>
      <c r="AC123" s="2595" t="str">
        <f t="shared" si="381"/>
        <v/>
      </c>
      <c r="AD123" s="1543"/>
      <c r="AE123" s="1543">
        <f t="shared" si="393"/>
        <v>0</v>
      </c>
      <c r="AF123" s="1543" t="str">
        <f t="shared" si="382"/>
        <v/>
      </c>
      <c r="AG123" s="1543"/>
      <c r="AH123" s="1543">
        <f t="shared" si="394"/>
        <v>0</v>
      </c>
      <c r="AI123" s="2595">
        <f t="shared" si="383"/>
        <v>0</v>
      </c>
      <c r="AJ123" s="2595"/>
      <c r="AK123" s="2583">
        <f t="shared" si="395"/>
        <v>0</v>
      </c>
      <c r="AL123" s="2583"/>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3">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2" t="str">
        <f>'W Light Exist'!H128</f>
        <v/>
      </c>
      <c r="T124" s="2579" t="str">
        <f t="shared" si="380"/>
        <v/>
      </c>
      <c r="U124" s="2580" t="str">
        <f>'W Light Exist'!J128</f>
        <v/>
      </c>
      <c r="V124" s="1557" t="str">
        <f>'W Light Exist'!K128</f>
        <v/>
      </c>
      <c r="W124" s="1557" t="str">
        <f t="shared" si="389"/>
        <v/>
      </c>
      <c r="X124" s="1557" t="str">
        <f t="shared" si="390"/>
        <v/>
      </c>
      <c r="Y124" s="2593" t="str">
        <f t="shared" si="391"/>
        <v/>
      </c>
      <c r="Z124" s="515"/>
      <c r="AA124" s="1554" t="str">
        <f>IF(P124="","",(X124*'R3 Hist'!$R$27)+(Y124*'R3 Hist'!$Q$27*12*$W$192))</f>
        <v/>
      </c>
      <c r="AB124" s="2594" t="str">
        <f t="shared" si="392"/>
        <v/>
      </c>
      <c r="AC124" s="2595" t="str">
        <f t="shared" si="381"/>
        <v/>
      </c>
      <c r="AD124" s="1543"/>
      <c r="AE124" s="1543">
        <f t="shared" si="393"/>
        <v>0</v>
      </c>
      <c r="AF124" s="1543" t="str">
        <f t="shared" si="382"/>
        <v/>
      </c>
      <c r="AG124" s="1543"/>
      <c r="AH124" s="1543">
        <f t="shared" si="394"/>
        <v>0</v>
      </c>
      <c r="AI124" s="2595">
        <f t="shared" si="383"/>
        <v>0</v>
      </c>
      <c r="AJ124" s="2595"/>
      <c r="AK124" s="2583">
        <f t="shared" si="395"/>
        <v>0</v>
      </c>
      <c r="AL124" s="2583"/>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3">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2" t="str">
        <f>'W Light Exist'!H129</f>
        <v/>
      </c>
      <c r="T125" s="2579" t="str">
        <f t="shared" si="380"/>
        <v/>
      </c>
      <c r="U125" s="2580" t="str">
        <f>'W Light Exist'!J129</f>
        <v/>
      </c>
      <c r="V125" s="1557" t="str">
        <f>'W Light Exist'!K129</f>
        <v/>
      </c>
      <c r="W125" s="1557" t="str">
        <f t="shared" si="389"/>
        <v/>
      </c>
      <c r="X125" s="1557" t="str">
        <f t="shared" si="390"/>
        <v/>
      </c>
      <c r="Y125" s="2593" t="str">
        <f t="shared" si="391"/>
        <v/>
      </c>
      <c r="Z125" s="515"/>
      <c r="AA125" s="1554" t="str">
        <f>IF(P125="","",(X125*'R3 Hist'!$R$27)+(Y125*'R3 Hist'!$Q$27*12*$W$192))</f>
        <v/>
      </c>
      <c r="AB125" s="2594" t="str">
        <f t="shared" si="392"/>
        <v/>
      </c>
      <c r="AC125" s="2595" t="str">
        <f t="shared" si="381"/>
        <v/>
      </c>
      <c r="AD125" s="1543"/>
      <c r="AE125" s="1543">
        <f t="shared" si="393"/>
        <v>0</v>
      </c>
      <c r="AF125" s="1543" t="str">
        <f t="shared" si="382"/>
        <v/>
      </c>
      <c r="AG125" s="1543"/>
      <c r="AH125" s="1543">
        <f t="shared" si="394"/>
        <v>0</v>
      </c>
      <c r="AI125" s="2595">
        <f t="shared" si="383"/>
        <v>0</v>
      </c>
      <c r="AJ125" s="2595"/>
      <c r="AK125" s="2583">
        <f t="shared" si="395"/>
        <v>0</v>
      </c>
      <c r="AL125" s="2583"/>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3">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2" t="str">
        <f>'W Light Exist'!H130</f>
        <v/>
      </c>
      <c r="T126" s="2579" t="str">
        <f t="shared" si="380"/>
        <v/>
      </c>
      <c r="U126" s="2580" t="str">
        <f>'W Light Exist'!J130</f>
        <v/>
      </c>
      <c r="V126" s="1557" t="str">
        <f>'W Light Exist'!K130</f>
        <v/>
      </c>
      <c r="W126" s="1557" t="str">
        <f t="shared" si="389"/>
        <v/>
      </c>
      <c r="X126" s="1557" t="str">
        <f t="shared" si="390"/>
        <v/>
      </c>
      <c r="Y126" s="2593" t="str">
        <f t="shared" si="391"/>
        <v/>
      </c>
      <c r="Z126" s="515"/>
      <c r="AA126" s="1554" t="str">
        <f>IF(P126="","",(X126*'R3 Hist'!$R$27)+(Y126*'R3 Hist'!$Q$27*12*$W$192))</f>
        <v/>
      </c>
      <c r="AB126" s="2594" t="str">
        <f t="shared" si="392"/>
        <v/>
      </c>
      <c r="AC126" s="2595" t="str">
        <f t="shared" si="381"/>
        <v/>
      </c>
      <c r="AD126" s="1543"/>
      <c r="AE126" s="1543">
        <f t="shared" si="393"/>
        <v>0</v>
      </c>
      <c r="AF126" s="1543" t="str">
        <f t="shared" si="382"/>
        <v/>
      </c>
      <c r="AG126" s="1543"/>
      <c r="AH126" s="1543">
        <f t="shared" si="394"/>
        <v>0</v>
      </c>
      <c r="AI126" s="2595">
        <f t="shared" si="383"/>
        <v>0</v>
      </c>
      <c r="AJ126" s="2595"/>
      <c r="AK126" s="2583">
        <f t="shared" si="395"/>
        <v>0</v>
      </c>
      <c r="AL126" s="2583"/>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3">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2" t="str">
        <f>'W Light Exist'!H131</f>
        <v/>
      </c>
      <c r="T127" s="2579" t="str">
        <f t="shared" si="380"/>
        <v/>
      </c>
      <c r="U127" s="2580" t="str">
        <f>'W Light Exist'!J131</f>
        <v/>
      </c>
      <c r="V127" s="1557" t="str">
        <f>'W Light Exist'!K131</f>
        <v/>
      </c>
      <c r="W127" s="1557" t="str">
        <f t="shared" si="389"/>
        <v/>
      </c>
      <c r="X127" s="1557" t="str">
        <f t="shared" si="390"/>
        <v/>
      </c>
      <c r="Y127" s="2593" t="str">
        <f t="shared" si="391"/>
        <v/>
      </c>
      <c r="Z127" s="515"/>
      <c r="AA127" s="1554" t="str">
        <f>IF(P127="","",(X127*'R3 Hist'!$R$27)+(Y127*'R3 Hist'!$Q$27*12*$W$192))</f>
        <v/>
      </c>
      <c r="AB127" s="2594" t="str">
        <f t="shared" si="392"/>
        <v/>
      </c>
      <c r="AC127" s="2595" t="str">
        <f t="shared" si="381"/>
        <v/>
      </c>
      <c r="AD127" s="1543"/>
      <c r="AE127" s="1543">
        <f t="shared" si="393"/>
        <v>0</v>
      </c>
      <c r="AF127" s="1543" t="str">
        <f t="shared" si="382"/>
        <v/>
      </c>
      <c r="AG127" s="1543"/>
      <c r="AH127" s="1543">
        <f t="shared" si="394"/>
        <v>0</v>
      </c>
      <c r="AI127" s="2595">
        <f t="shared" si="383"/>
        <v>0</v>
      </c>
      <c r="AJ127" s="2595"/>
      <c r="AK127" s="2583">
        <f t="shared" si="395"/>
        <v>0</v>
      </c>
      <c r="AL127" s="2583"/>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3">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2" t="str">
        <f>'W Light Exist'!H132</f>
        <v/>
      </c>
      <c r="T128" s="2579" t="str">
        <f t="shared" si="380"/>
        <v/>
      </c>
      <c r="U128" s="2580" t="str">
        <f>'W Light Exist'!J132</f>
        <v/>
      </c>
      <c r="V128" s="1557" t="str">
        <f>'W Light Exist'!K132</f>
        <v/>
      </c>
      <c r="W128" s="1557" t="str">
        <f t="shared" si="389"/>
        <v/>
      </c>
      <c r="X128" s="1557" t="str">
        <f t="shared" si="390"/>
        <v/>
      </c>
      <c r="Y128" s="2593" t="str">
        <f t="shared" si="391"/>
        <v/>
      </c>
      <c r="Z128" s="515"/>
      <c r="AA128" s="1554" t="str">
        <f>IF(P128="","",(X128*'R3 Hist'!$R$27)+(Y128*'R3 Hist'!$Q$27*12*$W$192))</f>
        <v/>
      </c>
      <c r="AB128" s="2594" t="str">
        <f t="shared" si="392"/>
        <v/>
      </c>
      <c r="AC128" s="2595" t="str">
        <f t="shared" si="381"/>
        <v/>
      </c>
      <c r="AD128" s="1543"/>
      <c r="AE128" s="1543">
        <f t="shared" si="393"/>
        <v>0</v>
      </c>
      <c r="AF128" s="1543" t="str">
        <f t="shared" si="382"/>
        <v/>
      </c>
      <c r="AG128" s="1543"/>
      <c r="AH128" s="1543">
        <f t="shared" si="394"/>
        <v>0</v>
      </c>
      <c r="AI128" s="2595">
        <f t="shared" si="383"/>
        <v>0</v>
      </c>
      <c r="AJ128" s="2595"/>
      <c r="AK128" s="2583">
        <f t="shared" si="395"/>
        <v>0</v>
      </c>
      <c r="AL128" s="2583"/>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27" t="s">
        <v>227</v>
      </c>
      <c r="B129" s="2726"/>
      <c r="C129" s="518"/>
      <c r="D129" s="500">
        <f t="shared" si="375"/>
        <v>0</v>
      </c>
      <c r="E129" s="500">
        <f t="shared" si="401"/>
        <v>0</v>
      </c>
      <c r="F129" s="2597"/>
      <c r="G129" s="2571"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6"/>
      <c r="S129" s="2577"/>
      <c r="T129" s="2585"/>
      <c r="U129" s="2586"/>
      <c r="V129" s="2587"/>
      <c r="W129" s="2587"/>
      <c r="X129" s="2587"/>
      <c r="Y129" s="2588"/>
      <c r="Z129" s="517"/>
      <c r="AA129" s="2589"/>
      <c r="AB129" s="2590"/>
      <c r="AC129" s="2578"/>
      <c r="AD129" s="2576"/>
      <c r="AE129" s="2576"/>
      <c r="AF129" s="2576"/>
      <c r="AG129" s="2576"/>
      <c r="AH129" s="2576"/>
      <c r="AI129" s="2578"/>
      <c r="AJ129" s="2578"/>
      <c r="AK129" s="2591"/>
      <c r="AL129" s="2583"/>
      <c r="AM129" s="636"/>
      <c r="AN129" s="3389" t="s">
        <v>2380</v>
      </c>
      <c r="AO129" s="3390"/>
      <c r="AP129" s="650"/>
      <c r="AQ129" s="650"/>
      <c r="AR129" s="644"/>
      <c r="AS129" s="2963"/>
      <c r="AT129" s="636"/>
      <c r="AU129" s="636"/>
      <c r="AV129" s="636"/>
      <c r="AW129" s="636"/>
      <c r="AX129" s="636"/>
      <c r="AY129" s="636"/>
      <c r="AZ129" s="636"/>
      <c r="BA129" s="636"/>
      <c r="BB129" s="636"/>
      <c r="BC129" s="636"/>
    </row>
    <row r="130" spans="1:55" ht="13.8" hidden="1">
      <c r="A130" s="500"/>
      <c r="B130" s="2723"/>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2" t="str">
        <f>'W Light Exist'!H134</f>
        <v/>
      </c>
      <c r="T130" s="2579" t="str">
        <f t="shared" ref="T130:T139" si="419">IF(Q130="",S130,R130*(VLOOKUP(Q130,lighting,7,FALSE)/1000))</f>
        <v/>
      </c>
      <c r="U130" s="2580" t="str">
        <f>'W Light Exist'!J134</f>
        <v/>
      </c>
      <c r="V130" s="1557" t="str">
        <f>'W Light Exist'!K134</f>
        <v/>
      </c>
      <c r="W130" s="1557" t="str">
        <f t="shared" ref="W130:W139" si="420">IF(T130="","",U130*T130)</f>
        <v/>
      </c>
      <c r="X130" s="1557" t="str">
        <f t="shared" ref="X130:X139" si="421">IF(V130="","",V130-W130)</f>
        <v/>
      </c>
      <c r="Y130" s="2593" t="str">
        <f t="shared" ref="Y130:Y139" si="422">IF(S130="","",S130-T130)</f>
        <v/>
      </c>
      <c r="Z130" s="515"/>
      <c r="AA130" s="1554" t="str">
        <f>IF(P130="","",(X130*'R3 Hist'!$R$27)+(Y130*'R3 Hist'!$Q$27*12*$W$192))</f>
        <v/>
      </c>
      <c r="AB130" s="2594" t="str">
        <f t="shared" ref="AB130:AB139" si="423">IF(AA130="","",IF(AA130=0,"",AC130/AA130))</f>
        <v/>
      </c>
      <c r="AC130" s="2595"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5">
        <f t="shared" ref="AI130:AI139" si="428">IF(P130="",0,VLOOKUP(P130,rettable,5,FALSE))</f>
        <v>0</v>
      </c>
      <c r="AJ130" s="2595"/>
      <c r="AK130" s="2583">
        <f t="shared" ref="AK130:AK139" si="429">AE130*AI130</f>
        <v>0</v>
      </c>
      <c r="AL130" s="2583"/>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3"/>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2" t="str">
        <f>'W Light Exist'!H135</f>
        <v/>
      </c>
      <c r="T131" s="2579" t="str">
        <f t="shared" si="419"/>
        <v/>
      </c>
      <c r="U131" s="2580" t="str">
        <f>'W Light Exist'!J135</f>
        <v/>
      </c>
      <c r="V131" s="1557" t="str">
        <f>'W Light Exist'!K135</f>
        <v/>
      </c>
      <c r="W131" s="1557" t="str">
        <f t="shared" si="420"/>
        <v/>
      </c>
      <c r="X131" s="1557" t="str">
        <f t="shared" si="421"/>
        <v/>
      </c>
      <c r="Y131" s="2593" t="str">
        <f t="shared" si="422"/>
        <v/>
      </c>
      <c r="Z131" s="515"/>
      <c r="AA131" s="1554" t="str">
        <f>IF(P131="","",(X131*'R3 Hist'!$R$27)+(Y131*'R3 Hist'!$Q$27*12*$W$192))</f>
        <v/>
      </c>
      <c r="AB131" s="2594" t="str">
        <f t="shared" si="423"/>
        <v/>
      </c>
      <c r="AC131" s="2595" t="str">
        <f t="shared" si="424"/>
        <v/>
      </c>
      <c r="AD131" s="1543"/>
      <c r="AE131" s="1543">
        <f t="shared" si="425"/>
        <v>0</v>
      </c>
      <c r="AF131" s="1543" t="str">
        <f t="shared" si="426"/>
        <v/>
      </c>
      <c r="AG131" s="1543"/>
      <c r="AH131" s="1543">
        <f t="shared" si="427"/>
        <v>0</v>
      </c>
      <c r="AI131" s="2595">
        <f t="shared" si="428"/>
        <v>0</v>
      </c>
      <c r="AJ131" s="2595"/>
      <c r="AK131" s="2583">
        <f t="shared" si="429"/>
        <v>0</v>
      </c>
      <c r="AL131" s="2583"/>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3"/>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2" t="str">
        <f>'W Light Exist'!H136</f>
        <v/>
      </c>
      <c r="T132" s="2579" t="str">
        <f t="shared" si="419"/>
        <v/>
      </c>
      <c r="U132" s="2580" t="str">
        <f>'W Light Exist'!J136</f>
        <v/>
      </c>
      <c r="V132" s="1557" t="str">
        <f>'W Light Exist'!K136</f>
        <v/>
      </c>
      <c r="W132" s="1557" t="str">
        <f t="shared" si="420"/>
        <v/>
      </c>
      <c r="X132" s="1557" t="str">
        <f t="shared" si="421"/>
        <v/>
      </c>
      <c r="Y132" s="2593" t="str">
        <f t="shared" si="422"/>
        <v/>
      </c>
      <c r="Z132" s="515"/>
      <c r="AA132" s="1554" t="str">
        <f>IF(P132="","",(X132*'R3 Hist'!$R$27)+(Y132*'R3 Hist'!$Q$27*12*$W$192))</f>
        <v/>
      </c>
      <c r="AB132" s="2594" t="str">
        <f t="shared" si="423"/>
        <v/>
      </c>
      <c r="AC132" s="2595" t="str">
        <f t="shared" si="424"/>
        <v/>
      </c>
      <c r="AD132" s="1543"/>
      <c r="AE132" s="1543">
        <f t="shared" si="425"/>
        <v>0</v>
      </c>
      <c r="AF132" s="1543" t="str">
        <f t="shared" si="426"/>
        <v/>
      </c>
      <c r="AG132" s="1543"/>
      <c r="AH132" s="1543">
        <f t="shared" si="427"/>
        <v>0</v>
      </c>
      <c r="AI132" s="2595">
        <f t="shared" si="428"/>
        <v>0</v>
      </c>
      <c r="AJ132" s="2595"/>
      <c r="AK132" s="2583">
        <f t="shared" si="429"/>
        <v>0</v>
      </c>
      <c r="AL132" s="2583"/>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3"/>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2" t="str">
        <f>'W Light Exist'!H137</f>
        <v/>
      </c>
      <c r="T133" s="2579" t="str">
        <f t="shared" si="419"/>
        <v/>
      </c>
      <c r="U133" s="2580" t="str">
        <f>'W Light Exist'!J137</f>
        <v/>
      </c>
      <c r="V133" s="1557" t="str">
        <f>'W Light Exist'!K137</f>
        <v/>
      </c>
      <c r="W133" s="1557" t="str">
        <f t="shared" si="420"/>
        <v/>
      </c>
      <c r="X133" s="1557" t="str">
        <f t="shared" si="421"/>
        <v/>
      </c>
      <c r="Y133" s="2593" t="str">
        <f t="shared" si="422"/>
        <v/>
      </c>
      <c r="Z133" s="515"/>
      <c r="AA133" s="1554" t="str">
        <f>IF(P133="","",(X133*'R3 Hist'!$R$27)+(Y133*'R3 Hist'!$Q$27*12*$W$192))</f>
        <v/>
      </c>
      <c r="AB133" s="2594" t="str">
        <f t="shared" si="423"/>
        <v/>
      </c>
      <c r="AC133" s="2595" t="str">
        <f t="shared" si="424"/>
        <v/>
      </c>
      <c r="AD133" s="1543"/>
      <c r="AE133" s="1543">
        <f t="shared" si="425"/>
        <v>0</v>
      </c>
      <c r="AF133" s="1543" t="str">
        <f t="shared" si="426"/>
        <v/>
      </c>
      <c r="AG133" s="1543"/>
      <c r="AH133" s="1543">
        <f t="shared" si="427"/>
        <v>0</v>
      </c>
      <c r="AI133" s="2595">
        <f t="shared" si="428"/>
        <v>0</v>
      </c>
      <c r="AJ133" s="2595"/>
      <c r="AK133" s="2583">
        <f t="shared" si="429"/>
        <v>0</v>
      </c>
      <c r="AL133" s="2583"/>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3"/>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2" t="str">
        <f>'W Light Exist'!H138</f>
        <v/>
      </c>
      <c r="T134" s="2579" t="str">
        <f t="shared" si="419"/>
        <v/>
      </c>
      <c r="U134" s="2580" t="str">
        <f>'W Light Exist'!J138</f>
        <v/>
      </c>
      <c r="V134" s="1557" t="str">
        <f>'W Light Exist'!K138</f>
        <v/>
      </c>
      <c r="W134" s="1557" t="str">
        <f t="shared" si="420"/>
        <v/>
      </c>
      <c r="X134" s="1557" t="str">
        <f t="shared" si="421"/>
        <v/>
      </c>
      <c r="Y134" s="2593" t="str">
        <f t="shared" si="422"/>
        <v/>
      </c>
      <c r="Z134" s="515"/>
      <c r="AA134" s="1554" t="str">
        <f>IF(P134="","",(X134*'R3 Hist'!$R$27)+(Y134*'R3 Hist'!$Q$27*12*$W$192))</f>
        <v/>
      </c>
      <c r="AB134" s="2594" t="str">
        <f t="shared" si="423"/>
        <v/>
      </c>
      <c r="AC134" s="2595" t="str">
        <f t="shared" si="424"/>
        <v/>
      </c>
      <c r="AD134" s="1543"/>
      <c r="AE134" s="1543">
        <f t="shared" si="425"/>
        <v>0</v>
      </c>
      <c r="AF134" s="1543" t="str">
        <f t="shared" si="426"/>
        <v/>
      </c>
      <c r="AG134" s="1543"/>
      <c r="AH134" s="1543">
        <f t="shared" si="427"/>
        <v>0</v>
      </c>
      <c r="AI134" s="2595">
        <f t="shared" si="428"/>
        <v>0</v>
      </c>
      <c r="AJ134" s="2595"/>
      <c r="AK134" s="2583">
        <f t="shared" si="429"/>
        <v>0</v>
      </c>
      <c r="AL134" s="2583"/>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3"/>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2" t="str">
        <f>'W Light Exist'!H139</f>
        <v/>
      </c>
      <c r="T135" s="2579" t="str">
        <f t="shared" si="419"/>
        <v/>
      </c>
      <c r="U135" s="2580" t="str">
        <f>'W Light Exist'!J139</f>
        <v/>
      </c>
      <c r="V135" s="1557" t="str">
        <f>'W Light Exist'!K139</f>
        <v/>
      </c>
      <c r="W135" s="1557" t="str">
        <f t="shared" si="420"/>
        <v/>
      </c>
      <c r="X135" s="1557" t="str">
        <f t="shared" si="421"/>
        <v/>
      </c>
      <c r="Y135" s="2593" t="str">
        <f t="shared" si="422"/>
        <v/>
      </c>
      <c r="Z135" s="515"/>
      <c r="AA135" s="1554" t="str">
        <f>IF(P135="","",(X135*'R3 Hist'!$R$27)+(Y135*'R3 Hist'!$Q$27*12*$W$192))</f>
        <v/>
      </c>
      <c r="AB135" s="2594" t="str">
        <f t="shared" si="423"/>
        <v/>
      </c>
      <c r="AC135" s="2595" t="str">
        <f t="shared" si="424"/>
        <v/>
      </c>
      <c r="AD135" s="1543"/>
      <c r="AE135" s="1543">
        <f t="shared" si="425"/>
        <v>0</v>
      </c>
      <c r="AF135" s="1543" t="str">
        <f t="shared" si="426"/>
        <v/>
      </c>
      <c r="AG135" s="1543"/>
      <c r="AH135" s="1543">
        <f t="shared" si="427"/>
        <v>0</v>
      </c>
      <c r="AI135" s="2595">
        <f t="shared" si="428"/>
        <v>0</v>
      </c>
      <c r="AJ135" s="2595"/>
      <c r="AK135" s="2583">
        <f t="shared" si="429"/>
        <v>0</v>
      </c>
      <c r="AL135" s="2583"/>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3"/>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2" t="str">
        <f>'W Light Exist'!H140</f>
        <v/>
      </c>
      <c r="T136" s="2579" t="str">
        <f t="shared" si="419"/>
        <v/>
      </c>
      <c r="U136" s="2580" t="str">
        <f>'W Light Exist'!J140</f>
        <v/>
      </c>
      <c r="V136" s="1557" t="str">
        <f>'W Light Exist'!K140</f>
        <v/>
      </c>
      <c r="W136" s="1557" t="str">
        <f t="shared" si="420"/>
        <v/>
      </c>
      <c r="X136" s="1557" t="str">
        <f t="shared" si="421"/>
        <v/>
      </c>
      <c r="Y136" s="2593" t="str">
        <f t="shared" si="422"/>
        <v/>
      </c>
      <c r="Z136" s="515"/>
      <c r="AA136" s="1554" t="str">
        <f>IF(P136="","",(X136*'R3 Hist'!$R$27)+(Y136*'R3 Hist'!$Q$27*12*$W$192))</f>
        <v/>
      </c>
      <c r="AB136" s="2594" t="str">
        <f t="shared" si="423"/>
        <v/>
      </c>
      <c r="AC136" s="2595" t="str">
        <f t="shared" si="424"/>
        <v/>
      </c>
      <c r="AD136" s="1543"/>
      <c r="AE136" s="1543">
        <f t="shared" si="425"/>
        <v>0</v>
      </c>
      <c r="AF136" s="1543" t="str">
        <f t="shared" si="426"/>
        <v/>
      </c>
      <c r="AG136" s="1543"/>
      <c r="AH136" s="1543">
        <f t="shared" si="427"/>
        <v>0</v>
      </c>
      <c r="AI136" s="2595">
        <f t="shared" si="428"/>
        <v>0</v>
      </c>
      <c r="AJ136" s="2595"/>
      <c r="AK136" s="2583">
        <f t="shared" si="429"/>
        <v>0</v>
      </c>
      <c r="AL136" s="2583"/>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3"/>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2" t="str">
        <f>'W Light Exist'!H141</f>
        <v/>
      </c>
      <c r="T137" s="2579" t="str">
        <f t="shared" si="419"/>
        <v/>
      </c>
      <c r="U137" s="2580" t="str">
        <f>'W Light Exist'!J141</f>
        <v/>
      </c>
      <c r="V137" s="1557" t="str">
        <f>'W Light Exist'!K141</f>
        <v/>
      </c>
      <c r="W137" s="1557" t="str">
        <f t="shared" si="420"/>
        <v/>
      </c>
      <c r="X137" s="1557" t="str">
        <f t="shared" si="421"/>
        <v/>
      </c>
      <c r="Y137" s="2593" t="str">
        <f t="shared" si="422"/>
        <v/>
      </c>
      <c r="Z137" s="515"/>
      <c r="AA137" s="1554" t="str">
        <f>IF(P137="","",(X137*'R3 Hist'!$R$27)+(Y137*'R3 Hist'!$Q$27*12*$W$192))</f>
        <v/>
      </c>
      <c r="AB137" s="2594" t="str">
        <f t="shared" si="423"/>
        <v/>
      </c>
      <c r="AC137" s="2595" t="str">
        <f t="shared" si="424"/>
        <v/>
      </c>
      <c r="AD137" s="1543"/>
      <c r="AE137" s="1543">
        <f t="shared" si="425"/>
        <v>0</v>
      </c>
      <c r="AF137" s="1543" t="str">
        <f t="shared" si="426"/>
        <v/>
      </c>
      <c r="AG137" s="1543"/>
      <c r="AH137" s="1543">
        <f t="shared" si="427"/>
        <v>0</v>
      </c>
      <c r="AI137" s="2595">
        <f t="shared" si="428"/>
        <v>0</v>
      </c>
      <c r="AJ137" s="2595"/>
      <c r="AK137" s="2583">
        <f t="shared" si="429"/>
        <v>0</v>
      </c>
      <c r="AL137" s="2583"/>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3"/>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2" t="str">
        <f>'W Light Exist'!H142</f>
        <v/>
      </c>
      <c r="T138" s="2579" t="str">
        <f t="shared" si="419"/>
        <v/>
      </c>
      <c r="U138" s="2580" t="str">
        <f>'W Light Exist'!J142</f>
        <v/>
      </c>
      <c r="V138" s="1557" t="str">
        <f>'W Light Exist'!K142</f>
        <v/>
      </c>
      <c r="W138" s="1557" t="str">
        <f t="shared" si="420"/>
        <v/>
      </c>
      <c r="X138" s="1557" t="str">
        <f t="shared" si="421"/>
        <v/>
      </c>
      <c r="Y138" s="2593" t="str">
        <f t="shared" si="422"/>
        <v/>
      </c>
      <c r="Z138" s="515"/>
      <c r="AA138" s="1554" t="str">
        <f>IF(P138="","",(X138*'R3 Hist'!$R$27)+(Y138*'R3 Hist'!$Q$27*12*$W$192))</f>
        <v/>
      </c>
      <c r="AB138" s="2594" t="str">
        <f t="shared" si="423"/>
        <v/>
      </c>
      <c r="AC138" s="2595" t="str">
        <f t="shared" si="424"/>
        <v/>
      </c>
      <c r="AD138" s="1543"/>
      <c r="AE138" s="1543">
        <f t="shared" si="425"/>
        <v>0</v>
      </c>
      <c r="AF138" s="1543" t="str">
        <f t="shared" si="426"/>
        <v/>
      </c>
      <c r="AG138" s="1543"/>
      <c r="AH138" s="1543">
        <f t="shared" si="427"/>
        <v>0</v>
      </c>
      <c r="AI138" s="2595">
        <f t="shared" si="428"/>
        <v>0</v>
      </c>
      <c r="AJ138" s="2595"/>
      <c r="AK138" s="2583">
        <f t="shared" si="429"/>
        <v>0</v>
      </c>
      <c r="AL138" s="2583"/>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3"/>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2" t="str">
        <f>'W Light Exist'!H143</f>
        <v/>
      </c>
      <c r="T139" s="2579" t="str">
        <f t="shared" si="419"/>
        <v/>
      </c>
      <c r="U139" s="2580" t="str">
        <f>'W Light Exist'!J143</f>
        <v/>
      </c>
      <c r="V139" s="1557" t="str">
        <f>'W Light Exist'!K143</f>
        <v/>
      </c>
      <c r="W139" s="1557" t="str">
        <f t="shared" si="420"/>
        <v/>
      </c>
      <c r="X139" s="1557" t="str">
        <f t="shared" si="421"/>
        <v/>
      </c>
      <c r="Y139" s="2593" t="str">
        <f t="shared" si="422"/>
        <v/>
      </c>
      <c r="Z139" s="515"/>
      <c r="AA139" s="1554" t="str">
        <f>IF(P139="","",(X139*'R3 Hist'!$R$27)+(Y139*'R3 Hist'!$Q$27*12*$W$192))</f>
        <v/>
      </c>
      <c r="AB139" s="2594" t="str">
        <f t="shared" si="423"/>
        <v/>
      </c>
      <c r="AC139" s="2595" t="str">
        <f t="shared" si="424"/>
        <v/>
      </c>
      <c r="AD139" s="1543"/>
      <c r="AE139" s="1543">
        <f t="shared" si="425"/>
        <v>0</v>
      </c>
      <c r="AF139" s="1543" t="str">
        <f t="shared" si="426"/>
        <v/>
      </c>
      <c r="AG139" s="1543"/>
      <c r="AH139" s="1543">
        <f t="shared" si="427"/>
        <v>0</v>
      </c>
      <c r="AI139" s="2595">
        <f t="shared" si="428"/>
        <v>0</v>
      </c>
      <c r="AJ139" s="2595"/>
      <c r="AK139" s="2583">
        <f t="shared" si="429"/>
        <v>0</v>
      </c>
      <c r="AL139" s="2583"/>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6" t="s">
        <v>2377</v>
      </c>
      <c r="B140" s="2726"/>
      <c r="C140" s="518"/>
      <c r="D140" s="500">
        <f>IF(C140="Yes",1+D139,0+D139)</f>
        <v>0</v>
      </c>
      <c r="E140" s="500">
        <f>IF(D140&gt;D139,D140,0)</f>
        <v>0</v>
      </c>
      <c r="F140" s="2597"/>
      <c r="G140" s="2584"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6"/>
      <c r="S140" s="2577"/>
      <c r="T140" s="2585"/>
      <c r="U140" s="2586"/>
      <c r="V140" s="2587"/>
      <c r="W140" s="2587"/>
      <c r="X140" s="2587"/>
      <c r="Y140" s="2588"/>
      <c r="Z140" s="517"/>
      <c r="AA140" s="2589"/>
      <c r="AB140" s="2590"/>
      <c r="AC140" s="2578"/>
      <c r="AD140" s="2576"/>
      <c r="AE140" s="2576"/>
      <c r="AF140" s="2576"/>
      <c r="AG140" s="2576"/>
      <c r="AH140" s="2576"/>
      <c r="AI140" s="2578"/>
      <c r="AJ140" s="2578"/>
      <c r="AK140" s="2591"/>
      <c r="AL140" s="2583"/>
      <c r="AM140" s="636"/>
      <c r="AN140" s="3389" t="s">
        <v>2377</v>
      </c>
      <c r="AO140" s="3390"/>
      <c r="AP140" s="650"/>
      <c r="AQ140" s="650"/>
      <c r="AR140" s="644"/>
      <c r="AS140" s="2963"/>
      <c r="AT140" s="636"/>
      <c r="AU140" s="636"/>
      <c r="AV140" s="636"/>
      <c r="AW140" s="636"/>
      <c r="AX140" s="636"/>
      <c r="AY140" s="636"/>
      <c r="AZ140" s="636"/>
      <c r="BA140" s="636"/>
      <c r="BB140" s="636"/>
      <c r="BC140" s="636"/>
    </row>
    <row r="141" spans="1:55" ht="12.75" customHeight="1">
      <c r="A141" s="514">
        <v>107</v>
      </c>
      <c r="B141" s="2723">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2" t="str">
        <f>'W Light Exist'!H145</f>
        <v/>
      </c>
      <c r="T141" s="2579" t="str">
        <f t="shared" ref="T141:T150" si="456">IF(Q141="",S141,R141*(VLOOKUP(Q141,lighting,7,FALSE)/1000))</f>
        <v/>
      </c>
      <c r="U141" s="2580" t="str">
        <f>'W Light Exist'!J145</f>
        <v/>
      </c>
      <c r="V141" s="1557" t="str">
        <f>'W Light Exist'!K145</f>
        <v/>
      </c>
      <c r="W141" s="1557" t="str">
        <f>IF(T141="","",U141*T141)</f>
        <v/>
      </c>
      <c r="X141" s="1557" t="str">
        <f>IF(V141="","",V141-W141)</f>
        <v/>
      </c>
      <c r="Y141" s="2593" t="str">
        <f>IF(S141="","",S141-T141)</f>
        <v/>
      </c>
      <c r="Z141" s="515"/>
      <c r="AA141" s="1554" t="str">
        <f>IF(P141="","",(X141*'R3 Hist'!$R$27)+(Y141*'R3 Hist'!$Q$27*12*$W$192))</f>
        <v/>
      </c>
      <c r="AB141" s="2594" t="str">
        <f>IF(AA141="","",IF(AA141=0,"",AC141/AA141))</f>
        <v/>
      </c>
      <c r="AC141" s="2595" t="str">
        <f t="shared" ref="AC141:AC150" si="457">IF(P141="","",R141*VLOOKUP(P141,rettable,4,FALSE))</f>
        <v/>
      </c>
      <c r="AD141" s="1543"/>
      <c r="AE141" s="1543">
        <f>R141</f>
        <v>0</v>
      </c>
      <c r="AF141" s="1543" t="str">
        <f t="shared" ref="AF141:AF150" si="458">IF(Q141="","",VLOOKUP(Q141,lighting,4,FALSE))</f>
        <v/>
      </c>
      <c r="AG141" s="1543"/>
      <c r="AH141" s="1543">
        <f>IF(AF141="",0,AF141*AE141)</f>
        <v>0</v>
      </c>
      <c r="AI141" s="2595">
        <f t="shared" ref="AI141:AI150" si="459">IF(P141="",0,VLOOKUP(P141,rettable,5,FALSE))</f>
        <v>0</v>
      </c>
      <c r="AJ141" s="2595"/>
      <c r="AK141" s="2583">
        <f>AE141*AI141</f>
        <v>0</v>
      </c>
      <c r="AL141" s="2583"/>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3">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2" t="str">
        <f>'W Light Exist'!H146</f>
        <v/>
      </c>
      <c r="T142" s="2579" t="str">
        <f t="shared" si="456"/>
        <v/>
      </c>
      <c r="U142" s="2580" t="str">
        <f>'W Light Exist'!J146</f>
        <v/>
      </c>
      <c r="V142" s="1557" t="str">
        <f>'W Light Exist'!K146</f>
        <v/>
      </c>
      <c r="W142" s="1557" t="str">
        <f t="shared" ref="W142:W150" si="471">IF(T142="","",U142*T142)</f>
        <v/>
      </c>
      <c r="X142" s="1557" t="str">
        <f t="shared" ref="X142:X150" si="472">IF(V142="","",V142-W142)</f>
        <v/>
      </c>
      <c r="Y142" s="2593" t="str">
        <f t="shared" ref="Y142:Y150" si="473">IF(S142="","",S142-T142)</f>
        <v/>
      </c>
      <c r="Z142" s="515"/>
      <c r="AA142" s="1554" t="str">
        <f>IF(P142="","",(X142*'R3 Hist'!$R$27)+(Y142*'R3 Hist'!$Q$27*12*$W$192))</f>
        <v/>
      </c>
      <c r="AB142" s="2594" t="str">
        <f t="shared" ref="AB142:AB150" si="474">IF(AA142="","",IF(AA142=0,"",AC142/AA142))</f>
        <v/>
      </c>
      <c r="AC142" s="2595" t="str">
        <f t="shared" si="457"/>
        <v/>
      </c>
      <c r="AD142" s="1543"/>
      <c r="AE142" s="1543">
        <f t="shared" ref="AE142:AE150" si="475">R142</f>
        <v>0</v>
      </c>
      <c r="AF142" s="1543" t="str">
        <f t="shared" si="458"/>
        <v/>
      </c>
      <c r="AG142" s="1543"/>
      <c r="AH142" s="1543">
        <f t="shared" ref="AH142:AH150" si="476">IF(AF142="",0,AF142*AE142)</f>
        <v>0</v>
      </c>
      <c r="AI142" s="2595">
        <f t="shared" si="459"/>
        <v>0</v>
      </c>
      <c r="AJ142" s="2595"/>
      <c r="AK142" s="2583">
        <f t="shared" ref="AK142:AK150" si="477">AE142*AI142</f>
        <v>0</v>
      </c>
      <c r="AL142" s="2583"/>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3">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2" t="str">
        <f>'W Light Exist'!H147</f>
        <v/>
      </c>
      <c r="T143" s="2579" t="str">
        <f t="shared" si="456"/>
        <v/>
      </c>
      <c r="U143" s="2580" t="str">
        <f>'W Light Exist'!J147</f>
        <v/>
      </c>
      <c r="V143" s="1557" t="str">
        <f>'W Light Exist'!K147</f>
        <v/>
      </c>
      <c r="W143" s="1557" t="str">
        <f t="shared" si="471"/>
        <v/>
      </c>
      <c r="X143" s="1557" t="str">
        <f t="shared" si="472"/>
        <v/>
      </c>
      <c r="Y143" s="2593" t="str">
        <f t="shared" si="473"/>
        <v/>
      </c>
      <c r="Z143" s="515"/>
      <c r="AA143" s="1554" t="str">
        <f>IF(P143="","",(X143*'R3 Hist'!$R$27)+(Y143*'R3 Hist'!$Q$27*12*$W$192))</f>
        <v/>
      </c>
      <c r="AB143" s="2594" t="str">
        <f t="shared" si="474"/>
        <v/>
      </c>
      <c r="AC143" s="2595" t="str">
        <f t="shared" si="457"/>
        <v/>
      </c>
      <c r="AD143" s="1543"/>
      <c r="AE143" s="1543">
        <f t="shared" si="475"/>
        <v>0</v>
      </c>
      <c r="AF143" s="1543" t="str">
        <f t="shared" si="458"/>
        <v/>
      </c>
      <c r="AG143" s="1543"/>
      <c r="AH143" s="1543">
        <f t="shared" si="476"/>
        <v>0</v>
      </c>
      <c r="AI143" s="2595">
        <f t="shared" si="459"/>
        <v>0</v>
      </c>
      <c r="AJ143" s="2595"/>
      <c r="AK143" s="2583">
        <f t="shared" si="477"/>
        <v>0</v>
      </c>
      <c r="AL143" s="2583"/>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3">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2" t="str">
        <f>'W Light Exist'!H148</f>
        <v/>
      </c>
      <c r="T144" s="2579" t="str">
        <f t="shared" si="456"/>
        <v/>
      </c>
      <c r="U144" s="2580" t="str">
        <f>'W Light Exist'!J148</f>
        <v/>
      </c>
      <c r="V144" s="1557" t="str">
        <f>'W Light Exist'!K148</f>
        <v/>
      </c>
      <c r="W144" s="1557" t="str">
        <f t="shared" si="471"/>
        <v/>
      </c>
      <c r="X144" s="1557" t="str">
        <f t="shared" si="472"/>
        <v/>
      </c>
      <c r="Y144" s="2593" t="str">
        <f t="shared" si="473"/>
        <v/>
      </c>
      <c r="Z144" s="515"/>
      <c r="AA144" s="1554" t="str">
        <f>IF(P144="","",(X144*'R3 Hist'!$R$27)+(Y144*'R3 Hist'!$Q$27*12*$W$192))</f>
        <v/>
      </c>
      <c r="AB144" s="2594" t="str">
        <f t="shared" si="474"/>
        <v/>
      </c>
      <c r="AC144" s="2595" t="str">
        <f t="shared" si="457"/>
        <v/>
      </c>
      <c r="AD144" s="1543"/>
      <c r="AE144" s="1543">
        <f t="shared" si="475"/>
        <v>0</v>
      </c>
      <c r="AF144" s="1543" t="str">
        <f t="shared" si="458"/>
        <v/>
      </c>
      <c r="AG144" s="1543"/>
      <c r="AH144" s="1543">
        <f t="shared" si="476"/>
        <v>0</v>
      </c>
      <c r="AI144" s="2595">
        <f t="shared" si="459"/>
        <v>0</v>
      </c>
      <c r="AJ144" s="2595"/>
      <c r="AK144" s="2583">
        <f t="shared" si="477"/>
        <v>0</v>
      </c>
      <c r="AL144" s="2583"/>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3">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2" t="str">
        <f>'W Light Exist'!H149</f>
        <v/>
      </c>
      <c r="T145" s="2579" t="str">
        <f t="shared" si="456"/>
        <v/>
      </c>
      <c r="U145" s="2580" t="str">
        <f>'W Light Exist'!J149</f>
        <v/>
      </c>
      <c r="V145" s="1557" t="str">
        <f>'W Light Exist'!K149</f>
        <v/>
      </c>
      <c r="W145" s="1557" t="str">
        <f t="shared" si="471"/>
        <v/>
      </c>
      <c r="X145" s="1557" t="str">
        <f t="shared" si="472"/>
        <v/>
      </c>
      <c r="Y145" s="2593" t="str">
        <f t="shared" si="473"/>
        <v/>
      </c>
      <c r="Z145" s="515"/>
      <c r="AA145" s="1554" t="str">
        <f>IF(P145="","",(X145*'R3 Hist'!$R$27)+(Y145*'R3 Hist'!$Q$27*12*$W$192))</f>
        <v/>
      </c>
      <c r="AB145" s="2594" t="str">
        <f t="shared" si="474"/>
        <v/>
      </c>
      <c r="AC145" s="2595" t="str">
        <f t="shared" si="457"/>
        <v/>
      </c>
      <c r="AD145" s="1543"/>
      <c r="AE145" s="1543">
        <f t="shared" si="475"/>
        <v>0</v>
      </c>
      <c r="AF145" s="1543" t="str">
        <f t="shared" si="458"/>
        <v/>
      </c>
      <c r="AG145" s="1543"/>
      <c r="AH145" s="1543">
        <f t="shared" si="476"/>
        <v>0</v>
      </c>
      <c r="AI145" s="2595">
        <f t="shared" si="459"/>
        <v>0</v>
      </c>
      <c r="AJ145" s="2595"/>
      <c r="AK145" s="2583">
        <f t="shared" si="477"/>
        <v>0</v>
      </c>
      <c r="AL145" s="2583"/>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3">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2" t="str">
        <f>'W Light Exist'!H150</f>
        <v/>
      </c>
      <c r="T146" s="2579" t="str">
        <f t="shared" si="456"/>
        <v/>
      </c>
      <c r="U146" s="2580" t="str">
        <f>'W Light Exist'!J150</f>
        <v/>
      </c>
      <c r="V146" s="1557" t="str">
        <f>'W Light Exist'!K150</f>
        <v/>
      </c>
      <c r="W146" s="1557" t="str">
        <f t="shared" si="471"/>
        <v/>
      </c>
      <c r="X146" s="1557" t="str">
        <f t="shared" si="472"/>
        <v/>
      </c>
      <c r="Y146" s="2593" t="str">
        <f t="shared" si="473"/>
        <v/>
      </c>
      <c r="Z146" s="515"/>
      <c r="AA146" s="1554" t="str">
        <f>IF(P146="","",(X146*'R3 Hist'!$R$27)+(Y146*'R3 Hist'!$Q$27*12*$W$192))</f>
        <v/>
      </c>
      <c r="AB146" s="2594" t="str">
        <f t="shared" si="474"/>
        <v/>
      </c>
      <c r="AC146" s="2595" t="str">
        <f t="shared" si="457"/>
        <v/>
      </c>
      <c r="AD146" s="1543"/>
      <c r="AE146" s="1543">
        <f t="shared" si="475"/>
        <v>0</v>
      </c>
      <c r="AF146" s="1543" t="str">
        <f t="shared" si="458"/>
        <v/>
      </c>
      <c r="AG146" s="1543"/>
      <c r="AH146" s="1543">
        <f t="shared" si="476"/>
        <v>0</v>
      </c>
      <c r="AI146" s="2595">
        <f t="shared" si="459"/>
        <v>0</v>
      </c>
      <c r="AJ146" s="2595"/>
      <c r="AK146" s="2583">
        <f t="shared" si="477"/>
        <v>0</v>
      </c>
      <c r="AL146" s="2583"/>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3">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2" t="str">
        <f>'W Light Exist'!H151</f>
        <v/>
      </c>
      <c r="T147" s="2579" t="str">
        <f t="shared" si="456"/>
        <v/>
      </c>
      <c r="U147" s="2580" t="str">
        <f>'W Light Exist'!J151</f>
        <v/>
      </c>
      <c r="V147" s="1557" t="str">
        <f>'W Light Exist'!K151</f>
        <v/>
      </c>
      <c r="W147" s="1557" t="str">
        <f t="shared" si="471"/>
        <v/>
      </c>
      <c r="X147" s="1557" t="str">
        <f t="shared" si="472"/>
        <v/>
      </c>
      <c r="Y147" s="2593" t="str">
        <f t="shared" si="473"/>
        <v/>
      </c>
      <c r="Z147" s="515"/>
      <c r="AA147" s="1554" t="str">
        <f>IF(P147="","",(X147*'R3 Hist'!$R$27)+(Y147*'R3 Hist'!$Q$27*12*$W$192))</f>
        <v/>
      </c>
      <c r="AB147" s="2594" t="str">
        <f t="shared" si="474"/>
        <v/>
      </c>
      <c r="AC147" s="2595" t="str">
        <f t="shared" si="457"/>
        <v/>
      </c>
      <c r="AD147" s="1543"/>
      <c r="AE147" s="1543">
        <f t="shared" si="475"/>
        <v>0</v>
      </c>
      <c r="AF147" s="1543" t="str">
        <f t="shared" si="458"/>
        <v/>
      </c>
      <c r="AG147" s="1543"/>
      <c r="AH147" s="1543">
        <f t="shared" si="476"/>
        <v>0</v>
      </c>
      <c r="AI147" s="2595">
        <f t="shared" si="459"/>
        <v>0</v>
      </c>
      <c r="AJ147" s="2595"/>
      <c r="AK147" s="2583">
        <f t="shared" si="477"/>
        <v>0</v>
      </c>
      <c r="AL147" s="2583"/>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3">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2" t="str">
        <f>'W Light Exist'!H152</f>
        <v/>
      </c>
      <c r="T148" s="2579" t="str">
        <f t="shared" si="456"/>
        <v/>
      </c>
      <c r="U148" s="2580" t="str">
        <f>'W Light Exist'!J152</f>
        <v/>
      </c>
      <c r="V148" s="1557" t="str">
        <f>'W Light Exist'!K152</f>
        <v/>
      </c>
      <c r="W148" s="1557" t="str">
        <f t="shared" si="471"/>
        <v/>
      </c>
      <c r="X148" s="1557" t="str">
        <f t="shared" si="472"/>
        <v/>
      </c>
      <c r="Y148" s="2593" t="str">
        <f t="shared" si="473"/>
        <v/>
      </c>
      <c r="Z148" s="515"/>
      <c r="AA148" s="1554" t="str">
        <f>IF(P148="","",(X148*'R3 Hist'!$R$27)+(Y148*'R3 Hist'!$Q$27*12*$W$192))</f>
        <v/>
      </c>
      <c r="AB148" s="2594" t="str">
        <f t="shared" si="474"/>
        <v/>
      </c>
      <c r="AC148" s="2595" t="str">
        <f t="shared" si="457"/>
        <v/>
      </c>
      <c r="AD148" s="1543"/>
      <c r="AE148" s="1543">
        <f t="shared" si="475"/>
        <v>0</v>
      </c>
      <c r="AF148" s="1543" t="str">
        <f t="shared" si="458"/>
        <v/>
      </c>
      <c r="AG148" s="1543"/>
      <c r="AH148" s="1543">
        <f t="shared" si="476"/>
        <v>0</v>
      </c>
      <c r="AI148" s="2595">
        <f t="shared" si="459"/>
        <v>0</v>
      </c>
      <c r="AJ148" s="2595"/>
      <c r="AK148" s="2583">
        <f t="shared" si="477"/>
        <v>0</v>
      </c>
      <c r="AL148" s="2583"/>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3">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2" t="str">
        <f>'W Light Exist'!H153</f>
        <v/>
      </c>
      <c r="T149" s="2579" t="str">
        <f t="shared" si="456"/>
        <v/>
      </c>
      <c r="U149" s="2580" t="str">
        <f>'W Light Exist'!J153</f>
        <v/>
      </c>
      <c r="V149" s="1557" t="str">
        <f>'W Light Exist'!K153</f>
        <v/>
      </c>
      <c r="W149" s="1557" t="str">
        <f t="shared" si="471"/>
        <v/>
      </c>
      <c r="X149" s="1557" t="str">
        <f t="shared" si="472"/>
        <v/>
      </c>
      <c r="Y149" s="2593" t="str">
        <f t="shared" si="473"/>
        <v/>
      </c>
      <c r="Z149" s="515"/>
      <c r="AA149" s="1554" t="str">
        <f>IF(P149="","",(X149*'R3 Hist'!$R$27)+(Y149*'R3 Hist'!$Q$27*12*$W$192))</f>
        <v/>
      </c>
      <c r="AB149" s="2594" t="str">
        <f t="shared" si="474"/>
        <v/>
      </c>
      <c r="AC149" s="2595" t="str">
        <f t="shared" si="457"/>
        <v/>
      </c>
      <c r="AD149" s="1543"/>
      <c r="AE149" s="1543">
        <f t="shared" si="475"/>
        <v>0</v>
      </c>
      <c r="AF149" s="1543" t="str">
        <f t="shared" si="458"/>
        <v/>
      </c>
      <c r="AG149" s="1543"/>
      <c r="AH149" s="1543">
        <f t="shared" si="476"/>
        <v>0</v>
      </c>
      <c r="AI149" s="2595">
        <f t="shared" si="459"/>
        <v>0</v>
      </c>
      <c r="AJ149" s="2595"/>
      <c r="AK149" s="2583">
        <f t="shared" si="477"/>
        <v>0</v>
      </c>
      <c r="AL149" s="2583"/>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3">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2" t="str">
        <f>'W Light Exist'!H154</f>
        <v/>
      </c>
      <c r="T150" s="2579" t="str">
        <f t="shared" si="456"/>
        <v/>
      </c>
      <c r="U150" s="2580" t="str">
        <f>'W Light Exist'!J154</f>
        <v/>
      </c>
      <c r="V150" s="1557" t="str">
        <f>'W Light Exist'!K154</f>
        <v/>
      </c>
      <c r="W150" s="1557" t="str">
        <f t="shared" si="471"/>
        <v/>
      </c>
      <c r="X150" s="1557" t="str">
        <f t="shared" si="472"/>
        <v/>
      </c>
      <c r="Y150" s="2593" t="str">
        <f t="shared" si="473"/>
        <v/>
      </c>
      <c r="Z150" s="515"/>
      <c r="AA150" s="1554" t="str">
        <f>IF(P150="","",(X150*'R3 Hist'!$R$27)+(Y150*'R3 Hist'!$Q$27*12*$W$192))</f>
        <v/>
      </c>
      <c r="AB150" s="2594" t="str">
        <f t="shared" si="474"/>
        <v/>
      </c>
      <c r="AC150" s="2595" t="str">
        <f t="shared" si="457"/>
        <v/>
      </c>
      <c r="AD150" s="1543"/>
      <c r="AE150" s="1543">
        <f t="shared" si="475"/>
        <v>0</v>
      </c>
      <c r="AF150" s="1543" t="str">
        <f t="shared" si="458"/>
        <v/>
      </c>
      <c r="AG150" s="1543"/>
      <c r="AH150" s="1543">
        <f t="shared" si="476"/>
        <v>0</v>
      </c>
      <c r="AI150" s="2595">
        <f t="shared" si="459"/>
        <v>0</v>
      </c>
      <c r="AJ150" s="2595"/>
      <c r="AK150" s="2583">
        <f t="shared" si="477"/>
        <v>0</v>
      </c>
      <c r="AL150" s="2583"/>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4"/>
      <c r="C151" s="518"/>
      <c r="D151" s="500">
        <f t="shared" ref="D151:D161" si="480">IF(C151="Yes",1+D150,0+D150)</f>
        <v>0</v>
      </c>
      <c r="E151" s="500">
        <f t="shared" ref="E151:E161" si="481">IF(D151&gt;D150,D151,0)</f>
        <v>0</v>
      </c>
      <c r="F151" s="517"/>
      <c r="G151" s="2584"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6"/>
      <c r="S151" s="2577"/>
      <c r="T151" s="2585"/>
      <c r="U151" s="2586"/>
      <c r="V151" s="2587"/>
      <c r="W151" s="2587"/>
      <c r="X151" s="2587"/>
      <c r="Y151" s="2588"/>
      <c r="Z151" s="517"/>
      <c r="AA151" s="2589"/>
      <c r="AB151" s="2590"/>
      <c r="AC151" s="2578"/>
      <c r="AD151" s="2601"/>
      <c r="AE151" s="2601"/>
      <c r="AF151" s="2601"/>
      <c r="AG151" s="2601"/>
      <c r="AH151" s="2601"/>
      <c r="AI151" s="2602"/>
      <c r="AJ151" s="2602"/>
      <c r="AK151" s="2603"/>
      <c r="AL151" s="2600"/>
      <c r="AM151" s="636"/>
      <c r="AN151" s="655" t="s">
        <v>166</v>
      </c>
      <c r="AO151" s="656"/>
      <c r="AP151" s="650"/>
      <c r="AQ151" s="650" t="str">
        <f>IF(P151="","",VLOOKUP(P151,rettable,2,FALSE))</f>
        <v/>
      </c>
      <c r="AR151" s="644"/>
      <c r="AS151" s="2963"/>
      <c r="AT151" s="636"/>
      <c r="AU151" s="636"/>
      <c r="AV151" s="636"/>
      <c r="AW151" s="636"/>
      <c r="AX151" s="636"/>
      <c r="AY151" s="636"/>
      <c r="AZ151" s="636"/>
      <c r="BA151" s="636"/>
      <c r="BB151" s="636"/>
      <c r="BC151" s="636"/>
    </row>
    <row r="152" spans="1:55" ht="13.95" hidden="1" customHeight="1">
      <c r="A152" s="1556">
        <v>86</v>
      </c>
      <c r="B152" s="2723"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67" t="str">
        <f>'W Light Exist'!H156</f>
        <v/>
      </c>
      <c r="T152" s="2579" t="str">
        <f t="shared" ref="T152:T161" si="492">IF(Q152="",S152,R152*(VLOOKUP(Q152,lighting,7,FALSE)/1000))</f>
        <v/>
      </c>
      <c r="U152" s="2580" t="str">
        <f>'W Light Exist'!J156</f>
        <v/>
      </c>
      <c r="V152" s="2086" t="str">
        <f>'W Light Exist'!K156</f>
        <v/>
      </c>
      <c r="W152" s="2086" t="str">
        <f t="shared" ref="W152:W161" si="493">IF(T152="","",U152*T152)</f>
        <v/>
      </c>
      <c r="X152" s="2086" t="str">
        <f t="shared" ref="X152:X161" si="494">IF(V152="","",V152-W152)</f>
        <v/>
      </c>
      <c r="Y152" s="2581" t="str">
        <f t="shared" ref="Y152:Y161" si="495">IF(S152="","",S152-T152)</f>
        <v/>
      </c>
      <c r="Z152" s="4"/>
      <c r="AA152" s="2582" t="str">
        <f>IF(P152="","",(X152*'R3 Hist'!$R$27)+(Y152*'R3 Hist'!$Q$27*12*$W$192))</f>
        <v/>
      </c>
      <c r="AB152" s="2556" t="str">
        <f t="shared" ref="AB152:AB161" si="496">IF(AA152="","",IF(AA152=0,"",AC152/AA152))</f>
        <v/>
      </c>
      <c r="AC152" s="2568"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599">
        <f t="shared" ref="AI152:AI161" si="501">IF(P152="",0,VLOOKUP(P152,rettable,5,FALSE))</f>
        <v>0</v>
      </c>
      <c r="AJ152" s="2604"/>
      <c r="AK152" s="2605">
        <f t="shared" ref="AK152:AK161" si="502">AE152*AI152</f>
        <v>0</v>
      </c>
      <c r="AL152" s="2600"/>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3"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67" t="str">
        <f>'W Light Exist'!H157</f>
        <v/>
      </c>
      <c r="T153" s="2579" t="str">
        <f t="shared" si="492"/>
        <v/>
      </c>
      <c r="U153" s="2580" t="str">
        <f>'W Light Exist'!J157</f>
        <v/>
      </c>
      <c r="V153" s="2086" t="str">
        <f>'W Light Exist'!K157</f>
        <v/>
      </c>
      <c r="W153" s="2086" t="str">
        <f t="shared" si="493"/>
        <v/>
      </c>
      <c r="X153" s="2086" t="str">
        <f t="shared" si="494"/>
        <v/>
      </c>
      <c r="Y153" s="2581" t="str">
        <f t="shared" si="495"/>
        <v/>
      </c>
      <c r="Z153" s="4"/>
      <c r="AA153" s="2582" t="str">
        <f>IF(P153="","",(X153*'R3 Hist'!$R$27)+(Y153*'R3 Hist'!$Q$27*12*$W$192))</f>
        <v/>
      </c>
      <c r="AB153" s="2556" t="str">
        <f t="shared" si="496"/>
        <v/>
      </c>
      <c r="AC153" s="2568" t="str">
        <f t="shared" si="497"/>
        <v/>
      </c>
      <c r="AD153" s="1571"/>
      <c r="AE153" s="1571">
        <f t="shared" si="498"/>
        <v>0</v>
      </c>
      <c r="AF153" s="1571" t="str">
        <f t="shared" si="499"/>
        <v/>
      </c>
      <c r="AG153" s="1571"/>
      <c r="AH153" s="1571">
        <f t="shared" si="500"/>
        <v>0</v>
      </c>
      <c r="AI153" s="2599">
        <f t="shared" si="501"/>
        <v>0</v>
      </c>
      <c r="AJ153" s="2604"/>
      <c r="AK153" s="2605">
        <f t="shared" si="502"/>
        <v>0</v>
      </c>
      <c r="AL153" s="2600"/>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3"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67" t="str">
        <f>'W Light Exist'!H158</f>
        <v/>
      </c>
      <c r="T154" s="2579" t="str">
        <f t="shared" si="492"/>
        <v/>
      </c>
      <c r="U154" s="2580" t="str">
        <f>'W Light Exist'!J158</f>
        <v/>
      </c>
      <c r="V154" s="2086" t="str">
        <f>'W Light Exist'!K158</f>
        <v/>
      </c>
      <c r="W154" s="2086" t="str">
        <f t="shared" si="493"/>
        <v/>
      </c>
      <c r="X154" s="2086" t="str">
        <f t="shared" si="494"/>
        <v/>
      </c>
      <c r="Y154" s="2581" t="str">
        <f t="shared" si="495"/>
        <v/>
      </c>
      <c r="Z154" s="4"/>
      <c r="AA154" s="2582" t="str">
        <f>IF(P154="","",(X154*'R3 Hist'!$R$27)+(Y154*'R3 Hist'!$Q$27*12*$W$192))</f>
        <v/>
      </c>
      <c r="AB154" s="2556" t="str">
        <f t="shared" si="496"/>
        <v/>
      </c>
      <c r="AC154" s="2568" t="str">
        <f t="shared" si="497"/>
        <v/>
      </c>
      <c r="AD154" s="1571"/>
      <c r="AE154" s="1571">
        <f t="shared" si="498"/>
        <v>0</v>
      </c>
      <c r="AF154" s="1571" t="str">
        <f t="shared" si="499"/>
        <v/>
      </c>
      <c r="AG154" s="1571"/>
      <c r="AH154" s="1571">
        <f t="shared" si="500"/>
        <v>0</v>
      </c>
      <c r="AI154" s="2599">
        <f t="shared" si="501"/>
        <v>0</v>
      </c>
      <c r="AJ154" s="2604"/>
      <c r="AK154" s="2605">
        <f t="shared" si="502"/>
        <v>0</v>
      </c>
      <c r="AL154" s="2600"/>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3"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67" t="str">
        <f>'W Light Exist'!H159</f>
        <v/>
      </c>
      <c r="T155" s="2579" t="str">
        <f t="shared" si="492"/>
        <v/>
      </c>
      <c r="U155" s="2580" t="str">
        <f>'W Light Exist'!J159</f>
        <v/>
      </c>
      <c r="V155" s="2086" t="str">
        <f>'W Light Exist'!K159</f>
        <v/>
      </c>
      <c r="W155" s="2086" t="str">
        <f t="shared" si="493"/>
        <v/>
      </c>
      <c r="X155" s="2086" t="str">
        <f t="shared" si="494"/>
        <v/>
      </c>
      <c r="Y155" s="2581" t="str">
        <f t="shared" si="495"/>
        <v/>
      </c>
      <c r="Z155" s="4"/>
      <c r="AA155" s="2582" t="str">
        <f>IF(P155="","",(X155*'R3 Hist'!$R$27)+(Y155*'R3 Hist'!$Q$27*12*$W$192))</f>
        <v/>
      </c>
      <c r="AB155" s="2556" t="str">
        <f t="shared" si="496"/>
        <v/>
      </c>
      <c r="AC155" s="2568" t="str">
        <f t="shared" si="497"/>
        <v/>
      </c>
      <c r="AD155" s="1571"/>
      <c r="AE155" s="1571">
        <f t="shared" si="498"/>
        <v>0</v>
      </c>
      <c r="AF155" s="1571" t="str">
        <f t="shared" si="499"/>
        <v/>
      </c>
      <c r="AG155" s="1571"/>
      <c r="AH155" s="1571">
        <f t="shared" si="500"/>
        <v>0</v>
      </c>
      <c r="AI155" s="2599">
        <f t="shared" si="501"/>
        <v>0</v>
      </c>
      <c r="AJ155" s="2604"/>
      <c r="AK155" s="2605">
        <f t="shared" si="502"/>
        <v>0</v>
      </c>
      <c r="AL155" s="2600"/>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3"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67" t="str">
        <f>'W Light Exist'!H160</f>
        <v/>
      </c>
      <c r="T156" s="2579" t="str">
        <f t="shared" si="492"/>
        <v/>
      </c>
      <c r="U156" s="2580" t="str">
        <f>'W Light Exist'!J160</f>
        <v/>
      </c>
      <c r="V156" s="2086" t="str">
        <f>'W Light Exist'!K160</f>
        <v/>
      </c>
      <c r="W156" s="2086" t="str">
        <f t="shared" si="493"/>
        <v/>
      </c>
      <c r="X156" s="2086" t="str">
        <f t="shared" si="494"/>
        <v/>
      </c>
      <c r="Y156" s="2581" t="str">
        <f t="shared" si="495"/>
        <v/>
      </c>
      <c r="Z156" s="4"/>
      <c r="AA156" s="2582" t="str">
        <f>IF(P156="","",(X156*'R3 Hist'!$R$27)+(Y156*'R3 Hist'!$Q$27*12*$W$192))</f>
        <v/>
      </c>
      <c r="AB156" s="2556" t="str">
        <f t="shared" si="496"/>
        <v/>
      </c>
      <c r="AC156" s="2568" t="str">
        <f t="shared" si="497"/>
        <v/>
      </c>
      <c r="AD156" s="572"/>
      <c r="AE156" s="572">
        <f t="shared" si="498"/>
        <v>0</v>
      </c>
      <c r="AF156" s="572" t="str">
        <f t="shared" si="499"/>
        <v/>
      </c>
      <c r="AG156" s="572"/>
      <c r="AH156" s="572">
        <f t="shared" si="500"/>
        <v>0</v>
      </c>
      <c r="AI156" s="2599">
        <f t="shared" si="501"/>
        <v>0</v>
      </c>
      <c r="AJ156" s="2568"/>
      <c r="AK156" s="2284">
        <f t="shared" si="502"/>
        <v>0</v>
      </c>
      <c r="AL156" s="2583"/>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3"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67" t="str">
        <f>'W Light Exist'!H161</f>
        <v/>
      </c>
      <c r="T157" s="2579" t="str">
        <f t="shared" si="492"/>
        <v/>
      </c>
      <c r="U157" s="2580" t="str">
        <f>'W Light Exist'!J161</f>
        <v/>
      </c>
      <c r="V157" s="2086" t="str">
        <f>'W Light Exist'!K161</f>
        <v/>
      </c>
      <c r="W157" s="2086" t="str">
        <f t="shared" si="493"/>
        <v/>
      </c>
      <c r="X157" s="2086" t="str">
        <f t="shared" si="494"/>
        <v/>
      </c>
      <c r="Y157" s="2581" t="str">
        <f t="shared" si="495"/>
        <v/>
      </c>
      <c r="Z157" s="4"/>
      <c r="AA157" s="2582" t="str">
        <f>IF(P157="","",(X157*'R3 Hist'!$R$27)+(Y157*'R3 Hist'!$Q$27*12*$W$192))</f>
        <v/>
      </c>
      <c r="AB157" s="2556" t="str">
        <f t="shared" si="496"/>
        <v/>
      </c>
      <c r="AC157" s="2568" t="str">
        <f t="shared" si="497"/>
        <v/>
      </c>
      <c r="AD157" s="572"/>
      <c r="AE157" s="572">
        <f t="shared" si="498"/>
        <v>0</v>
      </c>
      <c r="AF157" s="572" t="str">
        <f t="shared" si="499"/>
        <v/>
      </c>
      <c r="AG157" s="572"/>
      <c r="AH157" s="572">
        <f t="shared" si="500"/>
        <v>0</v>
      </c>
      <c r="AI157" s="2599">
        <f t="shared" si="501"/>
        <v>0</v>
      </c>
      <c r="AJ157" s="2568"/>
      <c r="AK157" s="2284">
        <f t="shared" si="502"/>
        <v>0</v>
      </c>
      <c r="AL157" s="2583"/>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3"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67" t="str">
        <f>'W Light Exist'!H162</f>
        <v/>
      </c>
      <c r="T158" s="2579" t="str">
        <f t="shared" si="492"/>
        <v/>
      </c>
      <c r="U158" s="2580" t="str">
        <f>'W Light Exist'!J162</f>
        <v/>
      </c>
      <c r="V158" s="2086" t="str">
        <f>'W Light Exist'!K162</f>
        <v/>
      </c>
      <c r="W158" s="2086" t="str">
        <f t="shared" si="493"/>
        <v/>
      </c>
      <c r="X158" s="2086" t="str">
        <f t="shared" si="494"/>
        <v/>
      </c>
      <c r="Y158" s="2581" t="str">
        <f t="shared" si="495"/>
        <v/>
      </c>
      <c r="Z158" s="4"/>
      <c r="AA158" s="2582" t="str">
        <f>IF(P158="","",(X158*'R3 Hist'!$R$27)+(Y158*'R3 Hist'!$Q$27*12*$W$192))</f>
        <v/>
      </c>
      <c r="AB158" s="2556" t="str">
        <f t="shared" si="496"/>
        <v/>
      </c>
      <c r="AC158" s="2568" t="str">
        <f t="shared" si="497"/>
        <v/>
      </c>
      <c r="AD158" s="572"/>
      <c r="AE158" s="572">
        <f t="shared" si="498"/>
        <v>0</v>
      </c>
      <c r="AF158" s="572" t="str">
        <f t="shared" si="499"/>
        <v/>
      </c>
      <c r="AG158" s="572"/>
      <c r="AH158" s="572">
        <f t="shared" si="500"/>
        <v>0</v>
      </c>
      <c r="AI158" s="2599">
        <f t="shared" si="501"/>
        <v>0</v>
      </c>
      <c r="AJ158" s="2568"/>
      <c r="AK158" s="2284">
        <f t="shared" si="502"/>
        <v>0</v>
      </c>
      <c r="AL158" s="2583"/>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3"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67" t="str">
        <f>'W Light Exist'!H163</f>
        <v/>
      </c>
      <c r="T159" s="2579" t="str">
        <f t="shared" si="492"/>
        <v/>
      </c>
      <c r="U159" s="2580" t="str">
        <f>'W Light Exist'!J163</f>
        <v/>
      </c>
      <c r="V159" s="2086" t="str">
        <f>'W Light Exist'!K163</f>
        <v/>
      </c>
      <c r="W159" s="2086" t="str">
        <f t="shared" si="493"/>
        <v/>
      </c>
      <c r="X159" s="2086" t="str">
        <f t="shared" si="494"/>
        <v/>
      </c>
      <c r="Y159" s="2581" t="str">
        <f t="shared" si="495"/>
        <v/>
      </c>
      <c r="Z159" s="4"/>
      <c r="AA159" s="2582" t="str">
        <f>IF(P159="","",(X159*'R3 Hist'!$R$27)+(Y159*'R3 Hist'!$Q$27*12*$W$192))</f>
        <v/>
      </c>
      <c r="AB159" s="2556" t="str">
        <f t="shared" si="496"/>
        <v/>
      </c>
      <c r="AC159" s="2568" t="str">
        <f t="shared" si="497"/>
        <v/>
      </c>
      <c r="AD159" s="572"/>
      <c r="AE159" s="572">
        <f t="shared" si="498"/>
        <v>0</v>
      </c>
      <c r="AF159" s="572" t="str">
        <f t="shared" si="499"/>
        <v/>
      </c>
      <c r="AG159" s="572"/>
      <c r="AH159" s="572">
        <f t="shared" si="500"/>
        <v>0</v>
      </c>
      <c r="AI159" s="2599">
        <f t="shared" si="501"/>
        <v>0</v>
      </c>
      <c r="AJ159" s="2568"/>
      <c r="AK159" s="2284">
        <f t="shared" si="502"/>
        <v>0</v>
      </c>
      <c r="AL159" s="2583"/>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3"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67" t="str">
        <f>'W Light Exist'!H164</f>
        <v/>
      </c>
      <c r="T160" s="2579" t="str">
        <f t="shared" si="492"/>
        <v/>
      </c>
      <c r="U160" s="2580" t="str">
        <f>'W Light Exist'!J164</f>
        <v/>
      </c>
      <c r="V160" s="2086" t="str">
        <f>'W Light Exist'!K164</f>
        <v/>
      </c>
      <c r="W160" s="2086" t="str">
        <f t="shared" si="493"/>
        <v/>
      </c>
      <c r="X160" s="2086" t="str">
        <f t="shared" si="494"/>
        <v/>
      </c>
      <c r="Y160" s="2581" t="str">
        <f t="shared" si="495"/>
        <v/>
      </c>
      <c r="Z160" s="4"/>
      <c r="AA160" s="2582" t="str">
        <f>IF(P160="","",(X160*'R3 Hist'!$R$27)+(Y160*'R3 Hist'!$Q$27*12*$W$192))</f>
        <v/>
      </c>
      <c r="AB160" s="2556" t="str">
        <f t="shared" si="496"/>
        <v/>
      </c>
      <c r="AC160" s="2568" t="str">
        <f t="shared" si="497"/>
        <v/>
      </c>
      <c r="AD160" s="572"/>
      <c r="AE160" s="572">
        <f t="shared" si="498"/>
        <v>0</v>
      </c>
      <c r="AF160" s="572" t="str">
        <f t="shared" si="499"/>
        <v/>
      </c>
      <c r="AG160" s="572"/>
      <c r="AH160" s="572">
        <f t="shared" si="500"/>
        <v>0</v>
      </c>
      <c r="AI160" s="2599">
        <f t="shared" si="501"/>
        <v>0</v>
      </c>
      <c r="AJ160" s="2568"/>
      <c r="AK160" s="2284">
        <f t="shared" si="502"/>
        <v>0</v>
      </c>
      <c r="AL160" s="2583"/>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5"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67" t="e">
        <f>'W Light Exist'!#REF!</f>
        <v>#REF!</v>
      </c>
      <c r="T161" s="2579" t="e">
        <f t="shared" si="492"/>
        <v>#REF!</v>
      </c>
      <c r="U161" s="2580" t="e">
        <f>'W Light Exist'!#REF!</f>
        <v>#REF!</v>
      </c>
      <c r="V161" s="2086" t="e">
        <f>'W Light Exist'!#REF!</f>
        <v>#REF!</v>
      </c>
      <c r="W161" s="2086" t="e">
        <f t="shared" si="493"/>
        <v>#REF!</v>
      </c>
      <c r="X161" s="2086" t="e">
        <f t="shared" si="494"/>
        <v>#REF!</v>
      </c>
      <c r="Y161" s="2581" t="e">
        <f t="shared" si="495"/>
        <v>#REF!</v>
      </c>
      <c r="Z161" s="4"/>
      <c r="AA161" s="2582" t="str">
        <f>IF(P161="","",(X161*'R3 Hist'!$R$27)+(Y161*'R3 Hist'!$Q$27*12*$W$192))</f>
        <v/>
      </c>
      <c r="AB161" s="2556" t="str">
        <f t="shared" si="496"/>
        <v/>
      </c>
      <c r="AC161" s="2568" t="str">
        <f t="shared" si="497"/>
        <v/>
      </c>
      <c r="AD161" s="572"/>
      <c r="AE161" s="572" t="e">
        <f t="shared" si="498"/>
        <v>#REF!</v>
      </c>
      <c r="AF161" s="572" t="str">
        <f t="shared" si="499"/>
        <v/>
      </c>
      <c r="AG161" s="572"/>
      <c r="AH161" s="572">
        <f t="shared" si="500"/>
        <v>0</v>
      </c>
      <c r="AI161" s="2599">
        <f t="shared" si="501"/>
        <v>0</v>
      </c>
      <c r="AJ161" s="2568"/>
      <c r="AK161" s="2284" t="e">
        <f t="shared" si="502"/>
        <v>#REF!</v>
      </c>
      <c r="AL161" s="2583"/>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28" customFormat="1">
      <c r="A162" s="2576"/>
      <c r="C162" s="2576"/>
      <c r="D162" s="2576"/>
      <c r="E162" s="2576"/>
      <c r="F162" s="517"/>
      <c r="G162" s="2729"/>
      <c r="H162" s="2729"/>
      <c r="I162" s="2729"/>
      <c r="J162" s="2729"/>
      <c r="K162" s="2729"/>
      <c r="L162" s="2729"/>
      <c r="M162" s="2729"/>
      <c r="N162" s="2729"/>
      <c r="O162" s="2729"/>
      <c r="P162" s="2729"/>
      <c r="Q162" s="517"/>
      <c r="R162" s="2576"/>
      <c r="S162" s="2577"/>
      <c r="T162" s="2577"/>
      <c r="U162" s="2577"/>
      <c r="V162" s="2578"/>
      <c r="W162" s="2578"/>
      <c r="X162" s="2578"/>
      <c r="Y162" s="2578"/>
      <c r="Z162" s="2578"/>
      <c r="AA162" s="2578"/>
      <c r="AB162" s="2578"/>
      <c r="AC162" s="2578"/>
      <c r="AD162" s="2576"/>
      <c r="AE162" s="2576"/>
      <c r="AF162" s="2576"/>
      <c r="AG162" s="2576"/>
      <c r="AH162" s="2576"/>
      <c r="AI162" s="2578"/>
      <c r="AJ162" s="2576"/>
      <c r="AK162" s="2576"/>
      <c r="AL162" s="2576"/>
    </row>
    <row r="163" spans="1:55">
      <c r="A163" s="572"/>
      <c r="C163" s="572"/>
      <c r="D163" s="572"/>
      <c r="E163" s="572"/>
      <c r="G163" s="2082"/>
      <c r="H163" s="2082"/>
      <c r="I163" s="2082"/>
      <c r="J163" s="2082"/>
      <c r="K163" s="2082"/>
      <c r="L163" s="2082"/>
      <c r="M163" s="2082"/>
      <c r="N163" s="2082"/>
      <c r="O163" s="2082"/>
      <c r="P163" s="2082"/>
      <c r="R163" s="572"/>
      <c r="S163" s="2567"/>
      <c r="T163" s="2567"/>
      <c r="U163" s="2567"/>
      <c r="V163" s="2606">
        <f t="shared" ref="V163:AA163" si="505">SUM(V8:V154)</f>
        <v>0</v>
      </c>
      <c r="W163" s="2606">
        <f t="shared" si="505"/>
        <v>0</v>
      </c>
      <c r="X163" s="2606">
        <f t="shared" si="505"/>
        <v>0</v>
      </c>
      <c r="Y163" s="2607">
        <f t="shared" si="505"/>
        <v>0</v>
      </c>
      <c r="Z163" s="500">
        <f t="shared" si="505"/>
        <v>0</v>
      </c>
      <c r="AA163" s="2608">
        <f t="shared" si="505"/>
        <v>0</v>
      </c>
      <c r="AB163" s="2609" t="str">
        <f>IF(AA163=0,"",AC163/AA163)</f>
        <v/>
      </c>
      <c r="AC163" s="2610">
        <f>SUM(AC8:AC154)</f>
        <v>0</v>
      </c>
      <c r="AD163" s="572"/>
      <c r="AE163" s="572"/>
      <c r="AF163" s="572"/>
      <c r="AG163" s="572"/>
      <c r="AH163" s="572"/>
      <c r="AI163" s="2568"/>
      <c r="AJ163" s="2611" t="s">
        <v>343</v>
      </c>
      <c r="AK163" s="2610">
        <f>SUM(AK7:AK154)</f>
        <v>0</v>
      </c>
      <c r="AL163" s="2612"/>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8:C31 C141:C150 C58:C81 C152:C161 C83:C92 C119:C128 C130:C139 C33:C56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397" t="s">
        <v>3881</v>
      </c>
      <c r="B1" s="3397"/>
      <c r="C1" s="3397"/>
      <c r="D1" s="3397"/>
      <c r="E1" s="3397"/>
    </row>
    <row r="2" spans="1:6" ht="36.75" customHeight="1">
      <c r="A2" s="3397"/>
      <c r="B2" s="3397"/>
      <c r="C2" s="3397"/>
      <c r="D2" s="3397"/>
      <c r="E2" s="3397"/>
    </row>
    <row r="4" spans="1:6">
      <c r="A4" s="500" t="s">
        <v>403</v>
      </c>
      <c r="B4" s="572"/>
      <c r="C4" s="572"/>
      <c r="D4" s="572"/>
      <c r="E4" s="572"/>
      <c r="F4" s="572"/>
    </row>
    <row r="5" spans="1:6" ht="7.5" customHeight="1">
      <c r="A5" s="572"/>
      <c r="B5" s="572"/>
      <c r="C5" s="572"/>
      <c r="D5" s="572"/>
      <c r="E5" s="572"/>
      <c r="F5" s="572"/>
    </row>
    <row r="6" spans="1:6">
      <c r="A6" s="2616" t="s">
        <v>265</v>
      </c>
      <c r="B6" s="2569"/>
      <c r="C6" s="2569"/>
      <c r="D6" s="572"/>
      <c r="E6" s="572"/>
      <c r="F6" s="572"/>
    </row>
    <row r="7" spans="1:6">
      <c r="A7" s="2617" t="s">
        <v>130</v>
      </c>
      <c r="B7" s="2618" t="s">
        <v>56</v>
      </c>
      <c r="C7" s="2618" t="s">
        <v>358</v>
      </c>
      <c r="D7" s="572"/>
      <c r="E7" s="572"/>
      <c r="F7" s="572"/>
    </row>
    <row r="8" spans="1:6">
      <c r="A8" s="2619" t="s">
        <v>349</v>
      </c>
      <c r="B8" s="2620">
        <v>4000</v>
      </c>
      <c r="C8" s="2621">
        <f>B8/VLOOKUP(A8,bldgtypeEU,4,FALSE)</f>
        <v>8.8888888888888893</v>
      </c>
      <c r="D8" s="2622" t="s">
        <v>368</v>
      </c>
      <c r="E8" s="572"/>
      <c r="F8" s="572"/>
    </row>
    <row r="9" spans="1:6">
      <c r="A9" s="2619" t="s">
        <v>344</v>
      </c>
      <c r="B9" s="2620">
        <v>60000</v>
      </c>
      <c r="C9" s="2621">
        <f>B9/VLOOKUP(A9,bldgtypeEU,4,FALSE)</f>
        <v>139.53488372093022</v>
      </c>
      <c r="D9" s="572"/>
      <c r="E9" s="572"/>
      <c r="F9" s="572"/>
    </row>
    <row r="10" spans="1:6">
      <c r="A10" s="2619" t="s">
        <v>559</v>
      </c>
      <c r="B10" s="2620">
        <v>7500</v>
      </c>
      <c r="C10" s="2621">
        <f>B10/VLOOKUP(A10,bldgtypeEU,4,FALSE)</f>
        <v>17.857142857142858</v>
      </c>
      <c r="D10" s="572"/>
      <c r="E10" s="572"/>
      <c r="F10" s="572"/>
    </row>
    <row r="11" spans="1:6">
      <c r="A11" s="2619" t="s">
        <v>573</v>
      </c>
      <c r="B11" s="2620">
        <v>100</v>
      </c>
      <c r="C11" s="2621">
        <f>B11/VLOOKUP(A11,bldgtypeEU,4,FALSE)</f>
        <v>1.4285714285714286</v>
      </c>
      <c r="D11" s="572"/>
      <c r="E11" s="572"/>
      <c r="F11" s="572"/>
    </row>
    <row r="12" spans="1:6">
      <c r="A12" s="572"/>
      <c r="B12" s="572"/>
      <c r="C12" s="572"/>
      <c r="D12" s="572"/>
      <c r="E12" s="572"/>
      <c r="F12" s="572"/>
    </row>
    <row r="13" spans="1:6" ht="29.25" customHeight="1">
      <c r="A13" s="500"/>
      <c r="B13" s="2606"/>
      <c r="C13" s="2622"/>
      <c r="D13" s="572"/>
      <c r="E13" s="572"/>
      <c r="F13" s="572"/>
    </row>
    <row r="14" spans="1:6">
      <c r="A14" s="2623" t="s">
        <v>255</v>
      </c>
      <c r="B14" s="2624"/>
      <c r="C14" s="572"/>
      <c r="D14" s="572"/>
      <c r="E14" s="572"/>
      <c r="F14" s="572"/>
    </row>
    <row r="15" spans="1:6">
      <c r="A15" s="2625" t="s">
        <v>263</v>
      </c>
      <c r="B15" s="2626" t="s">
        <v>264</v>
      </c>
      <c r="C15" s="2622" t="s">
        <v>368</v>
      </c>
      <c r="D15" s="672"/>
      <c r="E15" s="572"/>
      <c r="F15" s="572"/>
    </row>
    <row r="16" spans="1:6">
      <c r="A16" s="2625" t="s">
        <v>256</v>
      </c>
      <c r="B16" s="2626" t="s">
        <v>390</v>
      </c>
      <c r="C16" s="572"/>
      <c r="D16" s="572"/>
      <c r="E16" s="572"/>
      <c r="F16" s="572"/>
    </row>
    <row r="17" spans="1:6">
      <c r="A17" s="2625" t="s">
        <v>257</v>
      </c>
      <c r="B17" s="2626" t="s">
        <v>248</v>
      </c>
      <c r="C17" s="2622" t="s">
        <v>575</v>
      </c>
      <c r="D17" s="572"/>
      <c r="E17" s="572"/>
      <c r="F17" s="572"/>
    </row>
    <row r="18" spans="1:6">
      <c r="A18" s="2625" t="s">
        <v>258</v>
      </c>
      <c r="B18" s="2627" t="s">
        <v>423</v>
      </c>
      <c r="C18" s="572"/>
      <c r="D18" s="572"/>
      <c r="E18" s="572"/>
      <c r="F18" s="572"/>
    </row>
    <row r="19" spans="1:6">
      <c r="A19" s="2625" t="s">
        <v>259</v>
      </c>
      <c r="B19" s="2627" t="s">
        <v>14</v>
      </c>
      <c r="C19" s="572"/>
      <c r="D19" s="572"/>
      <c r="E19" s="572"/>
      <c r="F19" s="572"/>
    </row>
    <row r="20" spans="1:6">
      <c r="A20" s="2625" t="s">
        <v>260</v>
      </c>
      <c r="B20" s="2627" t="s">
        <v>200</v>
      </c>
      <c r="C20" s="572"/>
      <c r="D20" s="572"/>
      <c r="E20" s="572"/>
      <c r="F20" s="572"/>
    </row>
    <row r="21" spans="1:6">
      <c r="A21" s="2625" t="s">
        <v>261</v>
      </c>
      <c r="B21" s="2627" t="s">
        <v>198</v>
      </c>
      <c r="C21" s="572"/>
      <c r="D21" s="572"/>
      <c r="E21" s="572"/>
      <c r="F21" s="572"/>
    </row>
    <row r="22" spans="1:6">
      <c r="A22" s="2625" t="s">
        <v>105</v>
      </c>
      <c r="B22" s="2627" t="s">
        <v>200</v>
      </c>
      <c r="C22" s="572"/>
      <c r="D22" s="572"/>
      <c r="E22" s="572"/>
      <c r="F22" s="572"/>
    </row>
    <row r="23" spans="1:6">
      <c r="A23" s="2625" t="s">
        <v>262</v>
      </c>
      <c r="B23" s="2627" t="s">
        <v>574</v>
      </c>
      <c r="C23" s="572"/>
      <c r="D23" s="572"/>
      <c r="E23" s="572"/>
      <c r="F23" s="572"/>
    </row>
    <row r="24" spans="1:6">
      <c r="A24" s="572"/>
      <c r="B24" s="572"/>
      <c r="C24" s="572"/>
      <c r="D24" s="572"/>
      <c r="E24" s="572"/>
      <c r="F24" s="572"/>
    </row>
    <row r="25" spans="1:6" hidden="1">
      <c r="A25" s="3396" t="s">
        <v>57</v>
      </c>
      <c r="B25" s="3396"/>
      <c r="C25" s="3396"/>
      <c r="D25" s="3396"/>
      <c r="E25" s="3396"/>
      <c r="F25" s="3396"/>
    </row>
    <row r="26" spans="1:6" ht="8.25" hidden="1" customHeight="1">
      <c r="A26" s="572"/>
      <c r="B26" s="572"/>
      <c r="C26" s="572"/>
      <c r="D26" s="572"/>
      <c r="E26" s="572"/>
      <c r="F26" s="572"/>
    </row>
    <row r="27" spans="1:6" hidden="1">
      <c r="A27" s="2623" t="s">
        <v>359</v>
      </c>
      <c r="B27" s="2628" t="s">
        <v>247</v>
      </c>
      <c r="C27" s="2623" t="s">
        <v>362</v>
      </c>
      <c r="D27" s="2616" t="s">
        <v>129</v>
      </c>
      <c r="E27" s="2569"/>
      <c r="F27" s="2623"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29" t="s">
        <v>145</v>
      </c>
      <c r="F29" s="572" t="s">
        <v>408</v>
      </c>
    </row>
    <row r="30" spans="1:6" hidden="1">
      <c r="A30" s="572" t="s">
        <v>361</v>
      </c>
      <c r="B30" s="572" t="s">
        <v>422</v>
      </c>
      <c r="C30" s="572" t="s">
        <v>365</v>
      </c>
      <c r="D30" s="572" t="s">
        <v>133</v>
      </c>
      <c r="E30" s="2629" t="s">
        <v>146</v>
      </c>
      <c r="F30" s="572" t="s">
        <v>150</v>
      </c>
    </row>
    <row r="31" spans="1:6" hidden="1">
      <c r="A31" s="572" t="s">
        <v>119</v>
      </c>
      <c r="B31" s="572" t="s">
        <v>249</v>
      </c>
      <c r="C31" s="572" t="s">
        <v>366</v>
      </c>
      <c r="D31" s="572" t="s">
        <v>134</v>
      </c>
      <c r="E31" s="2629" t="s">
        <v>147</v>
      </c>
      <c r="F31" s="572" t="s">
        <v>160</v>
      </c>
    </row>
    <row r="32" spans="1:6" hidden="1">
      <c r="A32" s="572" t="s">
        <v>250</v>
      </c>
      <c r="B32" s="572" t="s">
        <v>254</v>
      </c>
      <c r="C32" s="572" t="s">
        <v>128</v>
      </c>
      <c r="D32" s="572" t="s">
        <v>14</v>
      </c>
      <c r="E32" s="2629" t="s">
        <v>148</v>
      </c>
      <c r="F32" s="572" t="s">
        <v>153</v>
      </c>
    </row>
    <row r="33" spans="1:6" hidden="1">
      <c r="A33" s="572" t="s">
        <v>251</v>
      </c>
      <c r="B33" s="572" t="s">
        <v>16</v>
      </c>
      <c r="C33" s="572" t="s">
        <v>55</v>
      </c>
      <c r="D33" s="572" t="s">
        <v>126</v>
      </c>
      <c r="E33" s="2629"/>
      <c r="F33" s="572" t="s">
        <v>154</v>
      </c>
    </row>
    <row r="34" spans="1:6" hidden="1">
      <c r="A34" s="572" t="s">
        <v>252</v>
      </c>
      <c r="B34" s="572"/>
      <c r="C34" s="572"/>
      <c r="D34" s="572" t="s">
        <v>136</v>
      </c>
      <c r="E34" s="2629"/>
      <c r="F34" s="572" t="s">
        <v>155</v>
      </c>
    </row>
    <row r="35" spans="1:6" hidden="1">
      <c r="A35" s="572" t="s">
        <v>253</v>
      </c>
      <c r="B35" s="572"/>
      <c r="C35" s="572"/>
      <c r="D35" s="572" t="s">
        <v>135</v>
      </c>
      <c r="E35" s="2629" t="s">
        <v>143</v>
      </c>
      <c r="F35" s="2630">
        <v>1</v>
      </c>
    </row>
    <row r="36" spans="1:6" hidden="1">
      <c r="A36" s="572" t="s">
        <v>360</v>
      </c>
      <c r="B36" s="572"/>
      <c r="C36" s="572"/>
      <c r="D36" s="572" t="s">
        <v>137</v>
      </c>
      <c r="E36" s="2629"/>
      <c r="F36" s="2630">
        <v>2</v>
      </c>
    </row>
    <row r="37" spans="1:6" hidden="1">
      <c r="A37" s="572" t="s">
        <v>367</v>
      </c>
      <c r="B37" s="572"/>
      <c r="C37" s="572"/>
      <c r="D37" s="572" t="s">
        <v>127</v>
      </c>
      <c r="E37" s="2629"/>
      <c r="F37" s="2630">
        <v>3</v>
      </c>
    </row>
    <row r="38" spans="1:6" hidden="1">
      <c r="A38" s="572" t="s">
        <v>120</v>
      </c>
      <c r="B38" s="572"/>
      <c r="C38" s="572"/>
      <c r="D38" s="572" t="s">
        <v>138</v>
      </c>
      <c r="E38" s="2629" t="s">
        <v>140</v>
      </c>
      <c r="F38" s="2630">
        <v>4</v>
      </c>
    </row>
    <row r="39" spans="1:6" hidden="1">
      <c r="A39" s="572" t="s">
        <v>121</v>
      </c>
      <c r="B39" s="572"/>
      <c r="C39" s="572"/>
      <c r="D39" s="572" t="s">
        <v>139</v>
      </c>
      <c r="E39" s="2629" t="s">
        <v>141</v>
      </c>
      <c r="F39" s="2630">
        <v>5</v>
      </c>
    </row>
    <row r="40" spans="1:6" hidden="1">
      <c r="A40" s="572" t="s">
        <v>122</v>
      </c>
      <c r="B40" s="572"/>
      <c r="C40" s="572"/>
      <c r="D40" s="572" t="s">
        <v>142</v>
      </c>
      <c r="E40" s="2629" t="s">
        <v>144</v>
      </c>
      <c r="F40" s="572"/>
    </row>
    <row r="41" spans="1:6" hidden="1">
      <c r="A41" s="572" t="s">
        <v>123</v>
      </c>
      <c r="B41" s="572"/>
      <c r="C41" s="572"/>
      <c r="D41" s="2630">
        <v>1</v>
      </c>
      <c r="E41" s="572"/>
      <c r="F41" s="572"/>
    </row>
    <row r="42" spans="1:6" hidden="1">
      <c r="A42" s="572" t="s">
        <v>124</v>
      </c>
      <c r="B42" s="572"/>
      <c r="C42" s="572"/>
      <c r="D42" s="2630">
        <v>2</v>
      </c>
      <c r="E42" s="572"/>
      <c r="F42" s="572"/>
    </row>
    <row r="43" spans="1:6" hidden="1">
      <c r="A43" s="572" t="s">
        <v>151</v>
      </c>
      <c r="B43" s="572"/>
      <c r="C43" s="572"/>
      <c r="D43" s="2630">
        <v>3</v>
      </c>
      <c r="E43" s="572"/>
      <c r="F43" s="572"/>
    </row>
    <row r="44" spans="1:6" hidden="1">
      <c r="A44" s="572" t="s">
        <v>131</v>
      </c>
      <c r="B44" s="572"/>
      <c r="C44" s="572"/>
      <c r="D44" s="2630">
        <v>4</v>
      </c>
      <c r="E44" s="572"/>
      <c r="F44" s="572"/>
    </row>
    <row r="45" spans="1:6" hidden="1">
      <c r="A45" s="572"/>
      <c r="B45" s="572"/>
      <c r="C45" s="572"/>
      <c r="D45" s="2630">
        <v>5</v>
      </c>
      <c r="E45" s="572"/>
      <c r="F45" s="572"/>
    </row>
    <row r="46" spans="1:6">
      <c r="A46" s="572"/>
      <c r="B46" s="572"/>
      <c r="C46" s="572"/>
      <c r="D46" s="572"/>
      <c r="E46" s="572"/>
      <c r="F46" s="572"/>
    </row>
    <row r="47" spans="1:6">
      <c r="A47" s="3369"/>
      <c r="B47" s="3369"/>
      <c r="C47" s="3369"/>
      <c r="D47" s="3369"/>
      <c r="E47" s="3369"/>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6" t="s">
        <v>2173</v>
      </c>
      <c r="K27" s="3407"/>
      <c r="L27" s="3407"/>
      <c r="M27" s="3407"/>
      <c r="N27" s="3407"/>
      <c r="O27" s="3407"/>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07"/>
      <c r="K28" s="3407"/>
      <c r="L28" s="3407"/>
      <c r="M28" s="3407"/>
      <c r="N28" s="3407"/>
      <c r="O28" s="3407"/>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07"/>
      <c r="K29" s="3407"/>
      <c r="L29" s="3407"/>
      <c r="M29" s="3407"/>
      <c r="N29" s="3407"/>
      <c r="O29" s="3407"/>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07"/>
      <c r="K30" s="3407"/>
      <c r="L30" s="3407"/>
      <c r="M30" s="3407"/>
      <c r="N30" s="3407"/>
      <c r="O30" s="3407"/>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07"/>
      <c r="K31" s="3407"/>
      <c r="L31" s="3407"/>
      <c r="M31" s="3407"/>
      <c r="N31" s="3407"/>
      <c r="O31" s="3407"/>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07"/>
      <c r="K32" s="3407"/>
      <c r="L32" s="3407"/>
      <c r="M32" s="3407"/>
      <c r="N32" s="3407"/>
      <c r="O32" s="3407"/>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07"/>
      <c r="K33" s="3407"/>
      <c r="L33" s="3407"/>
      <c r="M33" s="3407"/>
      <c r="N33" s="3407"/>
      <c r="O33" s="3407"/>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07"/>
      <c r="K34" s="3407"/>
      <c r="L34" s="3407"/>
      <c r="M34" s="3407"/>
      <c r="N34" s="3407"/>
      <c r="O34" s="3407"/>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07"/>
      <c r="K35" s="3407"/>
      <c r="L35" s="3407"/>
      <c r="M35" s="3407"/>
      <c r="N35" s="3407"/>
      <c r="O35" s="3407"/>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2" t="s">
        <v>268</v>
      </c>
      <c r="D46" s="3403"/>
      <c r="E46" s="3403"/>
      <c r="F46" s="3402" t="s">
        <v>461</v>
      </c>
      <c r="G46" s="3408"/>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399" t="s">
        <v>499</v>
      </c>
      <c r="B84" s="3400"/>
      <c r="C84" s="3400"/>
      <c r="D84" s="3401"/>
      <c r="E84" s="87" t="s">
        <v>2096</v>
      </c>
      <c r="W84" s="132" t="s">
        <v>2235</v>
      </c>
      <c r="X84" s="90"/>
      <c r="Y84" s="90"/>
      <c r="Z84" s="122">
        <v>91</v>
      </c>
      <c r="AA84" s="400">
        <f t="shared" si="33"/>
        <v>0.91</v>
      </c>
      <c r="AC84" s="407">
        <v>0.16</v>
      </c>
      <c r="AD84" s="408">
        <v>0.18</v>
      </c>
    </row>
    <row r="85" spans="1:30" ht="14.4" thickBot="1">
      <c r="A85" s="96"/>
      <c r="B85" s="382"/>
      <c r="C85" s="3409" t="s">
        <v>483</v>
      </c>
      <c r="D85" s="3409"/>
      <c r="E85" s="96" t="s">
        <v>2095</v>
      </c>
      <c r="W85" s="132" t="s">
        <v>404</v>
      </c>
      <c r="X85" s="90"/>
      <c r="Y85" s="90"/>
      <c r="Z85" s="301">
        <v>93</v>
      </c>
      <c r="AA85" s="400">
        <f t="shared" si="33"/>
        <v>0.93</v>
      </c>
      <c r="AC85" s="402">
        <v>0.17</v>
      </c>
      <c r="AD85" s="409">
        <v>0.19</v>
      </c>
    </row>
    <row r="86" spans="1:30" ht="14.25" customHeight="1" thickBot="1">
      <c r="A86" s="3398" t="s">
        <v>484</v>
      </c>
      <c r="B86" s="3398"/>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0" t="s">
        <v>504</v>
      </c>
      <c r="D105" s="3410"/>
      <c r="E105" s="3411"/>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4" t="s">
        <v>505</v>
      </c>
      <c r="H106" s="3405"/>
      <c r="I106" s="3405"/>
      <c r="J106" s="3405"/>
      <c r="K106" s="3405"/>
      <c r="L106" s="3405"/>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2" t="s">
        <v>2040</v>
      </c>
      <c r="J2" s="3412"/>
      <c r="K2" s="3412"/>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3"/>
      <c r="R118" s="3414"/>
      <c r="S118" s="3414"/>
      <c r="T118" s="3414"/>
      <c r="U118" s="3414"/>
      <c r="V118" s="3414"/>
      <c r="W118" s="3414"/>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5"/>
      <c r="R120" s="3414"/>
      <c r="S120" s="3414"/>
      <c r="T120" s="3414"/>
      <c r="U120" s="3414"/>
      <c r="V120" s="3414"/>
      <c r="W120" s="3414"/>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3"/>
      <c r="G1" s="2654"/>
      <c r="H1" s="1685"/>
      <c r="I1" s="572"/>
      <c r="J1" s="572"/>
      <c r="K1" s="572"/>
      <c r="L1" s="572"/>
      <c r="M1" s="572"/>
      <c r="N1" s="572"/>
      <c r="O1" s="572"/>
      <c r="P1" s="572"/>
      <c r="Q1" s="572"/>
      <c r="R1" s="572"/>
      <c r="S1" s="572"/>
    </row>
    <row r="2" spans="1:19">
      <c r="A2" s="1685"/>
      <c r="B2" s="1685"/>
      <c r="C2" s="1685"/>
      <c r="D2" s="1685"/>
      <c r="E2" s="1685"/>
      <c r="F2" s="2653"/>
      <c r="G2" s="2654"/>
      <c r="H2" s="1685"/>
      <c r="I2" s="572"/>
      <c r="J2" s="572"/>
      <c r="K2" s="572"/>
      <c r="L2" s="572"/>
      <c r="M2" s="572"/>
      <c r="N2" s="572"/>
      <c r="O2" s="572"/>
      <c r="P2" s="572"/>
      <c r="Q2" s="572"/>
      <c r="R2" s="572"/>
      <c r="S2" s="572"/>
    </row>
    <row r="3" spans="1:19" ht="60" customHeight="1">
      <c r="A3" s="2655" t="s">
        <v>2164</v>
      </c>
      <c r="B3" s="2656" t="s">
        <v>3762</v>
      </c>
      <c r="C3" s="2656" t="s">
        <v>3763</v>
      </c>
      <c r="D3" s="2656" t="s">
        <v>3419</v>
      </c>
      <c r="E3" s="2656" t="s">
        <v>3764</v>
      </c>
      <c r="F3" s="2657" t="s">
        <v>2141</v>
      </c>
      <c r="G3" s="2658" t="s">
        <v>3226</v>
      </c>
      <c r="H3" s="2659"/>
      <c r="I3" s="572"/>
      <c r="J3" s="572"/>
      <c r="K3" s="572"/>
      <c r="L3" s="572"/>
      <c r="M3" s="572"/>
      <c r="N3" s="572"/>
      <c r="O3" s="572"/>
      <c r="P3" s="572"/>
      <c r="Q3" s="572"/>
      <c r="R3" s="572"/>
      <c r="S3" s="572"/>
    </row>
    <row r="4" spans="1:19" ht="15" customHeight="1">
      <c r="A4" s="3421" t="s">
        <v>2138</v>
      </c>
      <c r="B4" s="3421"/>
      <c r="C4" s="2660"/>
      <c r="D4" s="2660"/>
      <c r="E4" s="2660"/>
      <c r="F4" s="2660"/>
      <c r="G4" s="2660"/>
      <c r="H4" s="2661"/>
      <c r="I4" s="572"/>
      <c r="J4" s="572"/>
      <c r="K4" s="572"/>
      <c r="L4" s="572"/>
      <c r="M4" s="572"/>
      <c r="N4" s="572"/>
      <c r="O4" s="572"/>
      <c r="P4" s="572"/>
      <c r="Q4" s="572"/>
      <c r="R4" s="572"/>
      <c r="S4" s="572"/>
    </row>
    <row r="5" spans="1:19" ht="12.75" customHeight="1">
      <c r="A5" s="3420" t="s">
        <v>2150</v>
      </c>
      <c r="B5" s="3420"/>
      <c r="C5" s="2662"/>
      <c r="D5" s="2662"/>
      <c r="E5" s="2662"/>
      <c r="F5" s="2663"/>
      <c r="G5" s="2664"/>
      <c r="H5" s="2661"/>
      <c r="I5" s="572"/>
      <c r="J5" s="572"/>
      <c r="K5" s="572"/>
      <c r="L5" s="572"/>
      <c r="M5" s="572"/>
      <c r="N5" s="572"/>
      <c r="O5" s="572"/>
      <c r="P5" s="572"/>
      <c r="Q5" s="572"/>
      <c r="R5" s="572"/>
      <c r="S5" s="572"/>
    </row>
    <row r="6" spans="1:19">
      <c r="A6" s="2665" t="s">
        <v>2255</v>
      </c>
      <c r="B6" s="2666" t="s">
        <v>3209</v>
      </c>
      <c r="C6" s="2667" t="s">
        <v>3453</v>
      </c>
      <c r="D6" s="2667" t="s">
        <v>1167</v>
      </c>
      <c r="E6" s="2668" t="s">
        <v>3316</v>
      </c>
      <c r="F6" s="2669">
        <f t="shared" ref="F6:F11" si="0">G6/0.8</f>
        <v>68.75</v>
      </c>
      <c r="G6" s="2670">
        <v>55</v>
      </c>
      <c r="H6" s="2661"/>
      <c r="I6" s="572"/>
      <c r="J6" s="572"/>
      <c r="K6" s="572"/>
      <c r="L6" s="572"/>
      <c r="M6" s="572"/>
      <c r="N6" s="572"/>
      <c r="O6" s="572"/>
      <c r="P6" s="572"/>
      <c r="Q6" s="572"/>
      <c r="R6" s="572"/>
      <c r="S6" s="572"/>
    </row>
    <row r="7" spans="1:19">
      <c r="A7" s="2665" t="s">
        <v>2256</v>
      </c>
      <c r="B7" s="2666" t="s">
        <v>2120</v>
      </c>
      <c r="C7" s="2667" t="s">
        <v>3454</v>
      </c>
      <c r="D7" s="2667" t="s">
        <v>1167</v>
      </c>
      <c r="E7" s="2668" t="s">
        <v>3318</v>
      </c>
      <c r="F7" s="2669">
        <f t="shared" si="0"/>
        <v>75</v>
      </c>
      <c r="G7" s="2670">
        <v>60</v>
      </c>
      <c r="H7" s="2661"/>
      <c r="I7" s="572"/>
      <c r="J7" s="572"/>
      <c r="K7" s="572"/>
      <c r="L7" s="572"/>
      <c r="M7" s="572"/>
      <c r="N7" s="572"/>
      <c r="O7" s="572"/>
      <c r="P7" s="572"/>
      <c r="Q7" s="572"/>
      <c r="R7" s="572"/>
      <c r="S7" s="572"/>
    </row>
    <row r="8" spans="1:19">
      <c r="A8" s="2665" t="s">
        <v>2257</v>
      </c>
      <c r="B8" s="2666" t="s">
        <v>2121</v>
      </c>
      <c r="C8" s="2667" t="s">
        <v>3455</v>
      </c>
      <c r="D8" s="2667" t="s">
        <v>1167</v>
      </c>
      <c r="E8" s="2668" t="s">
        <v>3323</v>
      </c>
      <c r="F8" s="2669">
        <f t="shared" si="0"/>
        <v>87.5</v>
      </c>
      <c r="G8" s="2670">
        <v>70</v>
      </c>
      <c r="H8" s="2661"/>
      <c r="I8" s="572"/>
      <c r="J8" s="572"/>
      <c r="K8" s="572"/>
      <c r="L8" s="572"/>
      <c r="M8" s="572"/>
      <c r="N8" s="572"/>
      <c r="O8" s="572"/>
      <c r="P8" s="572"/>
      <c r="Q8" s="572"/>
      <c r="R8" s="572"/>
      <c r="S8" s="572"/>
    </row>
    <row r="9" spans="1:19" ht="15" customHeight="1">
      <c r="A9" s="2665" t="s">
        <v>2258</v>
      </c>
      <c r="B9" s="2666" t="s">
        <v>2122</v>
      </c>
      <c r="C9" s="2667" t="s">
        <v>3456</v>
      </c>
      <c r="D9" s="2667" t="s">
        <v>1167</v>
      </c>
      <c r="E9" s="2668" t="s">
        <v>3316</v>
      </c>
      <c r="F9" s="2669">
        <f t="shared" ref="F9:F10" si="1">G9/0.8</f>
        <v>100</v>
      </c>
      <c r="G9" s="2670">
        <v>80</v>
      </c>
      <c r="H9" s="2661"/>
      <c r="I9" s="572"/>
      <c r="J9" s="572"/>
      <c r="K9" s="572"/>
      <c r="L9" s="572"/>
      <c r="M9" s="572"/>
      <c r="N9" s="572"/>
      <c r="O9" s="572"/>
      <c r="P9" s="572"/>
      <c r="Q9" s="572"/>
      <c r="R9" s="572"/>
      <c r="S9" s="572"/>
    </row>
    <row r="10" spans="1:19" ht="15" customHeight="1">
      <c r="A10" s="2665" t="s">
        <v>2258</v>
      </c>
      <c r="B10" s="2666" t="s">
        <v>2122</v>
      </c>
      <c r="C10" s="2667" t="s">
        <v>3457</v>
      </c>
      <c r="D10" s="2667" t="s">
        <v>1167</v>
      </c>
      <c r="E10" s="2668" t="s">
        <v>3318</v>
      </c>
      <c r="F10" s="2669">
        <f t="shared" si="1"/>
        <v>100</v>
      </c>
      <c r="G10" s="2670">
        <v>80</v>
      </c>
      <c r="H10" s="2661"/>
      <c r="I10" s="572"/>
      <c r="J10" s="572"/>
      <c r="K10" s="572"/>
      <c r="L10" s="572"/>
      <c r="M10" s="572"/>
      <c r="N10" s="572"/>
      <c r="O10" s="572"/>
      <c r="P10" s="572"/>
      <c r="Q10" s="572"/>
      <c r="R10" s="572"/>
      <c r="S10" s="572"/>
    </row>
    <row r="11" spans="1:19" ht="15" customHeight="1">
      <c r="A11" s="2665" t="s">
        <v>2258</v>
      </c>
      <c r="B11" s="2666" t="s">
        <v>2122</v>
      </c>
      <c r="C11" s="2667" t="s">
        <v>3458</v>
      </c>
      <c r="D11" s="2667" t="s">
        <v>1167</v>
      </c>
      <c r="E11" s="2668" t="s">
        <v>3323</v>
      </c>
      <c r="F11" s="2669">
        <f t="shared" si="0"/>
        <v>100</v>
      </c>
      <c r="G11" s="2670">
        <v>80</v>
      </c>
      <c r="H11" s="2661"/>
      <c r="I11" s="572"/>
      <c r="J11" s="572"/>
      <c r="K11" s="572"/>
      <c r="L11" s="572"/>
      <c r="M11" s="572"/>
      <c r="N11" s="572"/>
      <c r="O11" s="572"/>
      <c r="P11" s="572"/>
      <c r="Q11" s="572"/>
      <c r="R11" s="572"/>
      <c r="S11" s="572"/>
    </row>
    <row r="12" spans="1:19" ht="12.75" customHeight="1">
      <c r="A12" s="3417" t="s">
        <v>2151</v>
      </c>
      <c r="B12" s="3417"/>
      <c r="C12" s="2671"/>
      <c r="D12" s="2671"/>
      <c r="E12" s="2671"/>
      <c r="F12" s="2672"/>
      <c r="G12" s="2664"/>
      <c r="H12" s="2661"/>
      <c r="I12" s="572"/>
      <c r="J12" s="572"/>
      <c r="K12" s="572"/>
      <c r="L12" s="572"/>
      <c r="M12" s="572"/>
      <c r="N12" s="572"/>
      <c r="O12" s="572"/>
      <c r="P12" s="572"/>
      <c r="Q12" s="572"/>
      <c r="R12" s="572"/>
      <c r="S12" s="572"/>
    </row>
    <row r="13" spans="1:19">
      <c r="A13" s="2673" t="s">
        <v>2259</v>
      </c>
      <c r="B13" s="2674" t="s">
        <v>2125</v>
      </c>
      <c r="C13" s="2667" t="s">
        <v>3461</v>
      </c>
      <c r="D13" s="2675" t="s">
        <v>1167</v>
      </c>
      <c r="E13" s="2668" t="s">
        <v>3316</v>
      </c>
      <c r="F13" s="2669">
        <f t="shared" ref="F13:F15" si="2">G13/0.8</f>
        <v>43.75</v>
      </c>
      <c r="G13" s="2676">
        <v>35</v>
      </c>
      <c r="H13" s="2661"/>
      <c r="I13" s="572"/>
      <c r="J13" s="572"/>
      <c r="K13" s="572"/>
      <c r="L13" s="572"/>
      <c r="M13" s="572"/>
      <c r="N13" s="572"/>
      <c r="O13" s="572"/>
      <c r="P13" s="572"/>
      <c r="Q13" s="572"/>
      <c r="R13" s="572"/>
      <c r="S13" s="572"/>
    </row>
    <row r="14" spans="1:19">
      <c r="A14" s="2673" t="s">
        <v>2260</v>
      </c>
      <c r="B14" s="2674" t="s">
        <v>2126</v>
      </c>
      <c r="C14" s="2667" t="s">
        <v>3462</v>
      </c>
      <c r="D14" s="2675" t="s">
        <v>1167</v>
      </c>
      <c r="E14" s="2668" t="s">
        <v>3318</v>
      </c>
      <c r="F14" s="2669">
        <f t="shared" si="2"/>
        <v>75</v>
      </c>
      <c r="G14" s="2676">
        <v>60</v>
      </c>
      <c r="H14" s="2661"/>
      <c r="I14" s="572"/>
      <c r="J14" s="572"/>
      <c r="K14" s="572"/>
      <c r="L14" s="572"/>
      <c r="M14" s="572"/>
      <c r="N14" s="572"/>
      <c r="O14" s="572"/>
      <c r="P14" s="572"/>
      <c r="Q14" s="572"/>
      <c r="R14" s="572"/>
      <c r="S14" s="572"/>
    </row>
    <row r="15" spans="1:19">
      <c r="A15" s="2673" t="s">
        <v>2261</v>
      </c>
      <c r="B15" s="2674" t="s">
        <v>2127</v>
      </c>
      <c r="C15" s="2667" t="s">
        <v>3463</v>
      </c>
      <c r="D15" s="2675" t="s">
        <v>1167</v>
      </c>
      <c r="E15" s="2668" t="s">
        <v>3323</v>
      </c>
      <c r="F15" s="2669">
        <f t="shared" si="2"/>
        <v>81.25</v>
      </c>
      <c r="G15" s="2676">
        <v>65</v>
      </c>
      <c r="H15" s="2661"/>
      <c r="I15" s="572"/>
      <c r="J15" s="572"/>
      <c r="K15" s="572"/>
      <c r="L15" s="572"/>
      <c r="M15" s="572"/>
      <c r="N15" s="572"/>
      <c r="O15" s="572"/>
      <c r="P15" s="572"/>
      <c r="Q15" s="572"/>
      <c r="R15" s="572"/>
      <c r="S15" s="572"/>
    </row>
    <row r="16" spans="1:19">
      <c r="A16" s="3416" t="s">
        <v>2366</v>
      </c>
      <c r="B16" s="3416"/>
      <c r="C16" s="2675"/>
      <c r="D16" s="2675"/>
      <c r="E16" s="2677"/>
      <c r="F16" s="2669"/>
      <c r="G16" s="2678"/>
      <c r="H16" s="2661"/>
      <c r="I16" s="572"/>
      <c r="J16" s="572"/>
      <c r="K16" s="572"/>
      <c r="L16" s="572"/>
      <c r="M16" s="572"/>
      <c r="N16" s="572"/>
      <c r="O16" s="572"/>
      <c r="P16" s="572"/>
      <c r="Q16" s="572"/>
      <c r="R16" s="572"/>
      <c r="S16" s="572"/>
    </row>
    <row r="17" spans="1:21">
      <c r="A17" s="2673" t="s">
        <v>2371</v>
      </c>
      <c r="B17" s="2674" t="s">
        <v>2372</v>
      </c>
      <c r="C17" s="2675" t="s">
        <v>3230</v>
      </c>
      <c r="D17" s="2675" t="s">
        <v>2307</v>
      </c>
      <c r="E17" s="2668" t="s">
        <v>2310</v>
      </c>
      <c r="F17" s="2669">
        <f t="shared" ref="F17:F21" si="3">G17/0.8</f>
        <v>50</v>
      </c>
      <c r="G17" s="2676">
        <v>40</v>
      </c>
      <c r="H17" s="2661"/>
      <c r="I17" s="572"/>
      <c r="J17" s="572"/>
      <c r="K17" s="572"/>
      <c r="L17" s="572"/>
      <c r="M17" s="572"/>
      <c r="N17" s="572"/>
      <c r="O17" s="572"/>
      <c r="P17" s="572"/>
      <c r="Q17" s="572"/>
      <c r="R17" s="572"/>
      <c r="S17" s="572"/>
    </row>
    <row r="18" spans="1:21">
      <c r="A18" s="2673" t="s">
        <v>2373</v>
      </c>
      <c r="B18" s="2674" t="s">
        <v>2374</v>
      </c>
      <c r="C18" s="2675" t="s">
        <v>3231</v>
      </c>
      <c r="D18" s="2675" t="s">
        <v>2307</v>
      </c>
      <c r="E18" s="2668" t="s">
        <v>2312</v>
      </c>
      <c r="F18" s="2669">
        <f t="shared" si="3"/>
        <v>62.5</v>
      </c>
      <c r="G18" s="2676">
        <v>50</v>
      </c>
      <c r="H18" s="2661"/>
      <c r="I18" s="572"/>
      <c r="J18" s="572"/>
      <c r="K18" s="572"/>
      <c r="L18" s="572"/>
      <c r="M18" s="572"/>
      <c r="N18" s="572"/>
      <c r="O18" s="572"/>
      <c r="P18" s="572"/>
      <c r="Q18" s="572"/>
      <c r="R18" s="572"/>
      <c r="S18" s="572"/>
    </row>
    <row r="19" spans="1:21">
      <c r="A19" s="2673" t="s">
        <v>2373</v>
      </c>
      <c r="B19" s="2674" t="s">
        <v>2374</v>
      </c>
      <c r="C19" s="2675" t="s">
        <v>3232</v>
      </c>
      <c r="D19" s="2675" t="s">
        <v>2307</v>
      </c>
      <c r="E19" s="2668" t="s">
        <v>2496</v>
      </c>
      <c r="F19" s="2669">
        <f t="shared" si="3"/>
        <v>62.5</v>
      </c>
      <c r="G19" s="2676">
        <v>50</v>
      </c>
      <c r="H19" s="2661"/>
      <c r="I19" s="572"/>
      <c r="J19" s="572"/>
      <c r="K19" s="572"/>
      <c r="L19" s="572"/>
      <c r="M19" s="572"/>
      <c r="N19" s="572"/>
      <c r="O19" s="572"/>
      <c r="P19" s="572"/>
      <c r="Q19" s="572"/>
      <c r="R19" s="572"/>
      <c r="S19" s="572"/>
    </row>
    <row r="20" spans="1:21">
      <c r="A20" s="2673" t="s">
        <v>2373</v>
      </c>
      <c r="B20" s="2674" t="s">
        <v>2374</v>
      </c>
      <c r="C20" s="2675" t="s">
        <v>3233</v>
      </c>
      <c r="D20" s="2675" t="s">
        <v>2307</v>
      </c>
      <c r="E20" s="2668" t="s">
        <v>2497</v>
      </c>
      <c r="F20" s="2669">
        <f t="shared" si="3"/>
        <v>62.5</v>
      </c>
      <c r="G20" s="2676">
        <v>50</v>
      </c>
      <c r="H20" s="2661"/>
      <c r="I20" s="572"/>
      <c r="J20" s="572"/>
      <c r="K20" s="572"/>
      <c r="L20" s="572"/>
      <c r="M20" s="572"/>
      <c r="N20" s="572"/>
      <c r="O20" s="572"/>
      <c r="P20" s="572"/>
      <c r="Q20" s="572"/>
      <c r="R20" s="572"/>
      <c r="S20" s="572"/>
    </row>
    <row r="21" spans="1:21">
      <c r="A21" s="2673" t="s">
        <v>2375</v>
      </c>
      <c r="B21" s="2674" t="s">
        <v>2376</v>
      </c>
      <c r="C21" s="2675" t="s">
        <v>3711</v>
      </c>
      <c r="D21" s="2675" t="s">
        <v>2307</v>
      </c>
      <c r="E21" s="2668" t="s">
        <v>3303</v>
      </c>
      <c r="F21" s="2669">
        <f t="shared" si="3"/>
        <v>75</v>
      </c>
      <c r="G21" s="2676">
        <v>60</v>
      </c>
      <c r="H21" s="2661"/>
      <c r="I21" s="572"/>
      <c r="J21" s="572"/>
      <c r="K21" s="572"/>
      <c r="L21" s="572"/>
      <c r="M21" s="572"/>
      <c r="N21" s="572"/>
      <c r="O21" s="572"/>
      <c r="P21" s="572"/>
      <c r="Q21" s="572"/>
      <c r="R21" s="572"/>
      <c r="S21" s="572"/>
    </row>
    <row r="22" spans="1:21">
      <c r="A22" s="2673" t="s">
        <v>2375</v>
      </c>
      <c r="B22" s="2674" t="s">
        <v>2376</v>
      </c>
      <c r="C22" s="2675" t="s">
        <v>3712</v>
      </c>
      <c r="D22" s="2675" t="s">
        <v>2307</v>
      </c>
      <c r="E22" s="2668" t="s">
        <v>3304</v>
      </c>
      <c r="F22" s="2669">
        <f>G22/0.7</f>
        <v>85.714285714285722</v>
      </c>
      <c r="G22" s="2676">
        <v>60</v>
      </c>
      <c r="H22" s="2661"/>
      <c r="I22" s="572"/>
      <c r="J22" s="572"/>
      <c r="K22" s="572"/>
      <c r="L22" s="572"/>
      <c r="M22" s="572"/>
      <c r="N22" s="572"/>
      <c r="O22" s="572"/>
      <c r="P22" s="572"/>
      <c r="Q22" s="572"/>
      <c r="R22" s="572"/>
      <c r="S22" s="572"/>
    </row>
    <row r="23" spans="1:21">
      <c r="A23" s="2673" t="s">
        <v>2375</v>
      </c>
      <c r="B23" s="2674" t="s">
        <v>2376</v>
      </c>
      <c r="C23" s="2675" t="s">
        <v>3713</v>
      </c>
      <c r="D23" s="2675" t="s">
        <v>2307</v>
      </c>
      <c r="E23" s="2668" t="s">
        <v>3305</v>
      </c>
      <c r="F23" s="2669">
        <f>G23/0.6</f>
        <v>100</v>
      </c>
      <c r="G23" s="2676">
        <v>60</v>
      </c>
      <c r="H23" s="2661"/>
      <c r="I23" s="572"/>
      <c r="J23" s="572"/>
      <c r="K23" s="572"/>
      <c r="L23" s="572"/>
      <c r="M23" s="572"/>
      <c r="N23" s="572"/>
      <c r="O23" s="572"/>
      <c r="P23" s="572"/>
      <c r="Q23" s="572"/>
      <c r="R23" s="572"/>
      <c r="S23" s="572"/>
    </row>
    <row r="24" spans="1:21">
      <c r="A24" s="2673" t="s">
        <v>2375</v>
      </c>
      <c r="B24" s="2674" t="s">
        <v>2376</v>
      </c>
      <c r="C24" s="2675" t="s">
        <v>3714</v>
      </c>
      <c r="D24" s="2675" t="s">
        <v>2307</v>
      </c>
      <c r="E24" s="2668" t="s">
        <v>3306</v>
      </c>
      <c r="F24" s="2669">
        <f>G24/0.5</f>
        <v>120</v>
      </c>
      <c r="G24" s="2676">
        <v>60</v>
      </c>
      <c r="H24" s="2661"/>
      <c r="I24" s="572"/>
      <c r="J24" s="572"/>
      <c r="K24" s="572"/>
      <c r="L24" s="572"/>
      <c r="M24" s="572"/>
      <c r="N24" s="572"/>
      <c r="O24" s="572"/>
      <c r="P24" s="572"/>
      <c r="Q24" s="572"/>
      <c r="R24" s="572"/>
      <c r="S24" s="572"/>
    </row>
    <row r="25" spans="1:21" s="205" customFormat="1">
      <c r="A25" s="2673" t="s">
        <v>2369</v>
      </c>
      <c r="B25" s="2674" t="s">
        <v>2370</v>
      </c>
      <c r="C25" s="2675" t="s">
        <v>3705</v>
      </c>
      <c r="D25" s="2675" t="s">
        <v>2307</v>
      </c>
      <c r="E25" s="2677" t="s">
        <v>3311</v>
      </c>
      <c r="F25" s="2669">
        <f>G25/0.9</f>
        <v>333.33333333333331</v>
      </c>
      <c r="G25" s="2676">
        <v>300</v>
      </c>
      <c r="H25" s="2661"/>
      <c r="I25" s="1543"/>
      <c r="J25" s="1543"/>
      <c r="K25" s="1543"/>
      <c r="L25" s="1543"/>
      <c r="M25" s="2598"/>
      <c r="N25" s="2598"/>
      <c r="O25" s="2598"/>
      <c r="P25" s="2598"/>
      <c r="Q25" s="2598"/>
      <c r="R25" s="2598"/>
      <c r="S25" s="2598"/>
      <c r="T25" s="532"/>
      <c r="U25" s="532"/>
    </row>
    <row r="26" spans="1:21" s="205" customFormat="1">
      <c r="A26" s="2673" t="s">
        <v>2369</v>
      </c>
      <c r="B26" s="2674" t="s">
        <v>2370</v>
      </c>
      <c r="C26" s="2675" t="s">
        <v>3706</v>
      </c>
      <c r="D26" s="2675" t="s">
        <v>2307</v>
      </c>
      <c r="E26" s="2677" t="s">
        <v>3312</v>
      </c>
      <c r="F26" s="2669">
        <f t="shared" ref="F26" si="4">G26/0.8</f>
        <v>375</v>
      </c>
      <c r="G26" s="2676">
        <v>300</v>
      </c>
      <c r="H26" s="2661"/>
      <c r="I26" s="1543"/>
      <c r="J26" s="1543"/>
      <c r="K26" s="1543"/>
      <c r="L26" s="1543"/>
      <c r="M26" s="2598"/>
      <c r="N26" s="2598"/>
      <c r="O26" s="2598"/>
      <c r="P26" s="2598"/>
      <c r="Q26" s="2598"/>
      <c r="R26" s="2598"/>
      <c r="S26" s="2598"/>
      <c r="T26" s="532"/>
      <c r="U26" s="532"/>
    </row>
    <row r="27" spans="1:21" s="205" customFormat="1">
      <c r="A27" s="2673" t="s">
        <v>2369</v>
      </c>
      <c r="B27" s="2674" t="s">
        <v>2370</v>
      </c>
      <c r="C27" s="2675" t="s">
        <v>3707</v>
      </c>
      <c r="D27" s="2675" t="s">
        <v>2307</v>
      </c>
      <c r="E27" s="2677" t="s">
        <v>3313</v>
      </c>
      <c r="F27" s="2669">
        <f>G27/0.7</f>
        <v>428.57142857142861</v>
      </c>
      <c r="G27" s="2676">
        <v>300</v>
      </c>
      <c r="H27" s="2661"/>
      <c r="I27" s="1543"/>
      <c r="J27" s="1543"/>
      <c r="K27" s="1543"/>
      <c r="L27" s="1543"/>
      <c r="M27" s="2598"/>
      <c r="N27" s="2598"/>
      <c r="O27" s="2598"/>
      <c r="P27" s="2598"/>
      <c r="Q27" s="2598"/>
      <c r="R27" s="2598"/>
      <c r="S27" s="2598"/>
      <c r="T27" s="532"/>
      <c r="U27" s="532"/>
    </row>
    <row r="28" spans="1:21" ht="12.75" customHeight="1">
      <c r="A28" s="2673" t="s">
        <v>2369</v>
      </c>
      <c r="B28" s="2674" t="s">
        <v>2370</v>
      </c>
      <c r="C28" s="2675" t="s">
        <v>3708</v>
      </c>
      <c r="D28" s="2675" t="s">
        <v>2307</v>
      </c>
      <c r="E28" s="2677" t="s">
        <v>3314</v>
      </c>
      <c r="F28" s="2669">
        <f>G28/0.6</f>
        <v>500</v>
      </c>
      <c r="G28" s="2676">
        <v>300</v>
      </c>
      <c r="H28" s="2661"/>
      <c r="I28" s="572"/>
      <c r="J28" s="572"/>
      <c r="K28" s="572"/>
      <c r="L28" s="572"/>
      <c r="M28" s="572"/>
      <c r="N28" s="572"/>
      <c r="O28" s="572"/>
      <c r="P28" s="572"/>
      <c r="Q28" s="572"/>
      <c r="R28" s="572"/>
      <c r="S28" s="572"/>
    </row>
    <row r="29" spans="1:21" ht="12.75" customHeight="1">
      <c r="A29" s="2673" t="s">
        <v>2369</v>
      </c>
      <c r="B29" s="2674" t="s">
        <v>2370</v>
      </c>
      <c r="C29" s="2675" t="s">
        <v>3709</v>
      </c>
      <c r="D29" s="2675" t="s">
        <v>2307</v>
      </c>
      <c r="E29" s="2677" t="s">
        <v>3501</v>
      </c>
      <c r="F29" s="2669">
        <f>G29/0.5</f>
        <v>600</v>
      </c>
      <c r="G29" s="2676">
        <v>300</v>
      </c>
      <c r="H29" s="2661"/>
      <c r="I29" s="572"/>
      <c r="J29" s="572"/>
      <c r="K29" s="572"/>
      <c r="L29" s="572"/>
      <c r="M29" s="572"/>
      <c r="N29" s="572"/>
      <c r="O29" s="572"/>
      <c r="P29" s="572"/>
      <c r="Q29" s="572"/>
      <c r="R29" s="572"/>
      <c r="S29" s="572"/>
    </row>
    <row r="30" spans="1:21" ht="12.75" customHeight="1">
      <c r="A30" s="2673" t="s">
        <v>2369</v>
      </c>
      <c r="B30" s="2674" t="s">
        <v>2370</v>
      </c>
      <c r="C30" s="2675" t="s">
        <v>3710</v>
      </c>
      <c r="D30" s="2675" t="s">
        <v>2307</v>
      </c>
      <c r="E30" s="2677" t="s">
        <v>3537</v>
      </c>
      <c r="F30" s="2669">
        <f>G30/0.5</f>
        <v>600</v>
      </c>
      <c r="G30" s="2676">
        <v>300</v>
      </c>
      <c r="H30" s="2661"/>
      <c r="I30" s="572"/>
      <c r="J30" s="572"/>
      <c r="K30" s="572"/>
      <c r="L30" s="572"/>
      <c r="M30" s="572"/>
      <c r="N30" s="572"/>
      <c r="O30" s="572"/>
      <c r="P30" s="572"/>
      <c r="Q30" s="572"/>
      <c r="R30" s="572"/>
      <c r="S30" s="572"/>
    </row>
    <row r="31" spans="1:21" ht="15" customHeight="1">
      <c r="A31" s="2673"/>
      <c r="B31" s="2679"/>
      <c r="C31" s="2675"/>
      <c r="D31" s="2675"/>
      <c r="E31" s="2677"/>
      <c r="F31" s="2669"/>
      <c r="G31" s="2678"/>
      <c r="H31" s="2661"/>
      <c r="I31" s="572"/>
      <c r="J31" s="572"/>
      <c r="K31" s="572"/>
      <c r="L31" s="572"/>
      <c r="M31" s="572"/>
      <c r="N31" s="572"/>
      <c r="O31" s="572"/>
      <c r="P31" s="572"/>
      <c r="Q31" s="572"/>
      <c r="R31" s="572"/>
      <c r="S31" s="572"/>
    </row>
    <row r="32" spans="1:21" ht="45.75" customHeight="1">
      <c r="A32" s="3422" t="s">
        <v>2139</v>
      </c>
      <c r="B32" s="3422"/>
      <c r="C32" s="2680"/>
      <c r="D32" s="2681" t="s">
        <v>3217</v>
      </c>
      <c r="E32" s="2680"/>
      <c r="F32" s="2682"/>
      <c r="G32" s="2683"/>
      <c r="H32" s="2661"/>
      <c r="I32" s="572"/>
      <c r="J32" s="572"/>
      <c r="K32" s="572"/>
      <c r="L32" s="572"/>
      <c r="M32" s="572"/>
      <c r="N32" s="572"/>
      <c r="O32" s="572"/>
      <c r="P32" s="572"/>
      <c r="Q32" s="572"/>
      <c r="R32" s="572"/>
      <c r="S32" s="572"/>
    </row>
    <row r="33" spans="1:19" ht="12.75" customHeight="1">
      <c r="A33" s="3420" t="s">
        <v>2150</v>
      </c>
      <c r="B33" s="3420"/>
      <c r="C33" s="2662"/>
      <c r="D33" s="2662"/>
      <c r="E33" s="2662"/>
      <c r="F33" s="2669"/>
      <c r="G33" s="2664"/>
      <c r="H33" s="2661"/>
      <c r="I33" s="572"/>
      <c r="J33" s="572"/>
      <c r="K33" s="572"/>
      <c r="L33" s="572"/>
      <c r="M33" s="572"/>
      <c r="N33" s="572"/>
      <c r="O33" s="572"/>
      <c r="P33" s="572"/>
      <c r="Q33" s="572"/>
      <c r="R33" s="572"/>
      <c r="S33" s="572"/>
    </row>
    <row r="34" spans="1:19" ht="20.399999999999999">
      <c r="A34" s="2665" t="s">
        <v>2250</v>
      </c>
      <c r="B34" s="2684" t="s">
        <v>2135</v>
      </c>
      <c r="C34" s="2667" t="s">
        <v>3477</v>
      </c>
      <c r="D34" s="2667" t="s">
        <v>3216</v>
      </c>
      <c r="E34" s="2668" t="s">
        <v>3783</v>
      </c>
      <c r="F34" s="2669">
        <f t="shared" ref="F34:F53" si="5">G34/0.8</f>
        <v>93.75</v>
      </c>
      <c r="G34" s="2670">
        <v>75</v>
      </c>
      <c r="H34" s="2661"/>
      <c r="I34" s="572"/>
      <c r="J34" s="572"/>
      <c r="K34" s="572"/>
      <c r="L34" s="572"/>
      <c r="M34" s="572"/>
      <c r="N34" s="572"/>
      <c r="O34" s="572"/>
      <c r="P34" s="572"/>
      <c r="Q34" s="572"/>
      <c r="R34" s="572"/>
      <c r="S34" s="572"/>
    </row>
    <row r="35" spans="1:19" ht="20.399999999999999">
      <c r="A35" s="2665" t="s">
        <v>2250</v>
      </c>
      <c r="B35" s="2684" t="s">
        <v>2135</v>
      </c>
      <c r="C35" s="2667" t="s">
        <v>3478</v>
      </c>
      <c r="D35" s="2667" t="s">
        <v>3216</v>
      </c>
      <c r="E35" s="2668" t="s">
        <v>3795</v>
      </c>
      <c r="F35" s="2669">
        <f>G35/0.8</f>
        <v>93.75</v>
      </c>
      <c r="G35" s="2670">
        <v>75</v>
      </c>
      <c r="H35" s="2661"/>
      <c r="I35" s="572"/>
      <c r="J35" s="572"/>
      <c r="K35" s="572"/>
      <c r="L35" s="572"/>
      <c r="M35" s="572"/>
      <c r="N35" s="572"/>
      <c r="O35" s="572"/>
      <c r="P35" s="572"/>
      <c r="Q35" s="572"/>
      <c r="R35" s="572"/>
      <c r="S35" s="572"/>
    </row>
    <row r="36" spans="1:19" ht="20.399999999999999">
      <c r="A36" s="2665" t="s">
        <v>2250</v>
      </c>
      <c r="B36" s="2684" t="s">
        <v>2135</v>
      </c>
      <c r="C36" s="2667" t="s">
        <v>3479</v>
      </c>
      <c r="D36" s="2667" t="s">
        <v>3216</v>
      </c>
      <c r="E36" s="2668" t="s">
        <v>3784</v>
      </c>
      <c r="F36" s="2669">
        <f t="shared" ref="F36" si="6">G36/0.8</f>
        <v>93.75</v>
      </c>
      <c r="G36" s="2670">
        <v>75</v>
      </c>
      <c r="H36" s="2661"/>
      <c r="I36" s="572"/>
      <c r="J36" s="572"/>
      <c r="K36" s="572"/>
      <c r="L36" s="572"/>
      <c r="M36" s="572"/>
      <c r="N36" s="572"/>
      <c r="O36" s="572"/>
      <c r="P36" s="572"/>
      <c r="Q36" s="572"/>
      <c r="R36" s="572"/>
      <c r="S36" s="572"/>
    </row>
    <row r="37" spans="1:19" ht="20.399999999999999">
      <c r="A37" s="2665" t="s">
        <v>2250</v>
      </c>
      <c r="B37" s="2684" t="s">
        <v>2135</v>
      </c>
      <c r="C37" s="2667" t="s">
        <v>3480</v>
      </c>
      <c r="D37" s="2667" t="s">
        <v>3216</v>
      </c>
      <c r="E37" s="2668" t="s">
        <v>3796</v>
      </c>
      <c r="F37" s="2669">
        <f t="shared" ref="F37" si="7">G37/0.8</f>
        <v>93.75</v>
      </c>
      <c r="G37" s="2670">
        <v>75</v>
      </c>
      <c r="H37" s="2661"/>
      <c r="I37" s="572"/>
      <c r="J37" s="572"/>
      <c r="K37" s="572"/>
      <c r="L37" s="572"/>
      <c r="M37" s="572"/>
      <c r="N37" s="572"/>
      <c r="O37" s="572"/>
      <c r="P37" s="572"/>
      <c r="Q37" s="572"/>
      <c r="R37" s="572"/>
      <c r="S37" s="572"/>
    </row>
    <row r="38" spans="1:19" ht="20.399999999999999">
      <c r="A38" s="2665" t="s">
        <v>2250</v>
      </c>
      <c r="B38" s="2684" t="s">
        <v>2135</v>
      </c>
      <c r="C38" s="2667" t="s">
        <v>3481</v>
      </c>
      <c r="D38" s="2667" t="s">
        <v>3216</v>
      </c>
      <c r="E38" s="2668" t="s">
        <v>1162</v>
      </c>
      <c r="F38" s="2669">
        <f t="shared" si="5"/>
        <v>93.75</v>
      </c>
      <c r="G38" s="2670">
        <v>75</v>
      </c>
      <c r="H38" s="2661"/>
      <c r="I38" s="572"/>
      <c r="J38" s="572"/>
      <c r="K38" s="572"/>
      <c r="L38" s="572"/>
      <c r="M38" s="572"/>
      <c r="N38" s="572"/>
      <c r="O38" s="572"/>
      <c r="P38" s="572"/>
      <c r="Q38" s="572"/>
      <c r="R38" s="572"/>
      <c r="S38" s="572"/>
    </row>
    <row r="39" spans="1:19" ht="20.399999999999999">
      <c r="A39" s="2665" t="s">
        <v>2251</v>
      </c>
      <c r="B39" s="2684" t="s">
        <v>2136</v>
      </c>
      <c r="C39" s="2667" t="s">
        <v>3482</v>
      </c>
      <c r="D39" s="2667" t="s">
        <v>3216</v>
      </c>
      <c r="E39" s="2668" t="s">
        <v>3785</v>
      </c>
      <c r="F39" s="2669">
        <f t="shared" ref="F39" si="8">G39/0.8</f>
        <v>118.75</v>
      </c>
      <c r="G39" s="2670">
        <v>95</v>
      </c>
      <c r="H39" s="2661"/>
      <c r="I39" s="572"/>
      <c r="J39" s="572"/>
      <c r="K39" s="572"/>
      <c r="L39" s="572"/>
      <c r="M39" s="572"/>
      <c r="N39" s="572"/>
      <c r="O39" s="572"/>
      <c r="P39" s="572"/>
      <c r="Q39" s="572"/>
      <c r="R39" s="572"/>
      <c r="S39" s="572"/>
    </row>
    <row r="40" spans="1:19" ht="20.399999999999999">
      <c r="A40" s="2665" t="s">
        <v>2251</v>
      </c>
      <c r="B40" s="2684" t="s">
        <v>2136</v>
      </c>
      <c r="C40" s="2667" t="s">
        <v>3483</v>
      </c>
      <c r="D40" s="2667" t="s">
        <v>3216</v>
      </c>
      <c r="E40" s="2668" t="s">
        <v>3797</v>
      </c>
      <c r="F40" s="2669">
        <f t="shared" ref="F40" si="9">G40/0.8</f>
        <v>118.75</v>
      </c>
      <c r="G40" s="2670">
        <v>95</v>
      </c>
      <c r="H40" s="2661"/>
      <c r="I40" s="572"/>
      <c r="J40" s="572"/>
      <c r="K40" s="572"/>
      <c r="L40" s="572"/>
      <c r="M40" s="572"/>
      <c r="N40" s="572"/>
      <c r="O40" s="572"/>
      <c r="P40" s="572"/>
      <c r="Q40" s="572"/>
      <c r="R40" s="572"/>
      <c r="S40" s="572"/>
    </row>
    <row r="41" spans="1:19" ht="20.399999999999999">
      <c r="A41" s="2665" t="s">
        <v>2251</v>
      </c>
      <c r="B41" s="2684" t="s">
        <v>2136</v>
      </c>
      <c r="C41" s="2667" t="s">
        <v>3484</v>
      </c>
      <c r="D41" s="2667" t="s">
        <v>3216</v>
      </c>
      <c r="E41" s="2668" t="s">
        <v>3786</v>
      </c>
      <c r="F41" s="2669">
        <f t="shared" si="5"/>
        <v>118.75</v>
      </c>
      <c r="G41" s="2670">
        <v>95</v>
      </c>
      <c r="H41" s="2661"/>
      <c r="I41" s="572"/>
      <c r="J41" s="572"/>
      <c r="K41" s="572"/>
      <c r="L41" s="572"/>
      <c r="M41" s="572"/>
      <c r="N41" s="572"/>
      <c r="O41" s="572"/>
      <c r="P41" s="572"/>
      <c r="Q41" s="572"/>
      <c r="R41" s="572"/>
      <c r="S41" s="572"/>
    </row>
    <row r="42" spans="1:19" ht="20.399999999999999">
      <c r="A42" s="2665" t="s">
        <v>2251</v>
      </c>
      <c r="B42" s="2684" t="s">
        <v>2136</v>
      </c>
      <c r="C42" s="2667" t="s">
        <v>3485</v>
      </c>
      <c r="D42" s="2667" t="s">
        <v>3216</v>
      </c>
      <c r="E42" s="2668" t="s">
        <v>3798</v>
      </c>
      <c r="F42" s="2669">
        <f t="shared" si="5"/>
        <v>118.75</v>
      </c>
      <c r="G42" s="2670">
        <v>95</v>
      </c>
      <c r="H42" s="2661"/>
      <c r="I42" s="572"/>
      <c r="J42" s="572"/>
      <c r="K42" s="572"/>
      <c r="L42" s="572"/>
      <c r="M42" s="572"/>
      <c r="N42" s="572"/>
      <c r="O42" s="572"/>
      <c r="P42" s="572"/>
      <c r="Q42" s="572"/>
      <c r="R42" s="572"/>
      <c r="S42" s="572"/>
    </row>
    <row r="43" spans="1:19" ht="20.399999999999999">
      <c r="A43" s="2665" t="s">
        <v>2252</v>
      </c>
      <c r="B43" s="2684" t="s">
        <v>2137</v>
      </c>
      <c r="C43" s="2667" t="s">
        <v>3486</v>
      </c>
      <c r="D43" s="2667" t="s">
        <v>3216</v>
      </c>
      <c r="E43" s="2668" t="s">
        <v>3787</v>
      </c>
      <c r="F43" s="2669">
        <f t="shared" ref="F43" si="10">G43/0.8</f>
        <v>262.5</v>
      </c>
      <c r="G43" s="2670">
        <v>210</v>
      </c>
      <c r="H43" s="2661"/>
      <c r="I43" s="572"/>
      <c r="J43" s="572"/>
      <c r="K43" s="572"/>
      <c r="L43" s="572"/>
      <c r="M43" s="572"/>
      <c r="N43" s="572"/>
      <c r="O43" s="572"/>
      <c r="P43" s="572"/>
      <c r="Q43" s="572"/>
      <c r="R43" s="572"/>
      <c r="S43" s="572"/>
    </row>
    <row r="44" spans="1:19" ht="20.399999999999999">
      <c r="A44" s="2665" t="s">
        <v>2252</v>
      </c>
      <c r="B44" s="2684" t="s">
        <v>2137</v>
      </c>
      <c r="C44" s="2667" t="s">
        <v>3487</v>
      </c>
      <c r="D44" s="2667" t="s">
        <v>3216</v>
      </c>
      <c r="E44" s="2668" t="s">
        <v>3799</v>
      </c>
      <c r="F44" s="2669">
        <f t="shared" ref="F44:F46" si="11">G44/0.8</f>
        <v>262.5</v>
      </c>
      <c r="G44" s="2670">
        <v>210</v>
      </c>
      <c r="H44" s="2661"/>
      <c r="I44" s="572"/>
      <c r="J44" s="572"/>
      <c r="K44" s="572"/>
      <c r="L44" s="572"/>
      <c r="M44" s="572"/>
      <c r="N44" s="572"/>
      <c r="O44" s="572"/>
      <c r="P44" s="572"/>
      <c r="Q44" s="572"/>
      <c r="R44" s="572"/>
      <c r="S44" s="572"/>
    </row>
    <row r="45" spans="1:19" ht="20.399999999999999">
      <c r="A45" s="2665" t="s">
        <v>2250</v>
      </c>
      <c r="B45" s="2684" t="s">
        <v>2135</v>
      </c>
      <c r="C45" s="2667" t="s">
        <v>3488</v>
      </c>
      <c r="D45" s="2667" t="s">
        <v>3216</v>
      </c>
      <c r="E45" s="2668" t="s">
        <v>3784</v>
      </c>
      <c r="F45" s="2669">
        <f t="shared" si="11"/>
        <v>93.75</v>
      </c>
      <c r="G45" s="2670">
        <v>75</v>
      </c>
      <c r="H45" s="2661"/>
      <c r="I45" s="572"/>
      <c r="J45" s="572"/>
      <c r="K45" s="572"/>
      <c r="L45" s="572"/>
      <c r="M45" s="572"/>
      <c r="N45" s="572"/>
      <c r="O45" s="572"/>
      <c r="P45" s="572"/>
      <c r="Q45" s="572"/>
      <c r="R45" s="572"/>
      <c r="S45" s="572"/>
    </row>
    <row r="46" spans="1:19" ht="20.399999999999999">
      <c r="A46" s="2665" t="s">
        <v>2251</v>
      </c>
      <c r="B46" s="2684" t="s">
        <v>2136</v>
      </c>
      <c r="C46" s="2667" t="s">
        <v>3489</v>
      </c>
      <c r="D46" s="2667" t="s">
        <v>3216</v>
      </c>
      <c r="E46" s="2668" t="s">
        <v>3786</v>
      </c>
      <c r="F46" s="2669">
        <f t="shared" si="11"/>
        <v>118.75</v>
      </c>
      <c r="G46" s="2670">
        <v>95</v>
      </c>
      <c r="H46" s="2661"/>
      <c r="I46" s="572"/>
      <c r="J46" s="572"/>
      <c r="K46" s="572"/>
      <c r="L46" s="572"/>
      <c r="M46" s="572"/>
      <c r="N46" s="572"/>
      <c r="O46" s="572"/>
      <c r="P46" s="572"/>
      <c r="Q46" s="572"/>
      <c r="R46" s="572"/>
      <c r="S46" s="572"/>
    </row>
    <row r="47" spans="1:19" ht="20.399999999999999">
      <c r="A47" s="2665" t="s">
        <v>2252</v>
      </c>
      <c r="B47" s="2684" t="s">
        <v>2137</v>
      </c>
      <c r="C47" s="2667" t="s">
        <v>3490</v>
      </c>
      <c r="D47" s="2667" t="s">
        <v>3216</v>
      </c>
      <c r="E47" s="2668" t="s">
        <v>3787</v>
      </c>
      <c r="F47" s="2669">
        <f t="shared" si="5"/>
        <v>262.5</v>
      </c>
      <c r="G47" s="2670">
        <v>210</v>
      </c>
      <c r="H47" s="2661"/>
      <c r="I47" s="572"/>
      <c r="J47" s="572"/>
      <c r="K47" s="572"/>
      <c r="L47" s="572"/>
      <c r="M47" s="572"/>
      <c r="N47" s="572"/>
      <c r="O47" s="572"/>
      <c r="P47" s="572"/>
      <c r="Q47" s="572"/>
      <c r="R47" s="572"/>
      <c r="S47" s="572"/>
    </row>
    <row r="48" spans="1:19" ht="20.399999999999999">
      <c r="A48" s="2665" t="s">
        <v>2253</v>
      </c>
      <c r="B48" s="2684" t="s">
        <v>3445</v>
      </c>
      <c r="C48" s="2667" t="s">
        <v>3464</v>
      </c>
      <c r="D48" s="2667" t="s">
        <v>3216</v>
      </c>
      <c r="E48" s="2668" t="s">
        <v>3791</v>
      </c>
      <c r="F48" s="2669">
        <f t="shared" ref="F48" si="12">G48/0.8</f>
        <v>93.75</v>
      </c>
      <c r="G48" s="2670">
        <v>75</v>
      </c>
      <c r="H48" s="2661"/>
      <c r="I48" s="572"/>
      <c r="J48" s="572"/>
      <c r="K48" s="572"/>
      <c r="L48" s="572"/>
      <c r="M48" s="572"/>
      <c r="N48" s="572"/>
      <c r="O48" s="572"/>
      <c r="P48" s="572"/>
      <c r="Q48" s="572"/>
      <c r="R48" s="572"/>
      <c r="S48" s="572"/>
    </row>
    <row r="49" spans="1:19" ht="20.399999999999999">
      <c r="A49" s="2665" t="s">
        <v>2253</v>
      </c>
      <c r="B49" s="2684" t="s">
        <v>3445</v>
      </c>
      <c r="C49" s="2667" t="s">
        <v>3465</v>
      </c>
      <c r="D49" s="2667" t="s">
        <v>3216</v>
      </c>
      <c r="E49" s="2668" t="s">
        <v>3792</v>
      </c>
      <c r="F49" s="2669">
        <f t="shared" si="5"/>
        <v>93.75</v>
      </c>
      <c r="G49" s="2670">
        <v>75</v>
      </c>
      <c r="H49" s="2661"/>
      <c r="I49" s="572"/>
      <c r="J49" s="572"/>
      <c r="K49" s="572"/>
      <c r="L49" s="572"/>
      <c r="M49" s="572"/>
      <c r="N49" s="572"/>
      <c r="O49" s="572"/>
      <c r="P49" s="572"/>
      <c r="Q49" s="572"/>
      <c r="R49" s="572"/>
      <c r="S49" s="572"/>
    </row>
    <row r="50" spans="1:19" ht="20.399999999999999">
      <c r="A50" s="2665" t="s">
        <v>2254</v>
      </c>
      <c r="B50" s="2684" t="s">
        <v>3446</v>
      </c>
      <c r="C50" s="2667" t="s">
        <v>3491</v>
      </c>
      <c r="D50" s="2667" t="s">
        <v>3216</v>
      </c>
      <c r="E50" s="2668" t="s">
        <v>3793</v>
      </c>
      <c r="F50" s="2669">
        <f t="shared" ref="F50" si="13">G50/0.8</f>
        <v>125</v>
      </c>
      <c r="G50" s="2670">
        <v>100</v>
      </c>
      <c r="H50" s="2661"/>
      <c r="I50" s="572"/>
      <c r="J50" s="572"/>
      <c r="K50" s="572"/>
      <c r="L50" s="572"/>
      <c r="M50" s="572"/>
      <c r="N50" s="572"/>
      <c r="O50" s="572"/>
      <c r="P50" s="572"/>
      <c r="Q50" s="572"/>
      <c r="R50" s="572"/>
      <c r="S50" s="572"/>
    </row>
    <row r="51" spans="1:19" ht="20.399999999999999">
      <c r="A51" s="2665" t="s">
        <v>2254</v>
      </c>
      <c r="B51" s="2684" t="s">
        <v>3446</v>
      </c>
      <c r="C51" s="2667" t="s">
        <v>3492</v>
      </c>
      <c r="D51" s="2667" t="s">
        <v>3216</v>
      </c>
      <c r="E51" s="2668" t="s">
        <v>3794</v>
      </c>
      <c r="F51" s="2669">
        <f t="shared" si="5"/>
        <v>125</v>
      </c>
      <c r="G51" s="2670">
        <v>100</v>
      </c>
      <c r="H51" s="2661"/>
      <c r="I51" s="572"/>
      <c r="J51" s="572"/>
      <c r="K51" s="572"/>
      <c r="L51" s="572"/>
      <c r="M51" s="572"/>
      <c r="N51" s="572"/>
      <c r="O51" s="572"/>
      <c r="P51" s="572"/>
      <c r="Q51" s="572"/>
      <c r="R51" s="572"/>
      <c r="S51" s="572"/>
    </row>
    <row r="52" spans="1:19">
      <c r="A52" s="2665"/>
      <c r="B52" s="2684"/>
      <c r="C52" s="2667"/>
      <c r="D52" s="2667"/>
      <c r="E52" s="2668"/>
      <c r="F52" s="2669"/>
      <c r="G52" s="2670"/>
      <c r="H52" s="2661"/>
      <c r="I52" s="572"/>
      <c r="J52" s="572"/>
      <c r="K52" s="572"/>
      <c r="L52" s="572"/>
      <c r="M52" s="572"/>
      <c r="N52" s="572"/>
      <c r="O52" s="572"/>
      <c r="P52" s="572"/>
      <c r="Q52" s="572"/>
      <c r="R52" s="572"/>
      <c r="S52" s="572"/>
    </row>
    <row r="53" spans="1:19">
      <c r="A53" s="2673" t="s">
        <v>2375</v>
      </c>
      <c r="B53" s="2674" t="s">
        <v>2376</v>
      </c>
      <c r="C53" s="2675" t="s">
        <v>3344</v>
      </c>
      <c r="D53" s="2675" t="s">
        <v>2307</v>
      </c>
      <c r="E53" s="2668" t="s">
        <v>3303</v>
      </c>
      <c r="F53" s="2669">
        <f t="shared" si="5"/>
        <v>75</v>
      </c>
      <c r="G53" s="2676">
        <v>60</v>
      </c>
      <c r="H53" s="2661"/>
      <c r="I53" s="572"/>
      <c r="J53" s="572"/>
      <c r="K53" s="572"/>
      <c r="L53" s="572"/>
      <c r="M53" s="572"/>
      <c r="N53" s="572"/>
      <c r="O53" s="572"/>
      <c r="P53" s="572"/>
      <c r="Q53" s="572"/>
      <c r="R53" s="572"/>
      <c r="S53" s="572"/>
    </row>
    <row r="54" spans="1:19">
      <c r="A54" s="2673" t="s">
        <v>2375</v>
      </c>
      <c r="B54" s="2674" t="s">
        <v>2376</v>
      </c>
      <c r="C54" s="2675" t="s">
        <v>3345</v>
      </c>
      <c r="D54" s="2675" t="s">
        <v>2307</v>
      </c>
      <c r="E54" s="2668" t="s">
        <v>3304</v>
      </c>
      <c r="F54" s="2669">
        <f>G54/0.7</f>
        <v>85.714285714285722</v>
      </c>
      <c r="G54" s="2676">
        <v>60</v>
      </c>
      <c r="H54" s="2661"/>
      <c r="I54" s="572"/>
      <c r="J54" s="572"/>
      <c r="K54" s="572"/>
      <c r="L54" s="572"/>
      <c r="M54" s="572"/>
      <c r="N54" s="572"/>
      <c r="O54" s="572"/>
      <c r="P54" s="572"/>
      <c r="Q54" s="572"/>
      <c r="R54" s="572"/>
      <c r="S54" s="572"/>
    </row>
    <row r="55" spans="1:19">
      <c r="A55" s="2673" t="s">
        <v>2375</v>
      </c>
      <c r="B55" s="2674" t="s">
        <v>2376</v>
      </c>
      <c r="C55" s="2675" t="s">
        <v>3346</v>
      </c>
      <c r="D55" s="2675" t="s">
        <v>2307</v>
      </c>
      <c r="E55" s="2668" t="s">
        <v>3305</v>
      </c>
      <c r="F55" s="2669">
        <f>G55/0.6</f>
        <v>100</v>
      </c>
      <c r="G55" s="2676">
        <v>60</v>
      </c>
      <c r="H55" s="2661"/>
      <c r="I55" s="572"/>
      <c r="J55" s="572"/>
      <c r="K55" s="572"/>
      <c r="L55" s="572"/>
      <c r="M55" s="572"/>
      <c r="N55" s="572"/>
      <c r="O55" s="572"/>
      <c r="P55" s="572"/>
      <c r="Q55" s="572"/>
      <c r="R55" s="572"/>
      <c r="S55" s="572"/>
    </row>
    <row r="56" spans="1:19">
      <c r="A56" s="2673" t="s">
        <v>2375</v>
      </c>
      <c r="B56" s="2674" t="s">
        <v>2376</v>
      </c>
      <c r="C56" s="2675" t="s">
        <v>3347</v>
      </c>
      <c r="D56" s="2675" t="s">
        <v>2307</v>
      </c>
      <c r="E56" s="2668" t="s">
        <v>3306</v>
      </c>
      <c r="F56" s="2669">
        <f>G56/0.5</f>
        <v>120</v>
      </c>
      <c r="G56" s="2676">
        <v>60</v>
      </c>
      <c r="H56" s="2661"/>
      <c r="I56" s="572"/>
      <c r="J56" s="572"/>
      <c r="K56" s="572"/>
      <c r="L56" s="572"/>
      <c r="M56" s="572"/>
      <c r="N56" s="572"/>
      <c r="O56" s="572"/>
      <c r="P56" s="572"/>
      <c r="Q56" s="572"/>
      <c r="R56" s="572"/>
      <c r="S56" s="572"/>
    </row>
    <row r="57" spans="1:19" ht="12.75" customHeight="1">
      <c r="A57" s="3417" t="s">
        <v>2151</v>
      </c>
      <c r="B57" s="3417"/>
      <c r="C57" s="2671"/>
      <c r="D57" s="2671"/>
      <c r="E57" s="2671"/>
      <c r="F57" s="2672"/>
      <c r="G57" s="2664"/>
      <c r="H57" s="2661"/>
      <c r="I57" s="572"/>
      <c r="J57" s="572"/>
      <c r="K57" s="572"/>
      <c r="L57" s="572"/>
      <c r="M57" s="572"/>
      <c r="N57" s="572"/>
      <c r="O57" s="572"/>
      <c r="P57" s="572"/>
      <c r="Q57" s="572"/>
      <c r="R57" s="572"/>
      <c r="S57" s="572"/>
    </row>
    <row r="58" spans="1:19" ht="20.399999999999999">
      <c r="A58" s="2673" t="s">
        <v>2262</v>
      </c>
      <c r="B58" s="2684" t="s">
        <v>2142</v>
      </c>
      <c r="C58" s="2675" t="s">
        <v>3476</v>
      </c>
      <c r="D58" s="2667" t="s">
        <v>3216</v>
      </c>
      <c r="E58" s="2685" t="s">
        <v>3783</v>
      </c>
      <c r="F58" s="2669">
        <f t="shared" ref="F58:F68" si="14">G58/0.8</f>
        <v>43.75</v>
      </c>
      <c r="G58" s="2676">
        <v>35</v>
      </c>
      <c r="H58" s="2661"/>
      <c r="I58" s="572"/>
      <c r="J58" s="572"/>
      <c r="K58" s="572"/>
      <c r="L58" s="572"/>
      <c r="M58" s="572"/>
      <c r="N58" s="572"/>
      <c r="O58" s="572"/>
      <c r="P58" s="572"/>
      <c r="Q58" s="572"/>
      <c r="R58" s="572"/>
      <c r="S58" s="572"/>
    </row>
    <row r="59" spans="1:19" ht="20.399999999999999">
      <c r="A59" s="2673" t="s">
        <v>2262</v>
      </c>
      <c r="B59" s="2684" t="s">
        <v>2142</v>
      </c>
      <c r="C59" s="2675" t="s">
        <v>3475</v>
      </c>
      <c r="D59" s="2667" t="s">
        <v>3216</v>
      </c>
      <c r="E59" s="2685" t="s">
        <v>3784</v>
      </c>
      <c r="F59" s="2669">
        <f t="shared" ref="F59" si="15">G59/0.8</f>
        <v>43.75</v>
      </c>
      <c r="G59" s="2676">
        <v>35</v>
      </c>
      <c r="H59" s="2661"/>
      <c r="I59" s="572"/>
      <c r="J59" s="572"/>
      <c r="K59" s="572"/>
      <c r="L59" s="572"/>
      <c r="M59" s="572"/>
      <c r="N59" s="572"/>
      <c r="O59" s="572"/>
      <c r="P59" s="572"/>
      <c r="Q59" s="572"/>
      <c r="R59" s="572"/>
      <c r="S59" s="572"/>
    </row>
    <row r="60" spans="1:19" ht="20.399999999999999">
      <c r="A60" s="2673" t="s">
        <v>2262</v>
      </c>
      <c r="B60" s="2684" t="s">
        <v>2142</v>
      </c>
      <c r="C60" s="2675" t="s">
        <v>3466</v>
      </c>
      <c r="D60" s="2667" t="s">
        <v>3216</v>
      </c>
      <c r="E60" s="2685" t="s">
        <v>1150</v>
      </c>
      <c r="F60" s="2669">
        <f t="shared" si="14"/>
        <v>43.75</v>
      </c>
      <c r="G60" s="2676">
        <v>35</v>
      </c>
      <c r="H60" s="2661"/>
      <c r="I60" s="572"/>
      <c r="J60" s="572"/>
      <c r="K60" s="572"/>
      <c r="L60" s="572"/>
      <c r="M60" s="572"/>
      <c r="N60" s="572"/>
      <c r="O60" s="572"/>
      <c r="P60" s="572"/>
      <c r="Q60" s="572"/>
      <c r="R60" s="572"/>
      <c r="S60" s="572"/>
    </row>
    <row r="61" spans="1:19" ht="20.399999999999999">
      <c r="A61" s="2673" t="s">
        <v>2263</v>
      </c>
      <c r="B61" s="2684" t="s">
        <v>2143</v>
      </c>
      <c r="C61" s="2675" t="s">
        <v>3467</v>
      </c>
      <c r="D61" s="2667" t="s">
        <v>3216</v>
      </c>
      <c r="E61" s="2685" t="s">
        <v>3785</v>
      </c>
      <c r="F61" s="2669">
        <f t="shared" ref="F61" si="16">G61/0.8</f>
        <v>56.25</v>
      </c>
      <c r="G61" s="2676">
        <v>45</v>
      </c>
      <c r="H61" s="2661"/>
      <c r="I61" s="572"/>
      <c r="J61" s="572"/>
      <c r="K61" s="572"/>
      <c r="L61" s="572"/>
      <c r="M61" s="572"/>
      <c r="N61" s="572"/>
      <c r="O61" s="572"/>
      <c r="P61" s="572"/>
      <c r="Q61" s="572"/>
      <c r="R61" s="572"/>
      <c r="S61" s="572"/>
    </row>
    <row r="62" spans="1:19" ht="20.399999999999999">
      <c r="A62" s="2673" t="s">
        <v>2263</v>
      </c>
      <c r="B62" s="2684" t="s">
        <v>2143</v>
      </c>
      <c r="C62" s="2675" t="s">
        <v>3468</v>
      </c>
      <c r="D62" s="2667" t="s">
        <v>3216</v>
      </c>
      <c r="E62" s="2685" t="s">
        <v>3786</v>
      </c>
      <c r="F62" s="2669">
        <f t="shared" si="14"/>
        <v>56.25</v>
      </c>
      <c r="G62" s="2676">
        <v>45</v>
      </c>
      <c r="H62" s="2661"/>
      <c r="I62" s="572"/>
      <c r="J62" s="572"/>
      <c r="K62" s="572"/>
      <c r="L62" s="572"/>
      <c r="M62" s="572"/>
      <c r="N62" s="572"/>
      <c r="O62" s="572"/>
      <c r="P62" s="572"/>
      <c r="Q62" s="572"/>
      <c r="R62" s="572"/>
      <c r="S62" s="572"/>
    </row>
    <row r="63" spans="1:19" ht="22.5" customHeight="1">
      <c r="A63" s="2673" t="s">
        <v>2266</v>
      </c>
      <c r="B63" s="2684" t="s">
        <v>2144</v>
      </c>
      <c r="C63" s="2675" t="s">
        <v>3469</v>
      </c>
      <c r="D63" s="2667" t="s">
        <v>3216</v>
      </c>
      <c r="E63" s="2685" t="s">
        <v>3787</v>
      </c>
      <c r="F63" s="2669">
        <f t="shared" si="14"/>
        <v>93.75</v>
      </c>
      <c r="G63" s="2676">
        <v>75</v>
      </c>
      <c r="H63" s="2661"/>
      <c r="I63" s="572"/>
      <c r="J63" s="572"/>
      <c r="K63" s="572"/>
      <c r="L63" s="572"/>
      <c r="M63" s="572"/>
      <c r="N63" s="572"/>
      <c r="O63" s="572"/>
      <c r="P63" s="572"/>
      <c r="Q63" s="572"/>
      <c r="R63" s="572"/>
      <c r="S63" s="572"/>
    </row>
    <row r="64" spans="1:19" ht="22.5" customHeight="1">
      <c r="A64" s="2673" t="s">
        <v>2266</v>
      </c>
      <c r="B64" s="2684" t="s">
        <v>2144</v>
      </c>
      <c r="C64" s="2675" t="s">
        <v>3470</v>
      </c>
      <c r="D64" s="2667" t="s">
        <v>3216</v>
      </c>
      <c r="E64" s="2685" t="s">
        <v>3788</v>
      </c>
      <c r="F64" s="2669">
        <f t="shared" si="14"/>
        <v>93.75</v>
      </c>
      <c r="G64" s="2676">
        <v>75</v>
      </c>
      <c r="H64" s="2661"/>
      <c r="I64" s="572"/>
      <c r="J64" s="572"/>
      <c r="K64" s="572"/>
      <c r="L64" s="572"/>
      <c r="M64" s="572"/>
      <c r="N64" s="572"/>
      <c r="O64" s="572"/>
      <c r="P64" s="572"/>
      <c r="Q64" s="572"/>
      <c r="R64" s="572"/>
      <c r="S64" s="572"/>
    </row>
    <row r="65" spans="1:19" ht="22.5" customHeight="1">
      <c r="A65" s="2673" t="s">
        <v>2264</v>
      </c>
      <c r="B65" s="2684" t="s">
        <v>2145</v>
      </c>
      <c r="C65" s="2675" t="s">
        <v>3471</v>
      </c>
      <c r="D65" s="2667" t="s">
        <v>3216</v>
      </c>
      <c r="E65" s="2685" t="s">
        <v>3780</v>
      </c>
      <c r="F65" s="2669">
        <f t="shared" si="14"/>
        <v>50</v>
      </c>
      <c r="G65" s="2676">
        <v>40</v>
      </c>
      <c r="H65" s="2661"/>
      <c r="I65" s="572"/>
      <c r="J65" s="572"/>
      <c r="K65" s="572"/>
      <c r="L65" s="572"/>
      <c r="M65" s="572"/>
      <c r="N65" s="572"/>
      <c r="O65" s="572"/>
      <c r="P65" s="572"/>
      <c r="Q65" s="572"/>
      <c r="R65" s="572"/>
      <c r="S65" s="572"/>
    </row>
    <row r="66" spans="1:19" ht="22.5" customHeight="1">
      <c r="A66" s="2673" t="s">
        <v>2264</v>
      </c>
      <c r="B66" s="2684" t="s">
        <v>2145</v>
      </c>
      <c r="C66" s="2675" t="s">
        <v>3472</v>
      </c>
      <c r="D66" s="2667" t="s">
        <v>3216</v>
      </c>
      <c r="E66" s="2685" t="s">
        <v>3781</v>
      </c>
      <c r="F66" s="2669">
        <f t="shared" si="14"/>
        <v>50</v>
      </c>
      <c r="G66" s="2676">
        <v>40</v>
      </c>
      <c r="H66" s="2661"/>
      <c r="I66" s="572"/>
      <c r="J66" s="572"/>
      <c r="K66" s="572"/>
      <c r="L66" s="572"/>
      <c r="M66" s="572"/>
      <c r="N66" s="572"/>
      <c r="O66" s="572"/>
      <c r="P66" s="572"/>
      <c r="Q66" s="572"/>
      <c r="R66" s="572"/>
      <c r="S66" s="572"/>
    </row>
    <row r="67" spans="1:19" ht="22.5" customHeight="1">
      <c r="A67" s="2673" t="s">
        <v>2265</v>
      </c>
      <c r="B67" s="2686" t="s">
        <v>2146</v>
      </c>
      <c r="C67" s="2675" t="s">
        <v>3473</v>
      </c>
      <c r="D67" s="2667" t="s">
        <v>3216</v>
      </c>
      <c r="E67" s="2685" t="s">
        <v>3789</v>
      </c>
      <c r="F67" s="2669">
        <f t="shared" ref="F67" si="17">G67/0.8</f>
        <v>50</v>
      </c>
      <c r="G67" s="2676">
        <v>40</v>
      </c>
      <c r="H67" s="2661"/>
      <c r="I67" s="572"/>
      <c r="J67" s="572"/>
      <c r="K67" s="572"/>
      <c r="L67" s="572"/>
      <c r="M67" s="572"/>
      <c r="N67" s="572"/>
      <c r="O67" s="572"/>
      <c r="P67" s="572"/>
      <c r="Q67" s="572"/>
      <c r="R67" s="572"/>
      <c r="S67" s="572"/>
    </row>
    <row r="68" spans="1:19" ht="22.5" customHeight="1">
      <c r="A68" s="2673" t="s">
        <v>2265</v>
      </c>
      <c r="B68" s="2686" t="s">
        <v>2146</v>
      </c>
      <c r="C68" s="2675" t="s">
        <v>3474</v>
      </c>
      <c r="D68" s="2667" t="s">
        <v>3216</v>
      </c>
      <c r="E68" s="2685" t="s">
        <v>3790</v>
      </c>
      <c r="F68" s="2669">
        <f t="shared" si="14"/>
        <v>50</v>
      </c>
      <c r="G68" s="2676">
        <v>40</v>
      </c>
      <c r="H68" s="2661"/>
      <c r="I68" s="572"/>
      <c r="J68" s="572"/>
      <c r="K68" s="572"/>
      <c r="L68" s="572"/>
      <c r="M68" s="572"/>
      <c r="N68" s="572"/>
      <c r="O68" s="572"/>
      <c r="P68" s="572"/>
      <c r="Q68" s="572"/>
      <c r="R68" s="572"/>
      <c r="S68" s="572"/>
    </row>
    <row r="69" spans="1:19" ht="12.75" customHeight="1">
      <c r="A69" s="3418" t="s">
        <v>2152</v>
      </c>
      <c r="B69" s="3418"/>
      <c r="C69" s="2687"/>
      <c r="D69" s="2667"/>
      <c r="E69" s="2687"/>
      <c r="F69" s="2688"/>
      <c r="G69" s="2664"/>
      <c r="H69" s="2661"/>
      <c r="I69" s="572"/>
      <c r="J69" s="572"/>
      <c r="K69" s="572"/>
      <c r="L69" s="572"/>
      <c r="M69" s="572"/>
      <c r="N69" s="572"/>
      <c r="O69" s="572"/>
      <c r="P69" s="572"/>
      <c r="Q69" s="572"/>
      <c r="R69" s="572"/>
      <c r="S69" s="572"/>
    </row>
    <row r="70" spans="1:19" ht="23.1" customHeight="1">
      <c r="A70" s="2689" t="s">
        <v>2267</v>
      </c>
      <c r="B70" s="2690" t="s">
        <v>2147</v>
      </c>
      <c r="C70" s="2675" t="s">
        <v>2131</v>
      </c>
      <c r="D70" s="2667" t="s">
        <v>3216</v>
      </c>
      <c r="E70" s="2685" t="s">
        <v>3783</v>
      </c>
      <c r="F70" s="2669">
        <f t="shared" ref="F70:F75" si="18">G70/0.8</f>
        <v>75</v>
      </c>
      <c r="G70" s="2691">
        <v>60</v>
      </c>
      <c r="H70" s="2661"/>
      <c r="I70" s="572"/>
      <c r="J70" s="572"/>
      <c r="K70" s="572"/>
      <c r="L70" s="572"/>
      <c r="M70" s="572"/>
      <c r="N70" s="572"/>
      <c r="O70" s="572"/>
      <c r="P70" s="572"/>
      <c r="Q70" s="572"/>
      <c r="R70" s="572"/>
      <c r="S70" s="572"/>
    </row>
    <row r="71" spans="1:19" ht="23.1" customHeight="1">
      <c r="A71" s="2689" t="s">
        <v>2267</v>
      </c>
      <c r="B71" s="2690" t="s">
        <v>2147</v>
      </c>
      <c r="C71" s="2675" t="s">
        <v>2132</v>
      </c>
      <c r="D71" s="2667" t="s">
        <v>3216</v>
      </c>
      <c r="E71" s="2685" t="s">
        <v>3796</v>
      </c>
      <c r="F71" s="2669">
        <f t="shared" si="18"/>
        <v>75</v>
      </c>
      <c r="G71" s="2691">
        <v>60</v>
      </c>
      <c r="H71" s="2661"/>
      <c r="I71" s="572"/>
      <c r="J71" s="572"/>
      <c r="K71" s="572"/>
      <c r="L71" s="572"/>
      <c r="M71" s="572"/>
      <c r="N71" s="572"/>
      <c r="O71" s="572"/>
      <c r="P71" s="572"/>
      <c r="Q71" s="572"/>
      <c r="R71" s="572"/>
      <c r="S71" s="572"/>
    </row>
    <row r="72" spans="1:19" ht="23.1" customHeight="1">
      <c r="A72" s="2689" t="s">
        <v>2268</v>
      </c>
      <c r="B72" s="2692" t="s">
        <v>2148</v>
      </c>
      <c r="C72" s="2675" t="s">
        <v>2155</v>
      </c>
      <c r="D72" s="2667" t="s">
        <v>3216</v>
      </c>
      <c r="E72" s="2685" t="s">
        <v>3785</v>
      </c>
      <c r="F72" s="2669">
        <f t="shared" si="18"/>
        <v>75</v>
      </c>
      <c r="G72" s="2693">
        <v>60</v>
      </c>
      <c r="H72" s="2661"/>
      <c r="I72" s="572"/>
      <c r="J72" s="572"/>
      <c r="K72" s="572"/>
      <c r="L72" s="572"/>
      <c r="M72" s="572"/>
      <c r="N72" s="572"/>
      <c r="O72" s="572"/>
      <c r="P72" s="572"/>
      <c r="Q72" s="572"/>
      <c r="R72" s="572"/>
      <c r="S72" s="572"/>
    </row>
    <row r="73" spans="1:19" ht="23.1" customHeight="1">
      <c r="A73" s="2689" t="s">
        <v>2269</v>
      </c>
      <c r="B73" s="2690" t="s">
        <v>2149</v>
      </c>
      <c r="C73" s="2675" t="s">
        <v>2156</v>
      </c>
      <c r="D73" s="2667" t="s">
        <v>3216</v>
      </c>
      <c r="E73" s="2685" t="s">
        <v>3786</v>
      </c>
      <c r="F73" s="2669">
        <f t="shared" si="18"/>
        <v>93.75</v>
      </c>
      <c r="G73" s="2694">
        <v>75</v>
      </c>
      <c r="H73" s="2661"/>
      <c r="I73" s="572"/>
      <c r="J73" s="572"/>
      <c r="K73" s="572"/>
      <c r="L73" s="572"/>
      <c r="M73" s="572"/>
      <c r="N73" s="572"/>
      <c r="O73" s="572"/>
      <c r="P73" s="572"/>
      <c r="Q73" s="572"/>
      <c r="R73" s="572"/>
      <c r="S73" s="572"/>
    </row>
    <row r="74" spans="1:19" ht="23.1" customHeight="1">
      <c r="A74" s="2689" t="s">
        <v>2270</v>
      </c>
      <c r="B74" s="2692" t="s">
        <v>2128</v>
      </c>
      <c r="C74" s="2675" t="s">
        <v>2157</v>
      </c>
      <c r="D74" s="2667" t="s">
        <v>3216</v>
      </c>
      <c r="E74" s="2685" t="s">
        <v>3781</v>
      </c>
      <c r="F74" s="2669">
        <f t="shared" si="18"/>
        <v>75</v>
      </c>
      <c r="G74" s="2695">
        <v>60</v>
      </c>
      <c r="H74" s="2661"/>
      <c r="I74" s="572"/>
      <c r="J74" s="572"/>
      <c r="K74" s="572"/>
      <c r="L74" s="572"/>
      <c r="M74" s="572"/>
      <c r="N74" s="572"/>
      <c r="O74" s="572"/>
      <c r="P74" s="572"/>
      <c r="Q74" s="572"/>
      <c r="R74" s="572"/>
      <c r="S74" s="572"/>
    </row>
    <row r="75" spans="1:19" s="499" customFormat="1" ht="23.1" customHeight="1">
      <c r="A75" s="2696" t="s">
        <v>2270</v>
      </c>
      <c r="B75" s="2697" t="s">
        <v>2271</v>
      </c>
      <c r="C75" s="1814" t="s">
        <v>2272</v>
      </c>
      <c r="D75" s="2667" t="s">
        <v>3216</v>
      </c>
      <c r="E75" s="2698" t="s">
        <v>1162</v>
      </c>
      <c r="F75" s="2669">
        <f t="shared" si="18"/>
        <v>75</v>
      </c>
      <c r="G75" s="2695">
        <v>60</v>
      </c>
      <c r="H75" s="2661"/>
      <c r="I75" s="515"/>
      <c r="J75" s="515"/>
      <c r="K75" s="515"/>
      <c r="L75" s="515"/>
      <c r="M75" s="515"/>
      <c r="N75" s="515"/>
      <c r="O75" s="515"/>
      <c r="P75" s="515"/>
      <c r="Q75" s="515"/>
      <c r="R75" s="515"/>
      <c r="S75" s="515"/>
    </row>
    <row r="76" spans="1:19" hidden="1">
      <c r="A76" s="2696"/>
      <c r="B76" s="2699"/>
      <c r="C76" s="1814"/>
      <c r="D76" s="1814"/>
      <c r="E76" s="2698"/>
      <c r="F76" s="2669"/>
      <c r="G76" s="2700"/>
      <c r="H76" s="2661"/>
      <c r="I76" s="572"/>
      <c r="J76" s="572"/>
      <c r="K76" s="572"/>
      <c r="L76" s="572"/>
      <c r="M76" s="572"/>
      <c r="N76" s="572"/>
      <c r="O76" s="572"/>
      <c r="P76" s="572"/>
      <c r="Q76" s="572"/>
      <c r="R76" s="572"/>
      <c r="S76" s="572"/>
    </row>
    <row r="77" spans="1:19" ht="15" hidden="1" customHeight="1">
      <c r="A77" s="3419" t="s">
        <v>2140</v>
      </c>
      <c r="B77" s="3419"/>
      <c r="C77" s="2701"/>
      <c r="D77" s="2701"/>
      <c r="E77" s="2701"/>
      <c r="F77" s="2702"/>
      <c r="G77" s="2703"/>
      <c r="H77" s="2661"/>
      <c r="I77" s="572"/>
      <c r="J77" s="572"/>
      <c r="K77" s="572"/>
      <c r="L77" s="572"/>
      <c r="M77" s="572"/>
      <c r="N77" s="572"/>
      <c r="O77" s="572"/>
      <c r="P77" s="572"/>
      <c r="Q77" s="572"/>
      <c r="R77" s="572"/>
      <c r="S77" s="572"/>
    </row>
    <row r="78" spans="1:19" ht="12.75" hidden="1" customHeight="1">
      <c r="A78" s="3420" t="s">
        <v>2150</v>
      </c>
      <c r="B78" s="3420"/>
      <c r="C78" s="2662"/>
      <c r="D78" s="2662"/>
      <c r="E78" s="2662"/>
      <c r="F78" s="2663"/>
      <c r="G78" s="2664"/>
      <c r="H78" s="2661"/>
      <c r="I78" s="572"/>
      <c r="J78" s="572"/>
      <c r="K78" s="572"/>
      <c r="L78" s="572"/>
      <c r="M78" s="572"/>
      <c r="N78" s="572"/>
      <c r="O78" s="572"/>
      <c r="P78" s="572"/>
      <c r="Q78" s="572"/>
      <c r="R78" s="572"/>
      <c r="S78" s="572"/>
    </row>
    <row r="79" spans="1:19" hidden="1">
      <c r="A79" s="2665" t="s">
        <v>2255</v>
      </c>
      <c r="B79" s="2666" t="s">
        <v>2119</v>
      </c>
      <c r="C79" s="2667" t="s">
        <v>3350</v>
      </c>
      <c r="D79" s="2667" t="s">
        <v>1167</v>
      </c>
      <c r="E79" s="2668" t="s">
        <v>3315</v>
      </c>
      <c r="F79" s="2669">
        <f t="shared" ref="F79:F82" si="19">G79/0.8</f>
        <v>68.75</v>
      </c>
      <c r="G79" s="2670">
        <v>55</v>
      </c>
      <c r="H79" s="2661"/>
      <c r="I79" s="572"/>
      <c r="J79" s="572"/>
      <c r="K79" s="572"/>
      <c r="L79" s="572"/>
      <c r="M79" s="572"/>
      <c r="N79" s="572"/>
      <c r="O79" s="572"/>
      <c r="P79" s="572"/>
      <c r="Q79" s="572"/>
      <c r="R79" s="572"/>
      <c r="S79" s="572"/>
    </row>
    <row r="80" spans="1:19" hidden="1">
      <c r="A80" s="2665" t="s">
        <v>2256</v>
      </c>
      <c r="B80" s="2666" t="s">
        <v>2120</v>
      </c>
      <c r="C80" s="2667" t="s">
        <v>3349</v>
      </c>
      <c r="D80" s="2667" t="s">
        <v>1167</v>
      </c>
      <c r="E80" s="2668" t="s">
        <v>3321</v>
      </c>
      <c r="F80" s="2669">
        <f t="shared" si="19"/>
        <v>75</v>
      </c>
      <c r="G80" s="2670">
        <v>60</v>
      </c>
      <c r="H80" s="2661"/>
      <c r="I80" s="572"/>
      <c r="J80" s="572"/>
      <c r="K80" s="572"/>
      <c r="L80" s="572"/>
      <c r="M80" s="572"/>
      <c r="N80" s="572"/>
      <c r="O80" s="572"/>
      <c r="P80" s="572"/>
      <c r="Q80" s="572"/>
      <c r="R80" s="572"/>
      <c r="S80" s="572"/>
    </row>
    <row r="81" spans="1:19" hidden="1">
      <c r="A81" s="2665" t="s">
        <v>2257</v>
      </c>
      <c r="B81" s="2666" t="s">
        <v>2121</v>
      </c>
      <c r="C81" s="2667" t="s">
        <v>2154</v>
      </c>
      <c r="D81" s="2667" t="s">
        <v>1167</v>
      </c>
      <c r="E81" s="2668" t="s">
        <v>3318</v>
      </c>
      <c r="F81" s="2669">
        <f t="shared" si="19"/>
        <v>87.5</v>
      </c>
      <c r="G81" s="2670">
        <v>70</v>
      </c>
      <c r="H81" s="2661"/>
      <c r="I81" s="572"/>
      <c r="J81" s="572"/>
      <c r="K81" s="572"/>
      <c r="L81" s="572"/>
      <c r="M81" s="572"/>
      <c r="N81" s="572"/>
      <c r="O81" s="572"/>
      <c r="P81" s="572"/>
      <c r="Q81" s="572"/>
      <c r="R81" s="572"/>
      <c r="S81" s="572"/>
    </row>
    <row r="82" spans="1:19" hidden="1">
      <c r="A82" s="2665" t="s">
        <v>2258</v>
      </c>
      <c r="B82" s="2666" t="s">
        <v>2122</v>
      </c>
      <c r="C82" s="2667" t="s">
        <v>2153</v>
      </c>
      <c r="D82" s="2667" t="s">
        <v>1167</v>
      </c>
      <c r="E82" s="2668" t="s">
        <v>3317</v>
      </c>
      <c r="F82" s="2669">
        <f t="shared" si="19"/>
        <v>100</v>
      </c>
      <c r="G82" s="2670">
        <v>80</v>
      </c>
      <c r="H82" s="2661"/>
      <c r="I82" s="572"/>
      <c r="J82" s="572"/>
      <c r="K82" s="572"/>
      <c r="L82" s="572"/>
      <c r="M82" s="572"/>
      <c r="N82" s="572"/>
      <c r="O82" s="572"/>
      <c r="P82" s="572"/>
      <c r="Q82" s="572"/>
      <c r="R82" s="572"/>
      <c r="S82" s="572"/>
    </row>
    <row r="83" spans="1:19" ht="12.75" hidden="1" customHeight="1">
      <c r="A83" s="3417" t="s">
        <v>2151</v>
      </c>
      <c r="B83" s="3417"/>
      <c r="C83" s="2671"/>
      <c r="D83" s="2671"/>
      <c r="E83" s="2671"/>
      <c r="F83" s="2672"/>
      <c r="G83" s="2664"/>
      <c r="H83" s="2661"/>
      <c r="I83" s="572"/>
      <c r="J83" s="572"/>
      <c r="K83" s="572"/>
      <c r="L83" s="572"/>
      <c r="M83" s="572"/>
      <c r="N83" s="572"/>
      <c r="O83" s="572"/>
      <c r="P83" s="572"/>
      <c r="Q83" s="572"/>
      <c r="R83" s="572"/>
      <c r="S83" s="572"/>
    </row>
    <row r="84" spans="1:19" hidden="1">
      <c r="A84" s="2673" t="s">
        <v>2259</v>
      </c>
      <c r="B84" s="2674" t="s">
        <v>2125</v>
      </c>
      <c r="C84" s="2667" t="s">
        <v>2385</v>
      </c>
      <c r="D84" s="2667" t="s">
        <v>1167</v>
      </c>
      <c r="E84" s="2668" t="s">
        <v>3315</v>
      </c>
      <c r="F84" s="2669">
        <f t="shared" ref="F84:F86" si="20">G84/0.8</f>
        <v>43.75</v>
      </c>
      <c r="G84" s="2676">
        <v>35</v>
      </c>
      <c r="H84" s="2661"/>
      <c r="I84" s="572"/>
      <c r="J84" s="572"/>
      <c r="K84" s="572"/>
      <c r="L84" s="572"/>
      <c r="M84" s="572"/>
      <c r="N84" s="572"/>
      <c r="O84" s="572"/>
      <c r="P84" s="572"/>
      <c r="Q84" s="572"/>
      <c r="R84" s="572"/>
      <c r="S84" s="572"/>
    </row>
    <row r="85" spans="1:19" hidden="1">
      <c r="A85" s="2673" t="s">
        <v>2260</v>
      </c>
      <c r="B85" s="2674" t="s">
        <v>2126</v>
      </c>
      <c r="C85" s="2667" t="s">
        <v>2386</v>
      </c>
      <c r="D85" s="2667" t="s">
        <v>1167</v>
      </c>
      <c r="E85" s="2668" t="s">
        <v>3321</v>
      </c>
      <c r="F85" s="2669">
        <f t="shared" si="20"/>
        <v>75</v>
      </c>
      <c r="G85" s="2676">
        <v>60</v>
      </c>
      <c r="H85" s="2661"/>
      <c r="I85" s="572"/>
      <c r="J85" s="572"/>
      <c r="K85" s="572"/>
      <c r="L85" s="572"/>
      <c r="M85" s="572"/>
      <c r="N85" s="572"/>
      <c r="O85" s="572"/>
      <c r="P85" s="572"/>
      <c r="Q85" s="572"/>
      <c r="R85" s="572"/>
      <c r="S85" s="572"/>
    </row>
    <row r="86" spans="1:19" hidden="1">
      <c r="A86" s="2673" t="s">
        <v>2261</v>
      </c>
      <c r="B86" s="2674" t="s">
        <v>2127</v>
      </c>
      <c r="C86" s="2667" t="s">
        <v>2387</v>
      </c>
      <c r="D86" s="2667" t="s">
        <v>1167</v>
      </c>
      <c r="E86" s="2668" t="s">
        <v>3318</v>
      </c>
      <c r="F86" s="2669">
        <f t="shared" si="20"/>
        <v>43.75</v>
      </c>
      <c r="G86" s="2676">
        <v>35</v>
      </c>
      <c r="H86" s="2661"/>
      <c r="I86" s="572"/>
      <c r="J86" s="572"/>
      <c r="K86" s="572"/>
      <c r="L86" s="572"/>
      <c r="M86" s="572"/>
      <c r="N86" s="572"/>
      <c r="O86" s="572"/>
      <c r="P86" s="572"/>
      <c r="Q86" s="572"/>
      <c r="R86" s="572"/>
      <c r="S86" s="572"/>
    </row>
    <row r="87" spans="1:19" hidden="1">
      <c r="A87" s="3416" t="s">
        <v>2366</v>
      </c>
      <c r="B87" s="3416"/>
      <c r="C87" s="2675"/>
      <c r="D87" s="2675"/>
      <c r="E87" s="2677"/>
      <c r="F87" s="2669"/>
      <c r="G87" s="2678"/>
      <c r="H87" s="2661"/>
      <c r="I87" s="572"/>
      <c r="J87" s="572"/>
      <c r="K87" s="572"/>
      <c r="L87" s="572"/>
      <c r="M87" s="572"/>
      <c r="N87" s="572"/>
      <c r="O87" s="572"/>
      <c r="P87" s="572"/>
      <c r="Q87" s="572"/>
      <c r="R87" s="572"/>
      <c r="S87" s="572"/>
    </row>
    <row r="88" spans="1:19" hidden="1">
      <c r="A88" s="2673" t="s">
        <v>2371</v>
      </c>
      <c r="B88" s="2674" t="s">
        <v>2372</v>
      </c>
      <c r="C88" s="2675" t="s">
        <v>3230</v>
      </c>
      <c r="D88" s="2675" t="s">
        <v>2307</v>
      </c>
      <c r="E88" s="2668" t="s">
        <v>2310</v>
      </c>
      <c r="F88" s="2669">
        <f t="shared" ref="F88:F92" si="21">G88/0.8</f>
        <v>50</v>
      </c>
      <c r="G88" s="2676">
        <v>40</v>
      </c>
      <c r="H88" s="2661"/>
      <c r="I88" s="572"/>
      <c r="J88" s="572"/>
      <c r="K88" s="572"/>
      <c r="L88" s="572"/>
      <c r="M88" s="572"/>
      <c r="N88" s="572"/>
      <c r="O88" s="572"/>
      <c r="P88" s="572"/>
      <c r="Q88" s="572"/>
      <c r="R88" s="572"/>
      <c r="S88" s="572"/>
    </row>
    <row r="89" spans="1:19" hidden="1">
      <c r="A89" s="2673" t="s">
        <v>2373</v>
      </c>
      <c r="B89" s="2674" t="s">
        <v>2374</v>
      </c>
      <c r="C89" s="2675" t="s">
        <v>3231</v>
      </c>
      <c r="D89" s="2675" t="s">
        <v>2307</v>
      </c>
      <c r="E89" s="2668" t="s">
        <v>2312</v>
      </c>
      <c r="F89" s="2669">
        <f t="shared" si="21"/>
        <v>62.5</v>
      </c>
      <c r="G89" s="2676">
        <v>50</v>
      </c>
      <c r="H89" s="2661"/>
      <c r="I89" s="572"/>
      <c r="J89" s="572"/>
      <c r="K89" s="572"/>
      <c r="L89" s="572"/>
      <c r="M89" s="572"/>
      <c r="N89" s="572"/>
      <c r="O89" s="572"/>
      <c r="P89" s="572"/>
      <c r="Q89" s="572"/>
      <c r="R89" s="572"/>
      <c r="S89" s="572"/>
    </row>
    <row r="90" spans="1:19" hidden="1">
      <c r="A90" s="2673" t="s">
        <v>2373</v>
      </c>
      <c r="B90" s="2674" t="s">
        <v>2374</v>
      </c>
      <c r="C90" s="2675" t="s">
        <v>3232</v>
      </c>
      <c r="D90" s="2675" t="s">
        <v>2307</v>
      </c>
      <c r="E90" s="2668" t="s">
        <v>2496</v>
      </c>
      <c r="F90" s="2669">
        <f t="shared" ref="F90:F91" si="22">G90/0.8</f>
        <v>62.5</v>
      </c>
      <c r="G90" s="2676">
        <v>50</v>
      </c>
      <c r="H90" s="2661"/>
      <c r="I90" s="572"/>
      <c r="J90" s="572"/>
      <c r="K90" s="572"/>
      <c r="L90" s="572"/>
      <c r="M90" s="572"/>
      <c r="N90" s="572"/>
      <c r="O90" s="572"/>
      <c r="P90" s="572"/>
      <c r="Q90" s="572"/>
      <c r="R90" s="572"/>
      <c r="S90" s="572"/>
    </row>
    <row r="91" spans="1:19" hidden="1">
      <c r="A91" s="2673" t="s">
        <v>2373</v>
      </c>
      <c r="B91" s="2674" t="s">
        <v>2374</v>
      </c>
      <c r="C91" s="2675" t="s">
        <v>3233</v>
      </c>
      <c r="D91" s="2675" t="s">
        <v>2307</v>
      </c>
      <c r="E91" s="2668" t="s">
        <v>2497</v>
      </c>
      <c r="F91" s="2669">
        <f t="shared" si="22"/>
        <v>62.5</v>
      </c>
      <c r="G91" s="2676">
        <v>50</v>
      </c>
      <c r="H91" s="2661"/>
      <c r="I91" s="572"/>
      <c r="J91" s="572"/>
      <c r="K91" s="572"/>
      <c r="L91" s="572"/>
      <c r="M91" s="572"/>
      <c r="N91" s="572"/>
      <c r="O91" s="572"/>
      <c r="P91" s="572"/>
      <c r="Q91" s="572"/>
      <c r="R91" s="572"/>
      <c r="S91" s="572"/>
    </row>
    <row r="92" spans="1:19" hidden="1">
      <c r="A92" s="2673" t="s">
        <v>2375</v>
      </c>
      <c r="B92" s="2674" t="s">
        <v>2376</v>
      </c>
      <c r="C92" s="2675" t="s">
        <v>3344</v>
      </c>
      <c r="D92" s="2675" t="s">
        <v>2307</v>
      </c>
      <c r="E92" s="2668" t="s">
        <v>3303</v>
      </c>
      <c r="F92" s="2669">
        <f t="shared" si="21"/>
        <v>75</v>
      </c>
      <c r="G92" s="2676">
        <v>60</v>
      </c>
      <c r="H92" s="2661"/>
      <c r="I92" s="572"/>
      <c r="J92" s="572"/>
      <c r="K92" s="572"/>
      <c r="L92" s="572"/>
      <c r="M92" s="572"/>
      <c r="N92" s="572"/>
      <c r="O92" s="572"/>
      <c r="P92" s="572"/>
      <c r="Q92" s="572"/>
      <c r="R92" s="572"/>
      <c r="S92" s="572"/>
    </row>
    <row r="93" spans="1:19" hidden="1">
      <c r="A93" s="2673" t="s">
        <v>2375</v>
      </c>
      <c r="B93" s="2674" t="s">
        <v>2376</v>
      </c>
      <c r="C93" s="2675" t="s">
        <v>3345</v>
      </c>
      <c r="D93" s="2675" t="s">
        <v>2307</v>
      </c>
      <c r="E93" s="2668" t="s">
        <v>3304</v>
      </c>
      <c r="F93" s="2669">
        <f t="shared" ref="F93:F95" si="23">G93/0.8</f>
        <v>75</v>
      </c>
      <c r="G93" s="2676">
        <v>60</v>
      </c>
      <c r="H93" s="2661"/>
      <c r="I93" s="572"/>
      <c r="J93" s="572"/>
      <c r="K93" s="572"/>
      <c r="L93" s="572"/>
      <c r="M93" s="572"/>
      <c r="N93" s="572"/>
      <c r="O93" s="572"/>
      <c r="P93" s="572"/>
      <c r="Q93" s="572"/>
      <c r="R93" s="572"/>
      <c r="S93" s="572"/>
    </row>
    <row r="94" spans="1:19" hidden="1">
      <c r="A94" s="2673" t="s">
        <v>2375</v>
      </c>
      <c r="B94" s="2674" t="s">
        <v>2376</v>
      </c>
      <c r="C94" s="2675" t="s">
        <v>3346</v>
      </c>
      <c r="D94" s="2675" t="s">
        <v>2307</v>
      </c>
      <c r="E94" s="2668" t="s">
        <v>3305</v>
      </c>
      <c r="F94" s="2669">
        <f t="shared" si="23"/>
        <v>75</v>
      </c>
      <c r="G94" s="2676">
        <v>60</v>
      </c>
      <c r="H94" s="2661"/>
      <c r="I94" s="572"/>
      <c r="J94" s="572"/>
      <c r="K94" s="572"/>
      <c r="L94" s="572"/>
      <c r="M94" s="572"/>
      <c r="N94" s="572"/>
      <c r="O94" s="572"/>
      <c r="P94" s="572"/>
      <c r="Q94" s="572"/>
      <c r="R94" s="572"/>
      <c r="S94" s="572"/>
    </row>
    <row r="95" spans="1:19" hidden="1">
      <c r="A95" s="2673" t="s">
        <v>2375</v>
      </c>
      <c r="B95" s="2674" t="s">
        <v>2376</v>
      </c>
      <c r="C95" s="2675" t="s">
        <v>3347</v>
      </c>
      <c r="D95" s="2675" t="s">
        <v>2307</v>
      </c>
      <c r="E95" s="2668" t="s">
        <v>3306</v>
      </c>
      <c r="F95" s="2669">
        <f t="shared" si="23"/>
        <v>75</v>
      </c>
      <c r="G95" s="2676">
        <v>60</v>
      </c>
      <c r="H95" s="2661"/>
      <c r="I95" s="572"/>
      <c r="J95" s="572"/>
      <c r="K95" s="572"/>
      <c r="L95" s="572"/>
      <c r="M95" s="572"/>
      <c r="N95" s="572"/>
      <c r="O95" s="572"/>
      <c r="P95" s="572"/>
      <c r="Q95" s="572"/>
      <c r="R95" s="572"/>
      <c r="S95" s="572"/>
    </row>
    <row r="96" spans="1:19">
      <c r="A96" s="1702"/>
      <c r="B96" s="1702"/>
      <c r="C96" s="1702"/>
      <c r="D96" s="1702"/>
      <c r="E96" s="1702"/>
      <c r="F96" s="2704"/>
      <c r="G96" s="2664"/>
      <c r="H96" s="2661"/>
      <c r="I96" s="572"/>
      <c r="J96" s="572"/>
      <c r="K96" s="572"/>
      <c r="L96" s="572"/>
      <c r="M96" s="572"/>
      <c r="N96" s="572"/>
      <c r="O96" s="572"/>
      <c r="P96" s="572"/>
      <c r="Q96" s="572"/>
      <c r="R96" s="572"/>
      <c r="S96" s="572"/>
    </row>
    <row r="97" spans="1:19" ht="15" customHeight="1">
      <c r="A97" s="3422" t="s">
        <v>3348</v>
      </c>
      <c r="B97" s="3422"/>
      <c r="C97" s="2680"/>
      <c r="D97" s="2680"/>
      <c r="E97" s="2680"/>
      <c r="F97" s="2682"/>
      <c r="G97" s="2683"/>
      <c r="H97" s="2661"/>
      <c r="I97" s="572"/>
      <c r="J97" s="572"/>
      <c r="K97" s="572"/>
      <c r="L97" s="572"/>
      <c r="M97" s="572"/>
      <c r="N97" s="572"/>
      <c r="O97" s="572"/>
      <c r="P97" s="572"/>
      <c r="Q97" s="572"/>
      <c r="R97" s="572"/>
      <c r="S97" s="572"/>
    </row>
    <row r="98" spans="1:19" ht="12.75" customHeight="1">
      <c r="A98" s="3420" t="s">
        <v>2150</v>
      </c>
      <c r="B98" s="3420"/>
      <c r="C98" s="2662"/>
      <c r="D98" s="2662"/>
      <c r="E98" s="2662"/>
      <c r="F98" s="2663"/>
      <c r="G98" s="2664"/>
      <c r="H98" s="2661"/>
      <c r="I98" s="572"/>
      <c r="J98" s="572"/>
      <c r="K98" s="572"/>
      <c r="L98" s="572"/>
      <c r="M98" s="572"/>
      <c r="N98" s="572"/>
      <c r="O98" s="572"/>
      <c r="P98" s="572"/>
      <c r="Q98" s="572"/>
      <c r="R98" s="572"/>
      <c r="S98" s="572"/>
    </row>
    <row r="99" spans="1:19">
      <c r="A99" s="2665" t="s">
        <v>2273</v>
      </c>
      <c r="B99" s="2684" t="s">
        <v>2134</v>
      </c>
      <c r="C99" s="2667" t="s">
        <v>3508</v>
      </c>
      <c r="D99" s="2675" t="s">
        <v>3</v>
      </c>
      <c r="E99" s="2668" t="s">
        <v>1183</v>
      </c>
      <c r="F99" s="2669">
        <f>G99/0.8</f>
        <v>262.5</v>
      </c>
      <c r="G99" s="2670">
        <v>210</v>
      </c>
      <c r="H99" s="2661"/>
      <c r="I99" s="572"/>
      <c r="J99" s="572"/>
      <c r="K99" s="572"/>
      <c r="L99" s="572"/>
      <c r="M99" s="572"/>
      <c r="N99" s="572"/>
      <c r="O99" s="572"/>
      <c r="P99" s="572"/>
      <c r="Q99" s="572"/>
      <c r="R99" s="572"/>
      <c r="S99" s="572"/>
    </row>
    <row r="100" spans="1:19">
      <c r="A100" s="2665" t="s">
        <v>2273</v>
      </c>
      <c r="B100" s="2684" t="s">
        <v>2134</v>
      </c>
      <c r="C100" s="2667" t="s">
        <v>3509</v>
      </c>
      <c r="D100" s="2675" t="s">
        <v>3</v>
      </c>
      <c r="E100" s="2668" t="s">
        <v>1187</v>
      </c>
      <c r="F100" s="2669">
        <f>G100/0.8</f>
        <v>262.5</v>
      </c>
      <c r="G100" s="2670">
        <v>210</v>
      </c>
      <c r="H100" s="2661"/>
      <c r="I100" s="572"/>
      <c r="J100" s="572"/>
      <c r="K100" s="572"/>
      <c r="L100" s="572"/>
      <c r="M100" s="572"/>
      <c r="N100" s="572"/>
      <c r="O100" s="572"/>
      <c r="P100" s="572"/>
      <c r="Q100" s="572"/>
      <c r="R100" s="572"/>
      <c r="S100" s="572"/>
    </row>
    <row r="101" spans="1:19">
      <c r="A101" s="2665" t="s">
        <v>2273</v>
      </c>
      <c r="B101" s="2684" t="s">
        <v>2134</v>
      </c>
      <c r="C101" s="2667" t="s">
        <v>3510</v>
      </c>
      <c r="D101" s="2675" t="s">
        <v>3</v>
      </c>
      <c r="E101" s="2668" t="s">
        <v>1189</v>
      </c>
      <c r="F101" s="2669">
        <f>G101/0.8</f>
        <v>262.5</v>
      </c>
      <c r="G101" s="2670">
        <v>210</v>
      </c>
      <c r="H101" s="2661"/>
      <c r="I101" s="572"/>
      <c r="J101" s="572"/>
      <c r="K101" s="572"/>
      <c r="L101" s="572"/>
      <c r="M101" s="572"/>
      <c r="N101" s="572"/>
      <c r="O101" s="572"/>
      <c r="P101" s="572"/>
      <c r="Q101" s="572"/>
      <c r="R101" s="572"/>
      <c r="S101" s="572"/>
    </row>
    <row r="102" spans="1:19">
      <c r="A102" s="2665" t="s">
        <v>2273</v>
      </c>
      <c r="B102" s="2684" t="s">
        <v>2134</v>
      </c>
      <c r="C102" s="2667" t="s">
        <v>3511</v>
      </c>
      <c r="D102" s="2675" t="s">
        <v>3</v>
      </c>
      <c r="E102" s="2668" t="s">
        <v>1191</v>
      </c>
      <c r="F102" s="2669">
        <f>G102/0.8</f>
        <v>262.5</v>
      </c>
      <c r="G102" s="2670">
        <v>210</v>
      </c>
      <c r="H102" s="2661"/>
      <c r="I102" s="572"/>
      <c r="J102" s="572"/>
      <c r="K102" s="572"/>
      <c r="L102" s="572"/>
      <c r="M102" s="572"/>
      <c r="N102" s="572"/>
      <c r="O102" s="572"/>
      <c r="P102" s="572"/>
      <c r="Q102" s="572"/>
      <c r="R102" s="572"/>
      <c r="S102" s="572"/>
    </row>
    <row r="103" spans="1:19">
      <c r="A103" s="2665" t="s">
        <v>2273</v>
      </c>
      <c r="B103" s="2684" t="s">
        <v>2134</v>
      </c>
      <c r="C103" s="2667" t="s">
        <v>3512</v>
      </c>
      <c r="D103" s="2675" t="s">
        <v>3</v>
      </c>
      <c r="E103" s="2668" t="s">
        <v>1195</v>
      </c>
      <c r="F103" s="2669">
        <f>G103/0.8</f>
        <v>262.5</v>
      </c>
      <c r="G103" s="2670">
        <v>210</v>
      </c>
      <c r="H103" s="2661"/>
      <c r="I103" s="572"/>
      <c r="J103" s="572"/>
      <c r="K103" s="572"/>
      <c r="L103" s="572"/>
      <c r="M103" s="572"/>
      <c r="N103" s="572"/>
      <c r="O103" s="572"/>
      <c r="P103" s="572"/>
      <c r="Q103" s="572"/>
      <c r="R103" s="572"/>
      <c r="S103" s="572"/>
    </row>
    <row r="104" spans="1:19" ht="12.75" customHeight="1">
      <c r="A104" s="3417" t="s">
        <v>2151</v>
      </c>
      <c r="B104" s="3417"/>
      <c r="C104" s="2671"/>
      <c r="D104" s="2671"/>
      <c r="E104" s="2671"/>
      <c r="F104" s="2672"/>
      <c r="G104" s="2664"/>
      <c r="H104" s="2661"/>
      <c r="I104" s="572"/>
      <c r="J104" s="572"/>
      <c r="K104" s="572"/>
      <c r="L104" s="572"/>
      <c r="M104" s="572"/>
      <c r="N104" s="572"/>
      <c r="O104" s="572"/>
      <c r="P104" s="572"/>
      <c r="Q104" s="572"/>
      <c r="R104" s="572"/>
      <c r="S104" s="572"/>
    </row>
    <row r="105" spans="1:19">
      <c r="A105" s="2673" t="s">
        <v>2274</v>
      </c>
      <c r="B105" s="2674" t="s">
        <v>2124</v>
      </c>
      <c r="C105" s="2675" t="s">
        <v>3504</v>
      </c>
      <c r="D105" s="2675" t="s">
        <v>3</v>
      </c>
      <c r="E105" s="2677" t="s">
        <v>1183</v>
      </c>
      <c r="F105" s="2669">
        <f>G105/0.8</f>
        <v>143.75</v>
      </c>
      <c r="G105" s="2676">
        <v>115</v>
      </c>
      <c r="H105" s="2661"/>
      <c r="I105" s="572"/>
      <c r="J105" s="572">
        <f>450/0.8</f>
        <v>562.5</v>
      </c>
      <c r="K105" s="572"/>
      <c r="L105" s="572"/>
      <c r="M105" s="572"/>
      <c r="N105" s="572"/>
      <c r="O105" s="572"/>
      <c r="P105" s="572"/>
      <c r="Q105" s="572"/>
      <c r="R105" s="572"/>
      <c r="S105" s="572"/>
    </row>
    <row r="106" spans="1:19">
      <c r="A106" s="2673" t="s">
        <v>2274</v>
      </c>
      <c r="B106" s="2674" t="s">
        <v>2124</v>
      </c>
      <c r="C106" s="2675" t="s">
        <v>3505</v>
      </c>
      <c r="D106" s="2675" t="s">
        <v>3</v>
      </c>
      <c r="E106" s="2668" t="s">
        <v>1187</v>
      </c>
      <c r="F106" s="2669">
        <f>G106/0.8</f>
        <v>143.75</v>
      </c>
      <c r="G106" s="2676">
        <v>115</v>
      </c>
      <c r="H106" s="2661"/>
      <c r="I106" s="572"/>
      <c r="J106" s="572"/>
      <c r="K106" s="572"/>
      <c r="L106" s="572"/>
      <c r="M106" s="572"/>
      <c r="N106" s="572"/>
      <c r="O106" s="572"/>
      <c r="P106" s="572"/>
      <c r="Q106" s="572"/>
      <c r="R106" s="572"/>
      <c r="S106" s="572"/>
    </row>
    <row r="107" spans="1:19">
      <c r="A107" s="2673" t="s">
        <v>2274</v>
      </c>
      <c r="B107" s="2674" t="s">
        <v>2124</v>
      </c>
      <c r="C107" s="2675" t="s">
        <v>3506</v>
      </c>
      <c r="D107" s="2675" t="s">
        <v>3</v>
      </c>
      <c r="E107" s="2668" t="s">
        <v>1189</v>
      </c>
      <c r="F107" s="2669">
        <f>G107/0.8</f>
        <v>143.75</v>
      </c>
      <c r="G107" s="2676">
        <v>115</v>
      </c>
      <c r="H107" s="2661"/>
      <c r="I107" s="572"/>
      <c r="J107" s="572"/>
      <c r="K107" s="572"/>
      <c r="L107" s="572"/>
      <c r="M107" s="572"/>
      <c r="N107" s="572"/>
      <c r="O107" s="572"/>
      <c r="P107" s="572"/>
      <c r="Q107" s="572"/>
      <c r="R107" s="572"/>
      <c r="S107" s="572"/>
    </row>
    <row r="108" spans="1:19">
      <c r="A108" s="2673" t="s">
        <v>2274</v>
      </c>
      <c r="B108" s="2674" t="s">
        <v>2124</v>
      </c>
      <c r="C108" s="2675" t="s">
        <v>3507</v>
      </c>
      <c r="D108" s="2675" t="s">
        <v>3</v>
      </c>
      <c r="E108" s="2668" t="s">
        <v>1191</v>
      </c>
      <c r="F108" s="2669">
        <f>G108/0.8</f>
        <v>143.75</v>
      </c>
      <c r="G108" s="2676">
        <v>115</v>
      </c>
      <c r="H108" s="2661"/>
      <c r="I108" s="572"/>
      <c r="J108" s="572"/>
      <c r="K108" s="572"/>
      <c r="L108" s="572"/>
      <c r="M108" s="572"/>
      <c r="N108" s="572"/>
      <c r="O108" s="572"/>
      <c r="P108" s="572"/>
      <c r="Q108" s="572"/>
      <c r="R108" s="572"/>
      <c r="S108" s="572"/>
    </row>
    <row r="109" spans="1:19">
      <c r="A109" s="2673" t="s">
        <v>2274</v>
      </c>
      <c r="B109" s="2674" t="s">
        <v>2124</v>
      </c>
      <c r="C109" s="2675" t="s">
        <v>3513</v>
      </c>
      <c r="D109" s="2675" t="s">
        <v>3</v>
      </c>
      <c r="E109" s="2668" t="s">
        <v>1195</v>
      </c>
      <c r="F109" s="2669">
        <f>G109/0.8</f>
        <v>143.75</v>
      </c>
      <c r="G109" s="2676">
        <v>115</v>
      </c>
      <c r="H109" s="2661"/>
      <c r="I109" s="572"/>
      <c r="J109" s="572"/>
      <c r="K109" s="572"/>
      <c r="L109" s="572"/>
      <c r="M109" s="572"/>
      <c r="N109" s="572"/>
      <c r="O109" s="572"/>
      <c r="P109" s="572"/>
      <c r="Q109" s="572"/>
      <c r="R109" s="572"/>
      <c r="S109" s="572"/>
    </row>
    <row r="110" spans="1:19">
      <c r="A110" s="3417" t="s">
        <v>3459</v>
      </c>
      <c r="B110" s="3417"/>
      <c r="C110" s="2675"/>
      <c r="D110" s="2675"/>
      <c r="E110" s="2668"/>
      <c r="F110" s="2669"/>
      <c r="G110" s="2676"/>
      <c r="H110" s="2661"/>
      <c r="I110" s="572"/>
      <c r="J110" s="572"/>
      <c r="K110" s="572"/>
      <c r="L110" s="572"/>
      <c r="M110" s="572"/>
      <c r="N110" s="572"/>
      <c r="O110" s="572"/>
      <c r="P110" s="572"/>
      <c r="Q110" s="572"/>
      <c r="R110" s="572"/>
      <c r="S110" s="572"/>
    </row>
    <row r="111" spans="1:19" ht="20.399999999999999">
      <c r="A111" s="2665" t="s">
        <v>2250</v>
      </c>
      <c r="B111" s="2684" t="s">
        <v>2135</v>
      </c>
      <c r="C111" s="2675" t="s">
        <v>3493</v>
      </c>
      <c r="D111" s="1687" t="s">
        <v>3216</v>
      </c>
      <c r="E111" s="2668" t="s">
        <v>3796</v>
      </c>
      <c r="F111" s="2669">
        <f t="shared" ref="F111" si="24">G111/0.8</f>
        <v>93.75</v>
      </c>
      <c r="G111" s="2670">
        <v>75</v>
      </c>
      <c r="H111" s="2661"/>
      <c r="I111" s="572"/>
      <c r="J111" s="572"/>
      <c r="K111" s="572"/>
      <c r="L111" s="572"/>
      <c r="M111" s="572"/>
      <c r="N111" s="572"/>
      <c r="O111" s="572"/>
      <c r="P111" s="572"/>
      <c r="Q111" s="572"/>
      <c r="R111" s="572"/>
      <c r="S111" s="572"/>
    </row>
    <row r="112" spans="1:19" ht="20.399999999999999">
      <c r="A112" s="2665" t="s">
        <v>2251</v>
      </c>
      <c r="B112" s="2684" t="s">
        <v>2136</v>
      </c>
      <c r="C112" s="2675" t="s">
        <v>3496</v>
      </c>
      <c r="D112" s="1687" t="s">
        <v>3216</v>
      </c>
      <c r="E112" s="2668" t="s">
        <v>3786</v>
      </c>
      <c r="F112" s="2669">
        <f>G112/0.8</f>
        <v>118.75</v>
      </c>
      <c r="G112" s="2670">
        <v>95</v>
      </c>
      <c r="H112" s="2661"/>
      <c r="I112" s="572"/>
      <c r="J112" s="572"/>
      <c r="K112" s="572"/>
      <c r="L112" s="572"/>
      <c r="M112" s="572"/>
      <c r="N112" s="572"/>
      <c r="O112" s="572"/>
      <c r="P112" s="572"/>
      <c r="Q112" s="572"/>
      <c r="R112" s="572"/>
      <c r="S112" s="572"/>
    </row>
    <row r="113" spans="1:21" ht="20.399999999999999">
      <c r="A113" s="2665" t="s">
        <v>2251</v>
      </c>
      <c r="B113" s="2684" t="s">
        <v>2136</v>
      </c>
      <c r="C113" s="2675" t="s">
        <v>3494</v>
      </c>
      <c r="D113" s="1687" t="s">
        <v>3216</v>
      </c>
      <c r="E113" s="2668" t="s">
        <v>3798</v>
      </c>
      <c r="F113" s="2669">
        <f>G113/0.8</f>
        <v>118.75</v>
      </c>
      <c r="G113" s="2670">
        <v>95</v>
      </c>
      <c r="H113" s="2661"/>
      <c r="I113" s="572"/>
      <c r="J113" s="572"/>
      <c r="K113" s="572"/>
      <c r="L113" s="572"/>
      <c r="M113" s="572"/>
      <c r="N113" s="572"/>
      <c r="O113" s="572"/>
      <c r="P113" s="572"/>
      <c r="Q113" s="572"/>
      <c r="R113" s="572"/>
      <c r="S113" s="572"/>
    </row>
    <row r="114" spans="1:21" ht="20.399999999999999">
      <c r="A114" s="2665" t="s">
        <v>2251</v>
      </c>
      <c r="B114" s="2684" t="s">
        <v>2137</v>
      </c>
      <c r="C114" s="2675" t="s">
        <v>3497</v>
      </c>
      <c r="D114" s="1687" t="s">
        <v>3216</v>
      </c>
      <c r="E114" s="2668" t="s">
        <v>3787</v>
      </c>
      <c r="F114" s="2669">
        <f t="shared" ref="F114" si="25">G114/0.8</f>
        <v>262.5</v>
      </c>
      <c r="G114" s="2670">
        <v>210</v>
      </c>
      <c r="H114" s="2661"/>
      <c r="I114" s="572"/>
      <c r="J114" s="572"/>
      <c r="K114" s="572"/>
      <c r="L114" s="572"/>
      <c r="M114" s="572"/>
      <c r="N114" s="572"/>
      <c r="O114" s="572"/>
      <c r="P114" s="572"/>
      <c r="Q114" s="572"/>
      <c r="R114" s="572"/>
      <c r="S114" s="572"/>
    </row>
    <row r="115" spans="1:21" ht="20.399999999999999">
      <c r="A115" s="2665" t="s">
        <v>2252</v>
      </c>
      <c r="B115" s="2684" t="s">
        <v>2137</v>
      </c>
      <c r="C115" s="2675" t="s">
        <v>3495</v>
      </c>
      <c r="D115" s="1687" t="s">
        <v>3216</v>
      </c>
      <c r="E115" s="2685" t="s">
        <v>3799</v>
      </c>
      <c r="F115" s="2669">
        <f t="shared" ref="F115" si="26">G115/0.8</f>
        <v>262.5</v>
      </c>
      <c r="G115" s="2670">
        <v>210</v>
      </c>
      <c r="H115" s="2661"/>
      <c r="I115" s="572"/>
      <c r="J115" s="572"/>
      <c r="K115" s="572"/>
      <c r="L115" s="572"/>
      <c r="M115" s="572"/>
      <c r="N115" s="572"/>
      <c r="O115" s="572"/>
      <c r="P115" s="572"/>
      <c r="Q115" s="572"/>
      <c r="R115" s="572"/>
      <c r="S115" s="572"/>
    </row>
    <row r="116" spans="1:21" ht="20.399999999999999">
      <c r="A116" s="2665" t="s">
        <v>2252</v>
      </c>
      <c r="B116" s="2684" t="s">
        <v>2137</v>
      </c>
      <c r="C116" s="2675" t="s">
        <v>3498</v>
      </c>
      <c r="D116" s="1687" t="s">
        <v>3216</v>
      </c>
      <c r="E116" s="2668" t="s">
        <v>3788</v>
      </c>
      <c r="F116" s="2669">
        <f t="shared" ref="F116:F117" si="27">G116/0.8</f>
        <v>262.5</v>
      </c>
      <c r="G116" s="2670">
        <v>210</v>
      </c>
      <c r="H116" s="2661"/>
      <c r="I116" s="572"/>
      <c r="J116" s="572"/>
      <c r="K116" s="572"/>
      <c r="L116" s="572"/>
      <c r="M116" s="572"/>
      <c r="N116" s="572"/>
      <c r="O116" s="572"/>
      <c r="P116" s="572"/>
      <c r="Q116" s="572"/>
      <c r="R116" s="572"/>
      <c r="S116" s="572"/>
    </row>
    <row r="117" spans="1:21" ht="20.399999999999999">
      <c r="A117" s="2665" t="s">
        <v>2252</v>
      </c>
      <c r="B117" s="2684" t="s">
        <v>2137</v>
      </c>
      <c r="C117" s="2675" t="s">
        <v>3499</v>
      </c>
      <c r="D117" s="1687" t="s">
        <v>3216</v>
      </c>
      <c r="E117" s="2685" t="s">
        <v>3800</v>
      </c>
      <c r="F117" s="2669">
        <f t="shared" si="27"/>
        <v>262.5</v>
      </c>
      <c r="G117" s="2670">
        <v>210</v>
      </c>
      <c r="H117" s="2661"/>
      <c r="I117" s="572"/>
      <c r="J117" s="572"/>
      <c r="K117" s="572"/>
      <c r="L117" s="572"/>
      <c r="M117" s="572"/>
      <c r="N117" s="572"/>
      <c r="O117" s="572"/>
      <c r="P117" s="572"/>
      <c r="Q117" s="572"/>
      <c r="R117" s="572"/>
      <c r="S117" s="572"/>
    </row>
    <row r="118" spans="1:21" ht="20.399999999999999">
      <c r="A118" s="2665" t="s">
        <v>2252</v>
      </c>
      <c r="B118" s="2684" t="s">
        <v>2137</v>
      </c>
      <c r="C118" s="2675" t="s">
        <v>3500</v>
      </c>
      <c r="D118" s="1687" t="s">
        <v>3216</v>
      </c>
      <c r="E118" s="2668" t="s">
        <v>3788</v>
      </c>
      <c r="F118" s="2669">
        <f t="shared" ref="F118" si="28">G118/0.8</f>
        <v>262.5</v>
      </c>
      <c r="G118" s="2670">
        <v>210</v>
      </c>
      <c r="H118" s="2661"/>
      <c r="I118" s="572"/>
      <c r="J118" s="572"/>
      <c r="K118" s="572"/>
      <c r="L118" s="572"/>
      <c r="M118" s="572"/>
      <c r="N118" s="572"/>
      <c r="O118" s="572"/>
      <c r="P118" s="572"/>
      <c r="Q118" s="572"/>
      <c r="R118" s="572"/>
      <c r="S118" s="572"/>
    </row>
    <row r="119" spans="1:21" s="205" customFormat="1">
      <c r="A119" s="3426" t="s">
        <v>2366</v>
      </c>
      <c r="B119" s="3426"/>
      <c r="C119" s="2675"/>
      <c r="D119" s="2675"/>
      <c r="E119" s="2677"/>
      <c r="F119" s="2669"/>
      <c r="G119" s="2678"/>
      <c r="H119" s="2661"/>
      <c r="I119" s="1543"/>
      <c r="J119" s="1543"/>
      <c r="K119" s="1543"/>
      <c r="L119" s="1543"/>
      <c r="M119" s="1543"/>
      <c r="N119" s="1543"/>
      <c r="O119" s="1543"/>
      <c r="P119" s="1543"/>
      <c r="Q119" s="1543"/>
      <c r="R119" s="1543"/>
      <c r="S119" s="1543"/>
    </row>
    <row r="120" spans="1:21" s="205" customFormat="1" ht="15" customHeight="1">
      <c r="A120" s="2673" t="s">
        <v>2367</v>
      </c>
      <c r="B120" s="2674" t="s">
        <v>2368</v>
      </c>
      <c r="C120" s="2675" t="s">
        <v>3515</v>
      </c>
      <c r="D120" s="2675" t="s">
        <v>2307</v>
      </c>
      <c r="E120" s="2677" t="s">
        <v>3307</v>
      </c>
      <c r="F120" s="2669">
        <f>G120/0.9</f>
        <v>511.11111111111109</v>
      </c>
      <c r="G120" s="2676">
        <v>460</v>
      </c>
      <c r="H120" s="2661"/>
      <c r="I120" s="1543"/>
      <c r="J120" s="1543"/>
      <c r="K120" s="1543"/>
      <c r="L120" s="1543"/>
      <c r="M120" s="1543"/>
      <c r="N120" s="1543"/>
      <c r="O120" s="1543"/>
      <c r="P120" s="1543"/>
      <c r="Q120" s="1543"/>
      <c r="R120" s="1543"/>
      <c r="S120" s="1543"/>
    </row>
    <row r="121" spans="1:21" s="205" customFormat="1" ht="15" customHeight="1">
      <c r="A121" s="2673" t="s">
        <v>2367</v>
      </c>
      <c r="B121" s="2674" t="s">
        <v>2368</v>
      </c>
      <c r="C121" s="2675" t="s">
        <v>3539</v>
      </c>
      <c r="D121" s="2675" t="s">
        <v>2307</v>
      </c>
      <c r="E121" s="2677" t="s">
        <v>3308</v>
      </c>
      <c r="F121" s="2669">
        <f t="shared" ref="F121:F127" si="29">G121/0.8</f>
        <v>575</v>
      </c>
      <c r="G121" s="2676">
        <v>460</v>
      </c>
      <c r="H121" s="2661"/>
      <c r="I121" s="1543"/>
      <c r="J121" s="1543"/>
      <c r="K121" s="1543"/>
      <c r="L121" s="1543"/>
      <c r="M121" s="1543"/>
      <c r="N121" s="1543"/>
      <c r="O121" s="1543"/>
      <c r="P121" s="1543"/>
      <c r="Q121" s="1543"/>
      <c r="R121" s="1543"/>
      <c r="S121" s="1543"/>
    </row>
    <row r="122" spans="1:21" s="205" customFormat="1" ht="15" customHeight="1">
      <c r="A122" s="2673" t="s">
        <v>2367</v>
      </c>
      <c r="B122" s="2674" t="s">
        <v>2368</v>
      </c>
      <c r="C122" s="2675" t="s">
        <v>3540</v>
      </c>
      <c r="D122" s="2675" t="s">
        <v>2307</v>
      </c>
      <c r="E122" s="2677" t="s">
        <v>3309</v>
      </c>
      <c r="F122" s="2669">
        <f>G122/0.7</f>
        <v>657.14285714285722</v>
      </c>
      <c r="G122" s="2676">
        <v>460</v>
      </c>
      <c r="H122" s="2661"/>
      <c r="I122" s="1543"/>
      <c r="J122" s="1543"/>
      <c r="K122" s="1543"/>
      <c r="L122" s="1543"/>
      <c r="M122" s="1543"/>
      <c r="N122" s="1543"/>
      <c r="O122" s="1543"/>
      <c r="P122" s="1543"/>
      <c r="Q122" s="1543"/>
      <c r="R122" s="1543"/>
      <c r="S122" s="1543"/>
    </row>
    <row r="123" spans="1:21" s="205" customFormat="1" ht="15" customHeight="1">
      <c r="A123" s="2673" t="s">
        <v>2367</v>
      </c>
      <c r="B123" s="2674" t="s">
        <v>2368</v>
      </c>
      <c r="C123" s="2675" t="s">
        <v>3541</v>
      </c>
      <c r="D123" s="2675" t="s">
        <v>2307</v>
      </c>
      <c r="E123" s="2677" t="s">
        <v>3310</v>
      </c>
      <c r="F123" s="2669">
        <f>G123/0.6</f>
        <v>766.66666666666674</v>
      </c>
      <c r="G123" s="2676">
        <v>460</v>
      </c>
      <c r="H123" s="2661"/>
      <c r="I123" s="1543"/>
      <c r="J123" s="1543"/>
      <c r="K123" s="1543"/>
      <c r="L123" s="1543"/>
      <c r="M123" s="1543"/>
      <c r="N123" s="1543"/>
      <c r="O123" s="1543"/>
      <c r="P123" s="1543"/>
      <c r="Q123" s="1543"/>
      <c r="R123" s="1543"/>
      <c r="S123" s="1543"/>
    </row>
    <row r="124" spans="1:21" s="205" customFormat="1" ht="15" customHeight="1">
      <c r="A124" s="2673" t="s">
        <v>2367</v>
      </c>
      <c r="B124" s="2674" t="s">
        <v>2368</v>
      </c>
      <c r="C124" s="2675" t="s">
        <v>3542</v>
      </c>
      <c r="D124" s="2675" t="s">
        <v>2307</v>
      </c>
      <c r="E124" s="2677" t="s">
        <v>3514</v>
      </c>
      <c r="F124" s="2669">
        <f>G124/0.5</f>
        <v>920</v>
      </c>
      <c r="G124" s="2676">
        <v>460</v>
      </c>
      <c r="H124" s="2661"/>
      <c r="I124" s="1543"/>
      <c r="J124" s="1543"/>
      <c r="K124" s="1543"/>
      <c r="L124" s="1543"/>
      <c r="M124" s="1543"/>
      <c r="N124" s="1543"/>
      <c r="O124" s="1543"/>
      <c r="P124" s="1543"/>
      <c r="Q124" s="1543"/>
      <c r="R124" s="1543"/>
      <c r="S124" s="1543"/>
    </row>
    <row r="125" spans="1:21" s="205" customFormat="1" ht="15" customHeight="1">
      <c r="A125" s="2673" t="s">
        <v>2367</v>
      </c>
      <c r="B125" s="2674" t="s">
        <v>2368</v>
      </c>
      <c r="C125" s="2675" t="s">
        <v>3543</v>
      </c>
      <c r="D125" s="2675" t="s">
        <v>2307</v>
      </c>
      <c r="E125" s="2677" t="s">
        <v>3538</v>
      </c>
      <c r="F125" s="2669">
        <f>G125/0.5</f>
        <v>920</v>
      </c>
      <c r="G125" s="2676">
        <v>460</v>
      </c>
      <c r="H125" s="2661"/>
      <c r="I125" s="1543"/>
      <c r="J125" s="1543"/>
      <c r="K125" s="1543"/>
      <c r="L125" s="1543"/>
      <c r="M125" s="1543"/>
      <c r="N125" s="1543"/>
      <c r="O125" s="1543"/>
      <c r="P125" s="1543"/>
      <c r="Q125" s="1543"/>
      <c r="R125" s="1543"/>
      <c r="S125" s="1543"/>
    </row>
    <row r="126" spans="1:21" s="205" customFormat="1">
      <c r="A126" s="2673" t="s">
        <v>2369</v>
      </c>
      <c r="B126" s="2674" t="s">
        <v>2370</v>
      </c>
      <c r="C126" s="2675" t="s">
        <v>3705</v>
      </c>
      <c r="D126" s="2675" t="s">
        <v>2307</v>
      </c>
      <c r="E126" s="2677" t="s">
        <v>3311</v>
      </c>
      <c r="F126" s="2669">
        <f>G126/0.9</f>
        <v>333.33333333333331</v>
      </c>
      <c r="G126" s="2676">
        <v>300</v>
      </c>
      <c r="H126" s="2661"/>
      <c r="I126" s="1543"/>
      <c r="J126" s="1543"/>
      <c r="K126" s="1543"/>
      <c r="L126" s="1543"/>
      <c r="M126" s="2598"/>
      <c r="N126" s="2598"/>
      <c r="O126" s="2598"/>
      <c r="P126" s="2598"/>
      <c r="Q126" s="2598"/>
      <c r="R126" s="2598"/>
      <c r="S126" s="2598"/>
      <c r="T126" s="532"/>
      <c r="U126" s="532"/>
    </row>
    <row r="127" spans="1:21" s="205" customFormat="1">
      <c r="A127" s="2673" t="s">
        <v>2369</v>
      </c>
      <c r="B127" s="2674" t="s">
        <v>2370</v>
      </c>
      <c r="C127" s="2675" t="s">
        <v>3706</v>
      </c>
      <c r="D127" s="2675" t="s">
        <v>2307</v>
      </c>
      <c r="E127" s="2677" t="s">
        <v>3312</v>
      </c>
      <c r="F127" s="2669">
        <f t="shared" si="29"/>
        <v>375</v>
      </c>
      <c r="G127" s="2676">
        <v>300</v>
      </c>
      <c r="H127" s="2661"/>
      <c r="I127" s="1543"/>
      <c r="J127" s="1543"/>
      <c r="K127" s="1543"/>
      <c r="L127" s="1543"/>
      <c r="M127" s="2598"/>
      <c r="N127" s="2598"/>
      <c r="O127" s="2598"/>
      <c r="P127" s="2598"/>
      <c r="Q127" s="2598"/>
      <c r="R127" s="2598"/>
      <c r="S127" s="2598"/>
      <c r="T127" s="532"/>
      <c r="U127" s="532"/>
    </row>
    <row r="128" spans="1:21" s="205" customFormat="1">
      <c r="A128" s="2673" t="s">
        <v>2369</v>
      </c>
      <c r="B128" s="2674" t="s">
        <v>2370</v>
      </c>
      <c r="C128" s="2675" t="s">
        <v>3707</v>
      </c>
      <c r="D128" s="2675" t="s">
        <v>2307</v>
      </c>
      <c r="E128" s="2677" t="s">
        <v>3313</v>
      </c>
      <c r="F128" s="2669">
        <f>G128/0.7</f>
        <v>428.57142857142861</v>
      </c>
      <c r="G128" s="2676">
        <v>300</v>
      </c>
      <c r="H128" s="2661"/>
      <c r="I128" s="1543"/>
      <c r="J128" s="1543"/>
      <c r="K128" s="1543"/>
      <c r="L128" s="1543"/>
      <c r="M128" s="2598"/>
      <c r="N128" s="2598"/>
      <c r="O128" s="2598"/>
      <c r="P128" s="2598"/>
      <c r="Q128" s="2598"/>
      <c r="R128" s="2598"/>
      <c r="S128" s="2598"/>
      <c r="T128" s="532"/>
      <c r="U128" s="532"/>
    </row>
    <row r="129" spans="1:19" ht="12.75" customHeight="1">
      <c r="A129" s="2673" t="s">
        <v>2369</v>
      </c>
      <c r="B129" s="2674" t="s">
        <v>2370</v>
      </c>
      <c r="C129" s="2675" t="s">
        <v>3708</v>
      </c>
      <c r="D129" s="2675" t="s">
        <v>2307</v>
      </c>
      <c r="E129" s="2677" t="s">
        <v>3314</v>
      </c>
      <c r="F129" s="2669">
        <f>G129/0.6</f>
        <v>500</v>
      </c>
      <c r="G129" s="2676">
        <v>300</v>
      </c>
      <c r="H129" s="2661"/>
      <c r="I129" s="572"/>
      <c r="J129" s="572"/>
      <c r="K129" s="572"/>
      <c r="L129" s="572"/>
      <c r="M129" s="572"/>
      <c r="N129" s="572"/>
      <c r="O129" s="572"/>
      <c r="P129" s="572"/>
      <c r="Q129" s="572"/>
      <c r="R129" s="572"/>
      <c r="S129" s="572"/>
    </row>
    <row r="130" spans="1:19" ht="12.75" customHeight="1">
      <c r="A130" s="2673" t="s">
        <v>2369</v>
      </c>
      <c r="B130" s="2674" t="s">
        <v>2370</v>
      </c>
      <c r="C130" s="2675" t="s">
        <v>3709</v>
      </c>
      <c r="D130" s="2675" t="s">
        <v>2307</v>
      </c>
      <c r="E130" s="2677" t="s">
        <v>3501</v>
      </c>
      <c r="F130" s="2669">
        <f>G130/0.5</f>
        <v>600</v>
      </c>
      <c r="G130" s="2676">
        <v>300</v>
      </c>
      <c r="H130" s="2661"/>
      <c r="I130" s="572"/>
      <c r="J130" s="572"/>
      <c r="K130" s="572"/>
      <c r="L130" s="572"/>
      <c r="M130" s="572"/>
      <c r="N130" s="572"/>
      <c r="O130" s="572"/>
      <c r="P130" s="572"/>
      <c r="Q130" s="572"/>
      <c r="R130" s="572"/>
      <c r="S130" s="572"/>
    </row>
    <row r="131" spans="1:19" ht="12.75" customHeight="1">
      <c r="A131" s="2673" t="s">
        <v>2369</v>
      </c>
      <c r="B131" s="2674" t="s">
        <v>2370</v>
      </c>
      <c r="C131" s="2675" t="s">
        <v>3710</v>
      </c>
      <c r="D131" s="2675" t="s">
        <v>2307</v>
      </c>
      <c r="E131" s="2677" t="s">
        <v>3537</v>
      </c>
      <c r="F131" s="2669">
        <f>G131/0.5</f>
        <v>600</v>
      </c>
      <c r="G131" s="2676">
        <v>300</v>
      </c>
      <c r="H131" s="2661"/>
      <c r="I131" s="572"/>
      <c r="J131" s="572"/>
      <c r="K131" s="572"/>
      <c r="L131" s="572"/>
      <c r="M131" s="572"/>
      <c r="N131" s="572"/>
      <c r="O131" s="572"/>
      <c r="P131" s="572"/>
      <c r="Q131" s="572"/>
      <c r="R131" s="572"/>
      <c r="S131" s="572"/>
    </row>
    <row r="132" spans="1:19">
      <c r="A132" s="3425" t="s">
        <v>109</v>
      </c>
      <c r="B132" s="3425"/>
      <c r="C132" s="2705"/>
      <c r="D132" s="2705"/>
      <c r="E132" s="2705"/>
      <c r="F132" s="2706"/>
      <c r="G132" s="2707"/>
      <c r="H132" s="2661"/>
      <c r="I132" s="572"/>
      <c r="J132" s="572"/>
      <c r="K132" s="572"/>
      <c r="L132" s="572"/>
      <c r="M132" s="572"/>
      <c r="N132" s="572"/>
      <c r="O132" s="572"/>
      <c r="P132" s="572"/>
      <c r="Q132" s="572"/>
      <c r="R132" s="572"/>
      <c r="S132" s="572"/>
    </row>
    <row r="133" spans="1:19" ht="12.75" customHeight="1">
      <c r="A133" s="3420" t="s">
        <v>2150</v>
      </c>
      <c r="B133" s="3420"/>
      <c r="C133" s="2662"/>
      <c r="D133" s="2662"/>
      <c r="E133" s="2662"/>
      <c r="F133" s="2663"/>
      <c r="G133" s="2664"/>
      <c r="H133" s="2661"/>
      <c r="I133" s="572"/>
      <c r="J133" s="572"/>
      <c r="K133" s="572"/>
      <c r="L133" s="572"/>
      <c r="M133" s="572"/>
      <c r="N133" s="572"/>
      <c r="O133" s="572"/>
      <c r="P133" s="572"/>
      <c r="Q133" s="572"/>
      <c r="R133" s="572"/>
      <c r="S133" s="572"/>
    </row>
    <row r="134" spans="1:19">
      <c r="A134" s="2665" t="s">
        <v>2275</v>
      </c>
      <c r="B134" s="2666" t="s">
        <v>2123</v>
      </c>
      <c r="C134" s="2667" t="s">
        <v>2133</v>
      </c>
      <c r="D134" s="2675" t="s">
        <v>2307</v>
      </c>
      <c r="E134" s="2668" t="s">
        <v>1215</v>
      </c>
      <c r="F134" s="2669">
        <f>G134/0.8</f>
        <v>43.75</v>
      </c>
      <c r="G134" s="2670">
        <v>35</v>
      </c>
      <c r="H134" s="2661"/>
      <c r="I134" s="572"/>
      <c r="J134" s="572"/>
      <c r="K134" s="572"/>
      <c r="L134" s="572"/>
      <c r="M134" s="572"/>
      <c r="N134" s="572"/>
      <c r="O134" s="572"/>
      <c r="P134" s="572"/>
      <c r="Q134" s="572"/>
      <c r="R134" s="572"/>
      <c r="S134" s="572"/>
    </row>
    <row r="135" spans="1:19">
      <c r="A135" s="2665" t="s">
        <v>2275</v>
      </c>
      <c r="B135" s="2666" t="s">
        <v>2123</v>
      </c>
      <c r="C135" s="2667" t="s">
        <v>2283</v>
      </c>
      <c r="D135" s="2667" t="s">
        <v>2307</v>
      </c>
      <c r="E135" s="2668" t="s">
        <v>1217</v>
      </c>
      <c r="F135" s="2669">
        <f>G135/0.8</f>
        <v>43.75</v>
      </c>
      <c r="G135" s="2670">
        <v>35</v>
      </c>
      <c r="H135" s="2661"/>
      <c r="I135" s="572"/>
      <c r="J135" s="572"/>
      <c r="K135" s="572"/>
      <c r="L135" s="572"/>
      <c r="M135" s="572"/>
      <c r="N135" s="572"/>
      <c r="O135" s="572"/>
      <c r="P135" s="572"/>
      <c r="Q135" s="572"/>
      <c r="R135" s="572"/>
      <c r="S135" s="572"/>
    </row>
    <row r="136" spans="1:19">
      <c r="A136" s="2665" t="s">
        <v>2275</v>
      </c>
      <c r="B136" s="2666" t="s">
        <v>2123</v>
      </c>
      <c r="C136" s="2667" t="s">
        <v>2284</v>
      </c>
      <c r="D136" s="2667" t="s">
        <v>2307</v>
      </c>
      <c r="E136" s="2668" t="s">
        <v>1219</v>
      </c>
      <c r="F136" s="2669">
        <f>G136/0.8</f>
        <v>43.75</v>
      </c>
      <c r="G136" s="2670">
        <v>35</v>
      </c>
      <c r="H136" s="2661"/>
      <c r="I136" s="572"/>
      <c r="J136" s="572"/>
      <c r="K136" s="572"/>
      <c r="L136" s="572"/>
      <c r="M136" s="572"/>
      <c r="N136" s="572"/>
      <c r="O136" s="572"/>
      <c r="P136" s="572"/>
      <c r="Q136" s="572"/>
      <c r="R136" s="572"/>
      <c r="S136" s="572"/>
    </row>
    <row r="137" spans="1:19">
      <c r="A137" s="2665" t="s">
        <v>2275</v>
      </c>
      <c r="B137" s="2666" t="s">
        <v>2123</v>
      </c>
      <c r="C137" s="2667" t="s">
        <v>2285</v>
      </c>
      <c r="D137" s="2667" t="s">
        <v>2307</v>
      </c>
      <c r="E137" s="2668" t="s">
        <v>1221</v>
      </c>
      <c r="F137" s="2669">
        <f>G137/0.8</f>
        <v>43.75</v>
      </c>
      <c r="G137" s="2670">
        <v>35</v>
      </c>
      <c r="H137" s="2661"/>
      <c r="I137" s="572"/>
      <c r="J137" s="572"/>
      <c r="K137" s="572"/>
      <c r="L137" s="572"/>
      <c r="M137" s="572"/>
      <c r="N137" s="572"/>
      <c r="O137" s="572"/>
      <c r="P137" s="572"/>
      <c r="Q137" s="572"/>
      <c r="R137" s="572"/>
      <c r="S137" s="572"/>
    </row>
    <row r="138" spans="1:19">
      <c r="A138" s="2665" t="s">
        <v>2275</v>
      </c>
      <c r="B138" s="2666" t="s">
        <v>2123</v>
      </c>
      <c r="C138" s="2667" t="s">
        <v>2286</v>
      </c>
      <c r="D138" s="2667" t="s">
        <v>2307</v>
      </c>
      <c r="E138" s="2668" t="s">
        <v>1217</v>
      </c>
      <c r="F138" s="2669">
        <f>G138/0.8</f>
        <v>43.75</v>
      </c>
      <c r="G138" s="2670">
        <v>35</v>
      </c>
      <c r="H138" s="2661"/>
      <c r="I138" s="572"/>
      <c r="J138" s="572"/>
      <c r="K138" s="572"/>
      <c r="L138" s="572"/>
      <c r="M138" s="572"/>
      <c r="N138" s="572"/>
      <c r="O138" s="572"/>
      <c r="P138" s="572"/>
      <c r="Q138" s="572"/>
      <c r="R138" s="572"/>
      <c r="S138" s="572"/>
    </row>
    <row r="139" spans="1:19" ht="12.75" customHeight="1">
      <c r="A139" s="2665"/>
      <c r="B139" s="2667"/>
      <c r="C139" s="2667"/>
      <c r="D139" s="2667"/>
      <c r="E139" s="2668"/>
      <c r="F139" s="2669"/>
      <c r="G139" s="2708"/>
      <c r="H139" s="2661"/>
      <c r="I139" s="572"/>
      <c r="J139" s="572"/>
      <c r="K139" s="572"/>
      <c r="L139" s="572"/>
      <c r="M139" s="572"/>
      <c r="N139" s="572"/>
      <c r="O139" s="572"/>
      <c r="P139" s="572"/>
      <c r="Q139" s="572"/>
      <c r="R139" s="572"/>
      <c r="S139" s="572"/>
    </row>
    <row r="140" spans="1:19" hidden="1">
      <c r="A140" s="3425" t="s">
        <v>2070</v>
      </c>
      <c r="B140" s="3425"/>
      <c r="C140" s="2667"/>
      <c r="D140" s="2667"/>
      <c r="E140" s="2668"/>
      <c r="F140" s="2669"/>
      <c r="G140" s="2708"/>
      <c r="H140" s="2661"/>
      <c r="I140" s="572"/>
      <c r="J140" s="572"/>
      <c r="K140" s="572"/>
      <c r="L140" s="572"/>
      <c r="M140" s="572"/>
      <c r="N140" s="572"/>
      <c r="O140" s="572"/>
      <c r="P140" s="572"/>
      <c r="Q140" s="572"/>
      <c r="R140" s="572"/>
      <c r="S140" s="572"/>
    </row>
    <row r="141" spans="1:19" ht="12.75" hidden="1" customHeight="1">
      <c r="A141" s="3417" t="s">
        <v>2151</v>
      </c>
      <c r="B141" s="3417"/>
      <c r="C141" s="2671"/>
      <c r="D141" s="2671"/>
      <c r="E141" s="2671"/>
      <c r="F141" s="2672"/>
      <c r="G141" s="2664"/>
      <c r="H141" s="2661"/>
      <c r="I141" s="572"/>
      <c r="J141" s="572"/>
      <c r="K141" s="572"/>
      <c r="L141" s="572"/>
      <c r="M141" s="572"/>
      <c r="N141" s="572"/>
      <c r="O141" s="572"/>
      <c r="P141" s="572"/>
      <c r="Q141" s="572"/>
      <c r="R141" s="572"/>
      <c r="S141" s="572"/>
    </row>
    <row r="142" spans="1:19" hidden="1">
      <c r="A142" s="2673" t="s">
        <v>2276</v>
      </c>
      <c r="B142" s="2674" t="s">
        <v>2278</v>
      </c>
      <c r="C142" s="2675" t="s">
        <v>2280</v>
      </c>
      <c r="D142" s="2675" t="s">
        <v>2307</v>
      </c>
      <c r="E142" s="2677" t="s">
        <v>1206</v>
      </c>
      <c r="F142" s="2669">
        <f>G142/0.8</f>
        <v>62.5</v>
      </c>
      <c r="G142" s="2709">
        <v>50</v>
      </c>
      <c r="H142" s="2661"/>
      <c r="I142" s="572"/>
      <c r="J142" s="572"/>
      <c r="K142" s="572"/>
      <c r="L142" s="572"/>
      <c r="M142" s="572"/>
      <c r="N142" s="572"/>
      <c r="O142" s="572"/>
      <c r="P142" s="572"/>
      <c r="Q142" s="572"/>
      <c r="R142" s="572"/>
      <c r="S142" s="572"/>
    </row>
    <row r="143" spans="1:19" s="205" customFormat="1" hidden="1">
      <c r="A143" s="2673" t="s">
        <v>2277</v>
      </c>
      <c r="B143" s="2674" t="s">
        <v>2279</v>
      </c>
      <c r="C143" s="2675" t="s">
        <v>2281</v>
      </c>
      <c r="D143" s="2675" t="s">
        <v>2307</v>
      </c>
      <c r="E143" s="2677" t="s">
        <v>1202</v>
      </c>
      <c r="F143" s="2669">
        <f>G143/0.8</f>
        <v>212.5</v>
      </c>
      <c r="G143" s="2676">
        <v>170</v>
      </c>
      <c r="H143" s="2661"/>
      <c r="I143" s="1543"/>
      <c r="J143" s="1543"/>
      <c r="K143" s="1543"/>
      <c r="L143" s="1543"/>
      <c r="M143" s="1543"/>
      <c r="N143" s="1543"/>
      <c r="O143" s="1543"/>
      <c r="P143" s="1543"/>
      <c r="Q143" s="1543"/>
      <c r="R143" s="1543"/>
      <c r="S143" s="1543"/>
    </row>
    <row r="144" spans="1:19" s="205" customFormat="1" hidden="1">
      <c r="A144" s="2673"/>
      <c r="B144" s="2679"/>
      <c r="C144" s="2675"/>
      <c r="D144" s="2675"/>
      <c r="E144" s="2677"/>
      <c r="F144" s="2669"/>
      <c r="G144" s="2678"/>
      <c r="H144" s="2661"/>
      <c r="I144" s="1543"/>
      <c r="J144" s="1543"/>
      <c r="K144" s="1543"/>
      <c r="L144" s="1543"/>
      <c r="M144" s="1543"/>
      <c r="N144" s="1543"/>
      <c r="O144" s="1543"/>
      <c r="P144" s="1543"/>
      <c r="Q144" s="1543"/>
      <c r="R144" s="1543"/>
      <c r="S144" s="1543"/>
    </row>
    <row r="145" spans="1:22" s="205" customFormat="1" hidden="1">
      <c r="A145" s="2673"/>
      <c r="B145" s="2679"/>
      <c r="C145" s="2675"/>
      <c r="D145" s="2675"/>
      <c r="E145" s="2677"/>
      <c r="F145" s="2669"/>
      <c r="G145" s="2676"/>
      <c r="H145" s="2661"/>
      <c r="I145" s="1543"/>
      <c r="J145" s="1543"/>
      <c r="K145" s="1543"/>
      <c r="L145" s="1543"/>
      <c r="M145" s="2598"/>
      <c r="N145" s="2598"/>
      <c r="O145" s="2598"/>
      <c r="P145" s="2598"/>
      <c r="Q145" s="2598"/>
      <c r="R145" s="2598"/>
      <c r="S145" s="2598"/>
      <c r="T145" s="541"/>
      <c r="U145" s="541"/>
    </row>
    <row r="146" spans="1:22" s="205" customFormat="1" ht="17.399999999999999">
      <c r="A146" s="3422" t="s">
        <v>2377</v>
      </c>
      <c r="B146" s="3422"/>
      <c r="C146" s="2675"/>
      <c r="D146" s="2675"/>
      <c r="E146" s="2677"/>
      <c r="F146" s="2669"/>
      <c r="G146" s="2676"/>
      <c r="H146" s="2661"/>
      <c r="I146" s="1543"/>
      <c r="J146" s="1543"/>
      <c r="K146" s="1543"/>
      <c r="L146" s="1543"/>
      <c r="M146" s="542"/>
      <c r="N146" s="542"/>
      <c r="O146" s="542"/>
      <c r="P146" s="542"/>
      <c r="Q146" s="543"/>
      <c r="R146" s="543"/>
      <c r="S146" s="543"/>
      <c r="T146" s="543"/>
      <c r="U146" s="543"/>
    </row>
    <row r="147" spans="1:22" s="205" customFormat="1" ht="12.75" customHeight="1">
      <c r="A147" s="3426" t="s">
        <v>2366</v>
      </c>
      <c r="B147" s="3426"/>
      <c r="C147" s="2675"/>
      <c r="D147" s="2675"/>
      <c r="E147" s="2677"/>
      <c r="F147" s="2669"/>
      <c r="G147" s="2676"/>
      <c r="H147" s="2661"/>
      <c r="I147" s="1543"/>
      <c r="J147" s="1543"/>
      <c r="K147" s="1543"/>
      <c r="L147" s="1543"/>
      <c r="M147" s="543"/>
      <c r="N147" s="543"/>
      <c r="O147" s="543"/>
      <c r="P147" s="543"/>
      <c r="Q147" s="543"/>
      <c r="R147" s="543"/>
      <c r="S147" s="543"/>
      <c r="T147" s="543"/>
      <c r="U147" s="543"/>
    </row>
    <row r="148" spans="1:22" s="205" customFormat="1" ht="12.75" customHeight="1">
      <c r="A148" s="2673" t="s">
        <v>2378</v>
      </c>
      <c r="B148" s="2674" t="s">
        <v>2379</v>
      </c>
      <c r="C148" s="2675" t="s">
        <v>3803</v>
      </c>
      <c r="D148" s="2675" t="s">
        <v>2307</v>
      </c>
      <c r="E148" s="2677" t="s">
        <v>3802</v>
      </c>
      <c r="F148" s="2669">
        <f>G148/0.9</f>
        <v>55.555555555555557</v>
      </c>
      <c r="G148" s="2676">
        <v>50</v>
      </c>
      <c r="H148" s="2661"/>
      <c r="I148" s="1543"/>
      <c r="J148" s="1543"/>
      <c r="K148" s="1543"/>
      <c r="L148" s="1543"/>
      <c r="M148" s="3423"/>
      <c r="N148" s="3423"/>
      <c r="O148" s="3423"/>
      <c r="P148" s="3423"/>
      <c r="Q148" s="3423"/>
      <c r="R148" s="3423"/>
      <c r="S148" s="3423"/>
      <c r="T148" s="543"/>
      <c r="U148" s="543"/>
    </row>
    <row r="149" spans="1:22" s="205" customFormat="1" ht="12.75" customHeight="1">
      <c r="A149" s="2673" t="s">
        <v>2378</v>
      </c>
      <c r="B149" s="2674" t="s">
        <v>2379</v>
      </c>
      <c r="C149" s="2675" t="s">
        <v>3804</v>
      </c>
      <c r="D149" s="2675" t="s">
        <v>2307</v>
      </c>
      <c r="E149" s="2677" t="s">
        <v>3224</v>
      </c>
      <c r="F149" s="2669">
        <f>G149/0.8</f>
        <v>62.5</v>
      </c>
      <c r="G149" s="2676">
        <v>50</v>
      </c>
      <c r="H149" s="2661"/>
      <c r="I149" s="1543"/>
      <c r="J149" s="1543"/>
      <c r="K149" s="1543"/>
      <c r="L149" s="1543"/>
      <c r="M149" s="3423"/>
      <c r="N149" s="3423"/>
      <c r="O149" s="3423"/>
      <c r="P149" s="3423"/>
      <c r="Q149" s="3423"/>
      <c r="R149" s="3423"/>
      <c r="S149" s="3423"/>
      <c r="T149" s="543"/>
      <c r="U149" s="543"/>
    </row>
    <row r="150" spans="1:22" s="205" customFormat="1" ht="12.75" customHeight="1">
      <c r="A150" s="2673" t="s">
        <v>2378</v>
      </c>
      <c r="B150" s="2674" t="s">
        <v>2379</v>
      </c>
      <c r="C150" s="2675" t="s">
        <v>3805</v>
      </c>
      <c r="D150" s="2675" t="s">
        <v>2307</v>
      </c>
      <c r="E150" s="2677" t="s">
        <v>3801</v>
      </c>
      <c r="F150" s="2669">
        <f>G150/0.7</f>
        <v>71.428571428571431</v>
      </c>
      <c r="G150" s="2676">
        <v>50</v>
      </c>
      <c r="H150" s="2661"/>
      <c r="I150" s="1543"/>
      <c r="J150" s="1543"/>
      <c r="K150" s="1543"/>
      <c r="L150" s="1543"/>
      <c r="M150" s="3423"/>
      <c r="N150" s="3423"/>
      <c r="O150" s="3423"/>
      <c r="P150" s="3423"/>
      <c r="Q150" s="3423"/>
      <c r="R150" s="3423"/>
      <c r="S150" s="3423"/>
      <c r="T150" s="543"/>
      <c r="U150" s="543"/>
    </row>
    <row r="151" spans="1:22" ht="45" customHeight="1">
      <c r="A151" s="3424" t="s">
        <v>166</v>
      </c>
      <c r="B151" s="3424"/>
      <c r="C151" s="2710"/>
      <c r="D151" s="2710"/>
      <c r="E151" s="2710"/>
      <c r="F151" s="2711"/>
      <c r="G151" s="2711" t="s">
        <v>3226</v>
      </c>
      <c r="H151" s="2712"/>
      <c r="I151" s="572"/>
      <c r="J151" s="572"/>
      <c r="K151" s="572"/>
      <c r="L151" s="1543"/>
      <c r="M151" s="543"/>
      <c r="N151" s="543"/>
      <c r="O151" s="543"/>
      <c r="P151" s="543"/>
      <c r="Q151" s="543"/>
      <c r="R151" s="543"/>
      <c r="S151" s="543"/>
      <c r="T151" s="543"/>
      <c r="U151" s="543"/>
      <c r="V151" s="205"/>
    </row>
    <row r="152" spans="1:22" s="205" customFormat="1" ht="15" customHeight="1">
      <c r="A152" s="2713" t="s">
        <v>2282</v>
      </c>
      <c r="B152" s="2714" t="s">
        <v>3502</v>
      </c>
      <c r="C152" s="33" t="s">
        <v>3503</v>
      </c>
      <c r="D152" s="2715"/>
      <c r="E152" s="2716" t="str">
        <f>'Data light kwh'!B1190</f>
        <v>New MIS1</v>
      </c>
      <c r="F152" s="2717">
        <f t="shared" ref="F152:F157" si="30">G152/0.8</f>
        <v>1.25</v>
      </c>
      <c r="G152" s="2718">
        <v>1</v>
      </c>
      <c r="H152" s="2719"/>
      <c r="I152" s="1543"/>
      <c r="J152" s="1543"/>
      <c r="K152" s="1543"/>
      <c r="L152" s="1543"/>
      <c r="M152" s="3423"/>
      <c r="N152" s="3423"/>
      <c r="O152" s="3423"/>
      <c r="P152" s="3423"/>
      <c r="Q152" s="3423"/>
      <c r="R152" s="3423"/>
      <c r="S152" s="3423"/>
      <c r="T152" s="543"/>
      <c r="U152" s="543"/>
    </row>
    <row r="153" spans="1:22">
      <c r="A153" s="2713" t="s">
        <v>2282</v>
      </c>
      <c r="B153" s="2714" t="s">
        <v>2361</v>
      </c>
      <c r="C153" s="33" t="s">
        <v>2159</v>
      </c>
      <c r="D153" s="2715"/>
      <c r="E153" s="2716" t="str">
        <f>'Data light kwh'!B1191</f>
        <v>New MIS2</v>
      </c>
      <c r="F153" s="2717">
        <f t="shared" si="30"/>
        <v>1.25</v>
      </c>
      <c r="G153" s="2718">
        <v>1</v>
      </c>
      <c r="H153" s="2719"/>
      <c r="I153" s="572"/>
      <c r="J153" s="572"/>
      <c r="K153" s="572"/>
      <c r="L153" s="1543"/>
      <c r="M153" s="2598"/>
      <c r="N153" s="2598"/>
      <c r="O153" s="2598"/>
      <c r="P153" s="2598"/>
      <c r="Q153" s="2598"/>
      <c r="R153" s="2598"/>
      <c r="S153" s="2598"/>
      <c r="T153" s="541"/>
      <c r="U153" s="541"/>
      <c r="V153" s="205"/>
    </row>
    <row r="154" spans="1:22">
      <c r="A154" s="2713" t="s">
        <v>2282</v>
      </c>
      <c r="B154" s="2714" t="s">
        <v>2362</v>
      </c>
      <c r="C154" s="33" t="s">
        <v>2160</v>
      </c>
      <c r="D154" s="2715"/>
      <c r="E154" s="2716" t="str">
        <f>'Data light kwh'!B1192</f>
        <v>New MIS3</v>
      </c>
      <c r="F154" s="2717">
        <f t="shared" si="30"/>
        <v>1.25</v>
      </c>
      <c r="G154" s="2718">
        <v>1</v>
      </c>
      <c r="H154" s="2719"/>
      <c r="I154" s="572"/>
      <c r="J154" s="572"/>
      <c r="K154" s="572"/>
      <c r="L154" s="1543"/>
      <c r="M154" s="2598"/>
      <c r="N154" s="2598"/>
      <c r="O154" s="2598"/>
      <c r="P154" s="2598"/>
      <c r="Q154" s="2598"/>
      <c r="R154" s="2598"/>
      <c r="S154" s="2598"/>
      <c r="T154" s="541"/>
      <c r="U154" s="541"/>
      <c r="V154" s="205"/>
    </row>
    <row r="155" spans="1:22">
      <c r="A155" s="2713" t="s">
        <v>2282</v>
      </c>
      <c r="B155" s="2714" t="s">
        <v>2363</v>
      </c>
      <c r="C155" s="33" t="s">
        <v>2161</v>
      </c>
      <c r="D155" s="2715"/>
      <c r="E155" s="2716" t="str">
        <f>'Data light kwh'!B1193</f>
        <v>New MIS4</v>
      </c>
      <c r="F155" s="2717">
        <f t="shared" si="30"/>
        <v>1.25</v>
      </c>
      <c r="G155" s="2718">
        <v>1</v>
      </c>
      <c r="H155" s="2719"/>
      <c r="I155" s="572"/>
      <c r="J155" s="572"/>
      <c r="K155" s="572"/>
      <c r="L155" s="572"/>
      <c r="M155" s="1571"/>
      <c r="N155" s="1571"/>
      <c r="O155" s="1571"/>
      <c r="P155" s="1571"/>
      <c r="Q155" s="1571"/>
      <c r="R155" s="1571"/>
      <c r="S155" s="1571"/>
      <c r="T155" s="529"/>
      <c r="U155" s="529"/>
    </row>
    <row r="156" spans="1:22">
      <c r="A156" s="2713" t="s">
        <v>2282</v>
      </c>
      <c r="B156" s="2714" t="s">
        <v>2364</v>
      </c>
      <c r="C156" s="33" t="s">
        <v>2162</v>
      </c>
      <c r="D156" s="2715"/>
      <c r="E156" s="2716" t="str">
        <f>'Data light kwh'!B1194</f>
        <v>New MIS5</v>
      </c>
      <c r="F156" s="2717">
        <f t="shared" si="30"/>
        <v>1.25</v>
      </c>
      <c r="G156" s="2718">
        <v>1</v>
      </c>
      <c r="H156" s="2719"/>
      <c r="I156" s="572"/>
      <c r="J156" s="572"/>
      <c r="K156" s="572"/>
      <c r="L156" s="572"/>
      <c r="M156" s="1571"/>
      <c r="N156" s="1571"/>
      <c r="O156" s="1571"/>
      <c r="P156" s="1571"/>
      <c r="Q156" s="1571"/>
      <c r="R156" s="1571"/>
      <c r="S156" s="1571"/>
      <c r="T156" s="529"/>
      <c r="U156" s="529"/>
    </row>
    <row r="157" spans="1:22">
      <c r="A157" s="2713" t="s">
        <v>2282</v>
      </c>
      <c r="B157" s="2714" t="s">
        <v>2365</v>
      </c>
      <c r="C157" s="33" t="s">
        <v>2163</v>
      </c>
      <c r="D157" s="2715"/>
      <c r="E157" s="2716" t="str">
        <f>'Data light kwh'!B1195</f>
        <v>New MIS6</v>
      </c>
      <c r="F157" s="2717">
        <f t="shared" si="30"/>
        <v>1.25</v>
      </c>
      <c r="G157" s="2718">
        <v>1</v>
      </c>
      <c r="H157" s="2719"/>
      <c r="I157" s="572"/>
      <c r="J157" s="572"/>
      <c r="K157" s="572"/>
      <c r="L157" s="572"/>
      <c r="M157" s="1571"/>
      <c r="N157" s="1571"/>
      <c r="O157" s="1571"/>
      <c r="P157" s="1571"/>
      <c r="Q157" s="1571"/>
      <c r="R157" s="1571"/>
      <c r="S157" s="1571"/>
      <c r="T157" s="530"/>
      <c r="U157" s="530"/>
    </row>
    <row r="158" spans="1:22">
      <c r="A158" s="572"/>
      <c r="B158" s="572"/>
      <c r="C158" s="572"/>
      <c r="D158" s="572"/>
      <c r="E158" s="572"/>
      <c r="F158" s="2568"/>
      <c r="G158" s="2595"/>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68"/>
      <c r="G159" s="2595"/>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68"/>
      <c r="G160" s="2595"/>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68"/>
      <c r="G161" s="2595"/>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68"/>
      <c r="G162" s="2595"/>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68"/>
      <c r="G163" s="2595"/>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68"/>
      <c r="G164" s="2595"/>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68"/>
      <c r="G165" s="2595"/>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68"/>
      <c r="G166" s="2595"/>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68"/>
      <c r="G167" s="2595"/>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6" t="s">
        <v>480</v>
      </c>
      <c r="C3" s="3366"/>
      <c r="D3" s="3366"/>
      <c r="E3" s="3366"/>
      <c r="F3" s="3366"/>
      <c r="G3" s="3366"/>
      <c r="H3" s="3366"/>
      <c r="I3" s="3366"/>
      <c r="J3" s="3331" t="s">
        <v>3451</v>
      </c>
      <c r="K3" s="3331"/>
      <c r="L3" s="1"/>
      <c r="N3" s="219"/>
      <c r="O3" s="219"/>
    </row>
    <row r="4" spans="1:37" ht="21" customHeight="1">
      <c r="A4" s="26" t="str">
        <f>company</f>
        <v/>
      </c>
      <c r="B4" s="2070"/>
      <c r="C4" s="2070"/>
      <c r="D4" s="2070"/>
      <c r="E4" s="2070"/>
      <c r="F4" s="2070"/>
      <c r="G4" s="2070"/>
      <c r="H4" s="2070"/>
      <c r="I4" s="2070"/>
      <c r="J4" s="2070"/>
      <c r="K4" s="2798"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397" t="s">
        <v>3536</v>
      </c>
      <c r="P6" s="3397"/>
      <c r="Q6" s="3397"/>
      <c r="R6" s="3397"/>
      <c r="S6" s="3397"/>
      <c r="T6" s="3397"/>
      <c r="U6" s="3397"/>
      <c r="V6" s="1"/>
      <c r="W6" s="1"/>
      <c r="X6" s="1"/>
      <c r="Y6" s="1"/>
      <c r="Z6" s="1"/>
    </row>
    <row r="7" spans="1:37" ht="13.8">
      <c r="A7" s="1"/>
      <c r="B7" s="1"/>
      <c r="C7" s="1"/>
      <c r="D7" s="1"/>
      <c r="E7" s="1"/>
      <c r="F7" s="1"/>
      <c r="G7" s="1"/>
      <c r="H7" s="1"/>
      <c r="I7" s="1"/>
      <c r="J7" s="1"/>
      <c r="K7" s="1"/>
      <c r="L7" s="1"/>
      <c r="M7" s="1"/>
      <c r="N7" s="2101"/>
      <c r="O7" s="3397"/>
      <c r="P7" s="3397"/>
      <c r="Q7" s="3397"/>
      <c r="R7" s="3397"/>
      <c r="S7" s="3397"/>
      <c r="T7" s="3397"/>
      <c r="U7" s="3397"/>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39" t="s">
        <v>3535</v>
      </c>
      <c r="P11" s="3139"/>
      <c r="Q11" s="3139"/>
      <c r="R11" s="3139"/>
      <c r="S11" s="3139"/>
      <c r="T11" s="3139"/>
      <c r="U11" s="3139"/>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39"/>
      <c r="P12" s="3139"/>
      <c r="Q12" s="3139"/>
      <c r="R12" s="3139"/>
      <c r="S12" s="3139"/>
      <c r="T12" s="3139"/>
      <c r="U12" s="3139"/>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39"/>
      <c r="P13" s="3139"/>
      <c r="Q13" s="3139"/>
      <c r="R13" s="3139"/>
      <c r="S13" s="3139"/>
      <c r="T13" s="3139"/>
      <c r="U13" s="3139"/>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1" t="s">
        <v>3417</v>
      </c>
      <c r="E3" s="3041"/>
      <c r="F3" s="3041"/>
      <c r="G3" s="3041"/>
      <c r="H3" s="1633"/>
      <c r="I3" s="1631"/>
      <c r="L3" s="3042" t="s">
        <v>3427</v>
      </c>
      <c r="M3" s="3042"/>
      <c r="N3" s="3042"/>
      <c r="O3" s="3042"/>
      <c r="P3" s="3042"/>
      <c r="Q3" s="3042"/>
      <c r="R3" s="3042"/>
      <c r="S3" s="3042"/>
    </row>
    <row r="4" spans="2:19" ht="71.25" customHeight="1">
      <c r="B4" s="1631"/>
      <c r="C4" s="1633"/>
      <c r="D4" s="3041"/>
      <c r="E4" s="3041"/>
      <c r="F4" s="3041"/>
      <c r="G4" s="3041"/>
      <c r="H4" s="1633"/>
      <c r="I4" s="1631"/>
      <c r="L4" s="3042"/>
      <c r="M4" s="3042"/>
      <c r="N4" s="3042"/>
      <c r="O4" s="3042"/>
      <c r="P4" s="3042"/>
      <c r="Q4" s="3042"/>
      <c r="R4" s="3042"/>
      <c r="S4" s="3042"/>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6"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5" t="str">
        <f>Utility_Copyrite</f>
        <v>Copyright © 2012 Potomac Electric Power Company</v>
      </c>
      <c r="F45" s="1631"/>
      <c r="G45" s="1631"/>
      <c r="H45" s="1631"/>
      <c r="I45" s="1631"/>
    </row>
    <row r="46" spans="2:9">
      <c r="B46" s="1631"/>
      <c r="C46" s="1631"/>
      <c r="D46" s="1631"/>
      <c r="E46" s="2896"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3" t="s">
        <v>392</v>
      </c>
      <c r="C1" s="3043"/>
      <c r="D1" s="3043"/>
      <c r="E1" s="3043"/>
      <c r="F1" s="3043"/>
      <c r="G1" s="3043"/>
      <c r="H1" s="3043"/>
      <c r="I1" s="3043"/>
      <c r="J1" s="3043"/>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4" t="s">
        <v>3428</v>
      </c>
      <c r="M7" s="3044"/>
      <c r="N7" s="3044"/>
      <c r="O7" s="3044"/>
      <c r="P7" s="3044"/>
      <c r="Q7" s="3044"/>
      <c r="R7" s="572"/>
      <c r="S7" s="572"/>
    </row>
    <row r="8" spans="2:19" ht="20.100000000000001" customHeight="1">
      <c r="B8" s="1647"/>
      <c r="C8" s="1647"/>
      <c r="D8" s="1648"/>
      <c r="E8" s="1650" t="s">
        <v>2652</v>
      </c>
      <c r="F8" s="1649" t="s">
        <v>186</v>
      </c>
      <c r="G8" s="1649"/>
      <c r="H8" s="1647"/>
      <c r="I8" s="1647"/>
      <c r="J8" s="1647"/>
      <c r="K8" s="572"/>
      <c r="L8" s="3044"/>
      <c r="M8" s="3044"/>
      <c r="N8" s="3044"/>
      <c r="O8" s="3044"/>
      <c r="P8" s="3044"/>
      <c r="Q8" s="3044"/>
      <c r="R8" s="572"/>
      <c r="S8" s="572"/>
    </row>
    <row r="9" spans="2:19" ht="20.100000000000001" customHeight="1">
      <c r="B9" s="1647"/>
      <c r="C9" s="1647"/>
      <c r="D9" s="1648"/>
      <c r="E9" s="1650" t="s">
        <v>2653</v>
      </c>
      <c r="F9" s="1649" t="s">
        <v>406</v>
      </c>
      <c r="G9" s="1649"/>
      <c r="H9" s="1647"/>
      <c r="I9" s="1647"/>
      <c r="J9" s="1647"/>
      <c r="K9" s="572"/>
      <c r="L9" s="3044"/>
      <c r="M9" s="3044"/>
      <c r="N9" s="3044"/>
      <c r="O9" s="3044"/>
      <c r="P9" s="3044"/>
      <c r="Q9" s="3044"/>
      <c r="R9" s="572"/>
      <c r="S9" s="572"/>
    </row>
    <row r="10" spans="2:19" ht="20.100000000000001" customHeight="1">
      <c r="B10" s="1647"/>
      <c r="C10" s="1647"/>
      <c r="D10" s="1648"/>
      <c r="E10" s="1650" t="s">
        <v>2654</v>
      </c>
      <c r="F10" s="1649" t="s">
        <v>473</v>
      </c>
      <c r="G10" s="1649"/>
      <c r="H10" s="1647"/>
      <c r="I10" s="1647"/>
      <c r="J10" s="1647"/>
      <c r="K10" s="572"/>
      <c r="L10" s="3044"/>
      <c r="M10" s="3044"/>
      <c r="N10" s="3044"/>
      <c r="O10" s="3044"/>
      <c r="P10" s="3044"/>
      <c r="Q10" s="3044"/>
      <c r="R10" s="572"/>
      <c r="S10" s="572"/>
    </row>
    <row r="11" spans="2:19" ht="20.100000000000001" customHeight="1">
      <c r="B11" s="1647"/>
      <c r="C11" s="1647"/>
      <c r="D11" s="1648" t="s">
        <v>335</v>
      </c>
      <c r="E11" s="1649" t="s">
        <v>478</v>
      </c>
      <c r="F11" s="1649"/>
      <c r="G11" s="1649"/>
      <c r="H11" s="1647"/>
      <c r="I11" s="1647"/>
      <c r="J11" s="1647"/>
      <c r="K11" s="572"/>
      <c r="L11" s="3044"/>
      <c r="M11" s="3044"/>
      <c r="N11" s="3044"/>
      <c r="O11" s="3044"/>
      <c r="P11" s="3044"/>
      <c r="Q11" s="3044"/>
      <c r="R11" s="572"/>
      <c r="S11" s="572"/>
    </row>
    <row r="12" spans="2:19" ht="20.100000000000001" customHeight="1">
      <c r="B12" s="1647"/>
      <c r="C12" s="1647"/>
      <c r="G12" s="1649"/>
      <c r="H12" s="1647"/>
      <c r="I12" s="1647"/>
      <c r="J12" s="1647"/>
      <c r="K12" s="572"/>
      <c r="L12" s="3044"/>
      <c r="M12" s="3044"/>
      <c r="N12" s="3044"/>
      <c r="O12" s="3044"/>
      <c r="P12" s="3044"/>
      <c r="Q12" s="3044"/>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5" t="str">
        <f>Utility_Copyrite</f>
        <v>Copyright © 2012 Potomac Electric Power Company</v>
      </c>
      <c r="H47" s="1646"/>
      <c r="I47" s="1646"/>
      <c r="J47" s="1656"/>
    </row>
    <row r="48" spans="2:10">
      <c r="B48" s="1657" t="str">
        <f>company</f>
        <v/>
      </c>
      <c r="C48" s="1646"/>
      <c r="D48" s="1646"/>
      <c r="E48" s="1646"/>
      <c r="F48" s="1646"/>
      <c r="G48" s="2896"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tabSelected="1" view="pageBreakPreview" zoomScale="90" zoomScaleSheetLayoutView="90" workbookViewId="0">
      <selection activeCell="B2" sqref="B2:H2"/>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1" t="s">
        <v>3770</v>
      </c>
      <c r="C2" s="3051"/>
      <c r="D2" s="3051"/>
      <c r="E2" s="3051"/>
      <c r="F2" s="3051"/>
      <c r="G2" s="3051"/>
      <c r="H2" s="3051"/>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0" t="str">
        <f>Utility_Name_Cap&amp;" provides energy surveys to help inform its customers about energy usage and energy costs."</f>
        <v>PEPCO provides energy surveys to help inform its customers about energy usage and energy costs.</v>
      </c>
      <c r="C4" s="3050"/>
      <c r="D4" s="3050"/>
      <c r="E4" s="3050"/>
      <c r="F4" s="3050"/>
      <c r="G4" s="3050"/>
      <c r="H4" s="3050"/>
      <c r="I4" s="3050"/>
      <c r="K4" s="205"/>
      <c r="L4" s="205"/>
      <c r="M4" s="205"/>
      <c r="N4" s="205"/>
      <c r="O4" s="205"/>
      <c r="P4" s="205"/>
    </row>
    <row r="5" spans="2:38" ht="52.5" customHeight="1">
      <c r="B5" s="3050" t="s">
        <v>3779</v>
      </c>
      <c r="C5" s="3050"/>
      <c r="D5" s="3050"/>
      <c r="E5" s="3050"/>
      <c r="F5" s="3050"/>
      <c r="G5" s="3050"/>
      <c r="H5" s="3050"/>
      <c r="I5" s="3050"/>
      <c r="J5" s="216"/>
      <c r="K5" s="3048" t="s">
        <v>3822</v>
      </c>
      <c r="L5" s="3048"/>
      <c r="M5" s="3048"/>
      <c r="N5" s="3048"/>
      <c r="O5" s="3048"/>
      <c r="P5" s="3048"/>
      <c r="Q5" s="3048"/>
      <c r="R5" s="3048"/>
      <c r="S5" s="3048"/>
      <c r="T5" s="3048"/>
      <c r="U5" s="3048"/>
      <c r="V5" s="3048"/>
      <c r="W5" s="3048"/>
      <c r="X5" s="3048"/>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49" t="str">
        <f>IF('[1]Facility Info'!$B$2="", "", '[1]Facility Info'!$B$2)</f>
        <v/>
      </c>
      <c r="E7" s="1543"/>
      <c r="F7" s="1543"/>
      <c r="G7" s="1544" t="s">
        <v>50</v>
      </c>
      <c r="H7" s="2848"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48" t="str">
        <f>IF('[1]Facility Info'!$B$4="", "", '[1]Facility Info'!$B$4)</f>
        <v/>
      </c>
      <c r="E8" s="1543"/>
      <c r="F8" s="1543"/>
      <c r="G8" s="1544" t="s">
        <v>3702</v>
      </c>
      <c r="H8" s="2848"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48" t="str">
        <f>IF('[1]Facility Info'!$B$5="", "", LEFT('[1]Facility Info'!$B$5,FIND(",",'[1]Facility Info'!$B$5)-1))</f>
        <v/>
      </c>
      <c r="E9" s="1543"/>
      <c r="F9" s="1543"/>
      <c r="G9" s="1544" t="s">
        <v>580</v>
      </c>
      <c r="H9" s="2848" t="str">
        <f>IF('[1]Facility Info'!$H$1="", "", '[1]Facility Info'!$H$1)</f>
        <v/>
      </c>
      <c r="I9" s="1545"/>
      <c r="K9" s="3048" t="s">
        <v>3860</v>
      </c>
      <c r="L9" s="3048"/>
      <c r="M9" s="3048"/>
      <c r="N9" s="3048"/>
      <c r="O9" s="3048"/>
      <c r="P9" s="3048"/>
      <c r="Q9" s="3048"/>
      <c r="R9" s="3048"/>
      <c r="S9" s="3048"/>
      <c r="T9" s="3048"/>
      <c r="U9" s="3048"/>
      <c r="V9" s="3048"/>
      <c r="W9" s="3048"/>
      <c r="X9" s="3048"/>
      <c r="Y9" s="3048"/>
      <c r="Z9" s="86"/>
      <c r="AA9" s="86"/>
      <c r="AB9" s="86"/>
      <c r="AC9" s="86"/>
      <c r="AD9" s="86"/>
      <c r="AE9" s="86"/>
      <c r="AF9" s="86"/>
      <c r="AG9" s="86"/>
      <c r="AH9" s="86"/>
      <c r="AI9" s="86"/>
      <c r="AJ9" s="86"/>
      <c r="AK9" s="86"/>
      <c r="AL9" s="90"/>
    </row>
    <row r="10" spans="2:38" ht="12.75" customHeight="1">
      <c r="B10" s="1546"/>
      <c r="C10" s="1544" t="s">
        <v>2076</v>
      </c>
      <c r="D10" s="2848" t="s">
        <v>3859</v>
      </c>
      <c r="E10" s="1546"/>
      <c r="F10" s="1546"/>
      <c r="G10" s="1544" t="s">
        <v>2078</v>
      </c>
      <c r="H10" s="2848" t="s">
        <v>3883</v>
      </c>
      <c r="I10" s="1545"/>
      <c r="K10" s="3048"/>
      <c r="L10" s="3048"/>
      <c r="M10" s="3048"/>
      <c r="N10" s="3048"/>
      <c r="O10" s="3048"/>
      <c r="P10" s="3048"/>
      <c r="Q10" s="3048"/>
      <c r="R10" s="3048"/>
      <c r="S10" s="3048"/>
      <c r="T10" s="3048"/>
      <c r="U10" s="3048"/>
      <c r="V10" s="3048"/>
      <c r="W10" s="3048"/>
      <c r="X10" s="3048"/>
      <c r="Y10" s="3048"/>
      <c r="Z10" s="86"/>
      <c r="AA10" s="86"/>
      <c r="AB10" s="86"/>
      <c r="AC10" s="86"/>
      <c r="AD10" s="86"/>
      <c r="AE10" s="86"/>
      <c r="AF10" s="86"/>
      <c r="AG10" s="86"/>
      <c r="AH10" s="86"/>
      <c r="AI10" s="86"/>
      <c r="AJ10" s="86"/>
      <c r="AK10" s="86"/>
      <c r="AL10" s="90"/>
    </row>
    <row r="11" spans="2:38" ht="12.75" customHeight="1">
      <c r="B11" s="1546"/>
      <c r="C11" s="1544" t="s">
        <v>2077</v>
      </c>
      <c r="D11" s="2848" t="str">
        <f>IF('[1]Facility Info'!$B$5="","",MID('[1]Facility Info'!$B$5,FIND(",",'[1]Facility Info'!$B$5)+1,LEN('[1]Facility Info'!$B$5)))</f>
        <v/>
      </c>
      <c r="E11" s="1546"/>
      <c r="F11" s="1546"/>
      <c r="G11" s="1544" t="s">
        <v>3838</v>
      </c>
      <c r="H11" s="2848" t="str">
        <f>IF('[1]Facility Info'!$H$4="", "", '[1]Facility Info'!$H$4)</f>
        <v/>
      </c>
      <c r="I11" s="1548"/>
      <c r="K11" s="3048"/>
      <c r="L11" s="3048"/>
      <c r="M11" s="3048"/>
      <c r="N11" s="3048"/>
      <c r="O11" s="3048"/>
      <c r="P11" s="3048"/>
      <c r="Q11" s="3048"/>
      <c r="R11" s="3048"/>
      <c r="S11" s="3048"/>
      <c r="T11" s="3048"/>
      <c r="U11" s="3048"/>
      <c r="V11" s="3048"/>
      <c r="W11" s="3048"/>
      <c r="X11" s="3048"/>
      <c r="Y11" s="3048"/>
      <c r="Z11" s="86"/>
      <c r="AA11" s="86"/>
      <c r="AB11" s="86"/>
      <c r="AC11" s="86"/>
      <c r="AD11" s="86"/>
      <c r="AE11" s="86"/>
      <c r="AF11" s="86"/>
      <c r="AG11" s="86"/>
      <c r="AH11" s="86"/>
      <c r="AI11" s="86"/>
      <c r="AJ11" s="86"/>
      <c r="AK11" s="86"/>
      <c r="AL11" s="90"/>
    </row>
    <row r="12" spans="2:38" ht="12.75" customHeight="1">
      <c r="B12" s="1546"/>
      <c r="C12" s="1547" t="s">
        <v>579</v>
      </c>
      <c r="D12" s="2850" t="str">
        <f>IF('[1]Facility Info'!$B$7="", "Name", '[1]Facility Info'!$B$7)</f>
        <v>Name</v>
      </c>
      <c r="E12" s="1546"/>
      <c r="F12" s="1546"/>
      <c r="G12" s="1544" t="s">
        <v>3890</v>
      </c>
      <c r="H12" s="2848" t="str">
        <f>IF('[1]Facility Info'!$K$1="", "", '[1]Facility Info'!$K$1)</f>
        <v/>
      </c>
      <c r="I12" s="1549"/>
      <c r="K12" s="3048"/>
      <c r="L12" s="3048"/>
      <c r="M12" s="3048"/>
      <c r="N12" s="3048"/>
      <c r="O12" s="3048"/>
      <c r="P12" s="3048"/>
      <c r="Q12" s="3048"/>
      <c r="R12" s="3048"/>
      <c r="S12" s="3048"/>
      <c r="T12" s="3048"/>
      <c r="U12" s="3048"/>
      <c r="V12" s="3048"/>
      <c r="W12" s="3048"/>
      <c r="X12" s="3048"/>
      <c r="Y12" s="3048"/>
      <c r="Z12" s="86"/>
      <c r="AA12" s="86"/>
      <c r="AB12" s="86"/>
      <c r="AC12" s="86"/>
      <c r="AD12" s="86"/>
      <c r="AE12" s="86"/>
      <c r="AF12" s="86"/>
      <c r="AG12" s="86"/>
      <c r="AH12" s="86"/>
      <c r="AI12" s="86"/>
      <c r="AJ12" s="86"/>
      <c r="AK12" s="86"/>
      <c r="AL12" s="90"/>
    </row>
    <row r="13" spans="2:38" ht="12.75" customHeight="1">
      <c r="B13" s="1546"/>
      <c r="C13" s="1547"/>
      <c r="D13" s="2850" t="str">
        <f>IF('[1]Facility Info'!$B$8="", "Phone Number", '[1]Facility Info'!$B$8)</f>
        <v>Phone Number</v>
      </c>
      <c r="E13" s="1546"/>
      <c r="F13" s="1546"/>
      <c r="G13" s="1547" t="s">
        <v>370</v>
      </c>
      <c r="H13" s="2847" t="str">
        <f>IF('[1]Facility Info'!$B$1="", "", '[1]Facility Info'!$B$1)</f>
        <v/>
      </c>
      <c r="I13" s="1549"/>
      <c r="K13" s="3048"/>
      <c r="L13" s="3048"/>
      <c r="M13" s="3048"/>
      <c r="N13" s="3048"/>
      <c r="O13" s="3048"/>
      <c r="P13" s="3048"/>
      <c r="Q13" s="3048"/>
      <c r="R13" s="3048"/>
      <c r="S13" s="3048"/>
      <c r="T13" s="3048"/>
      <c r="U13" s="3048"/>
      <c r="V13" s="3048"/>
      <c r="W13" s="3048"/>
      <c r="X13" s="3048"/>
      <c r="Y13" s="3048"/>
      <c r="Z13" s="86"/>
      <c r="AA13" s="86"/>
      <c r="AB13" s="86"/>
      <c r="AC13" s="86"/>
      <c r="AD13" s="86"/>
      <c r="AE13" s="86"/>
      <c r="AF13" s="86"/>
      <c r="AG13" s="86"/>
      <c r="AH13" s="86"/>
      <c r="AI13" s="86"/>
      <c r="AJ13" s="86"/>
      <c r="AK13" s="86"/>
      <c r="AL13" s="90"/>
    </row>
    <row r="14" spans="2:38" ht="12.75" customHeight="1">
      <c r="B14" s="1546"/>
      <c r="C14" s="1547"/>
      <c r="D14" s="2850"/>
      <c r="E14" s="1546"/>
      <c r="F14" s="1546"/>
      <c r="G14" s="1546"/>
      <c r="H14" s="1549"/>
      <c r="I14" s="1549"/>
      <c r="K14" s="3048"/>
      <c r="L14" s="3048"/>
      <c r="M14" s="3048"/>
      <c r="N14" s="3048"/>
      <c r="O14" s="3048"/>
      <c r="P14" s="3048"/>
      <c r="Q14" s="3048"/>
      <c r="R14" s="3048"/>
      <c r="S14" s="3048"/>
      <c r="T14" s="3048"/>
      <c r="U14" s="3048"/>
      <c r="V14" s="3048"/>
      <c r="W14" s="3048"/>
      <c r="X14" s="3048"/>
      <c r="Y14" s="3048"/>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48"/>
      <c r="L15" s="3048"/>
      <c r="M15" s="3048"/>
      <c r="N15" s="3048"/>
      <c r="O15" s="3048"/>
      <c r="P15" s="3048"/>
      <c r="Q15" s="3048"/>
      <c r="R15" s="3048"/>
      <c r="S15" s="3048"/>
      <c r="T15" s="3048"/>
      <c r="U15" s="3048"/>
      <c r="V15" s="3048"/>
      <c r="W15" s="3048"/>
      <c r="X15" s="3048"/>
      <c r="Y15" s="3048"/>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4" t="str">
        <f>IF('[1]Business Type'!$A$2="", "", '[1]Business Type'!$A$2)</f>
        <v/>
      </c>
      <c r="I16" s="3054"/>
      <c r="K16" s="3048"/>
      <c r="L16" s="3048"/>
      <c r="M16" s="3048"/>
      <c r="N16" s="3048"/>
      <c r="O16" s="3048"/>
      <c r="P16" s="3048"/>
      <c r="Q16" s="3048"/>
      <c r="R16" s="3048"/>
      <c r="S16" s="3048"/>
      <c r="T16" s="3048"/>
      <c r="U16" s="3048"/>
      <c r="V16" s="3048"/>
      <c r="W16" s="3048"/>
      <c r="X16" s="3048"/>
      <c r="Y16" s="3048"/>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3" t="str">
        <f>IF('[1]Business Type'!$D$2="", "", '[1]Business Type'!$D$2)</f>
        <v/>
      </c>
      <c r="I17" s="3053"/>
      <c r="K17" s="3048"/>
      <c r="L17" s="3048"/>
      <c r="M17" s="3048"/>
      <c r="N17" s="3048"/>
      <c r="O17" s="3048"/>
      <c r="P17" s="3048"/>
      <c r="Q17" s="3048"/>
      <c r="R17" s="3048"/>
      <c r="S17" s="3048"/>
      <c r="T17" s="3048"/>
      <c r="U17" s="3048"/>
      <c r="V17" s="3048"/>
      <c r="W17" s="3048"/>
      <c r="X17" s="3048"/>
      <c r="Y17" s="3048"/>
      <c r="Z17" s="86"/>
      <c r="AA17" s="86"/>
      <c r="AB17" s="86"/>
      <c r="AC17" s="86"/>
      <c r="AD17" s="86"/>
      <c r="AE17" s="86"/>
      <c r="AF17" s="86"/>
      <c r="AG17" s="86"/>
      <c r="AH17" s="86"/>
      <c r="AI17" s="86"/>
      <c r="AJ17" s="86"/>
      <c r="AK17" s="86"/>
      <c r="AL17" s="90"/>
    </row>
    <row r="18" spans="2:38" ht="6" customHeight="1">
      <c r="B18" s="1659"/>
      <c r="C18" s="87"/>
      <c r="F18" s="1662"/>
      <c r="G18" s="1662"/>
      <c r="H18" s="1731"/>
      <c r="I18" s="2800"/>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5" t="s">
        <v>3354</v>
      </c>
      <c r="G19" s="3055"/>
      <c r="H19" s="3055"/>
      <c r="I19" s="3055"/>
      <c r="K19" s="3048" t="s">
        <v>3821</v>
      </c>
      <c r="L19" s="3048"/>
      <c r="M19" s="3048"/>
      <c r="N19" s="3048"/>
      <c r="O19" s="3048"/>
      <c r="P19" s="3048"/>
      <c r="Q19" s="3048"/>
      <c r="R19" s="3048"/>
      <c r="S19" s="3048"/>
      <c r="T19" s="3048"/>
      <c r="U19" s="3048"/>
      <c r="V19" s="3048"/>
      <c r="W19" s="3048"/>
      <c r="X19" s="3048"/>
      <c r="Y19" s="90"/>
      <c r="Z19" s="86"/>
      <c r="AA19" s="86"/>
      <c r="AB19" s="86"/>
      <c r="AC19" s="86"/>
      <c r="AD19" s="86"/>
      <c r="AE19" s="86"/>
      <c r="AF19" s="86"/>
      <c r="AG19" s="86"/>
      <c r="AH19" s="86"/>
      <c r="AI19" s="86"/>
      <c r="AJ19" s="86"/>
      <c r="AK19" s="86"/>
      <c r="AL19" s="90"/>
    </row>
    <row r="20" spans="2:38" ht="12.75" customHeight="1">
      <c r="B20" s="1543"/>
      <c r="C20" s="1540" t="s">
        <v>3355</v>
      </c>
      <c r="D20" s="1658" t="str">
        <f>IF(OR(D49&gt;0,E49&gt;0,F49&gt;0,G49&gt;0,H49&gt;0), "Electric Bill", "")</f>
        <v/>
      </c>
      <c r="E20" s="1658" t="str">
        <f>IF(OR(D49&gt;0,E49&gt;0,F49&gt;0,G49&gt;0,H49&gt;0), "Yes", "")</f>
        <v/>
      </c>
      <c r="F20" s="3047" t="str">
        <f>IF(OR(D49&gt;0,E49&gt;0,F49&gt;0,G49&gt;0,H49&gt;0), "Upgrades shown on following pages", "")</f>
        <v/>
      </c>
      <c r="G20" s="3047"/>
      <c r="H20" s="3047"/>
      <c r="I20" s="3047"/>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t="str">
        <f>IF(OR(D50&gt;0,E50&gt;0,F50&gt;0,G50&gt;0,H50&gt;0), "Electric Bill", "")</f>
        <v/>
      </c>
      <c r="E21" s="1658" t="str">
        <f>IF(OR(D50&gt;0,E50&gt;0,F50&gt;0,G50&gt;0,H50&gt;0), "Yes", "")</f>
        <v/>
      </c>
      <c r="F21" s="3047" t="str">
        <f>IF(OR(D50&gt;0,E50&gt;0,F50&gt;0,G50&gt;0,H50&gt;0), "Upgrades shown on following pages", "")</f>
        <v/>
      </c>
      <c r="G21" s="3047"/>
      <c r="H21" s="3047"/>
      <c r="I21" s="3047"/>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47"/>
      <c r="G22" s="3047"/>
      <c r="H22" s="3047"/>
      <c r="I22" s="3047"/>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t="str">
        <f>IF(OR('R2 Rec'!G70&gt;0, 'R2 Rec'!H70&gt;0,'R2 Rec'!I70&gt;0,'R2 Rec'!J70&gt;0), "Electric Bill", "")</f>
        <v/>
      </c>
      <c r="E23" s="1658" t="str">
        <f>IF(OR('R2 Rec'!G70&gt;0, 'R2 Rec'!H70&gt;0,'R2 Rec'!I70&gt;0,'R2 Rec'!J70&gt;0), "Yes", "")</f>
        <v/>
      </c>
      <c r="F23" s="3047" t="str">
        <f>IF(OR('R2 Rec'!G70&gt;0, 'R2 Rec'!H70&gt;0,'R2 Rec'!I70&gt;0,'R2 Rec'!J70&gt;0), "Upgrades shown on following pages", "")</f>
        <v/>
      </c>
      <c r="G23" s="3047"/>
      <c r="H23" s="3047"/>
      <c r="I23" s="3047"/>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47"/>
      <c r="G24" s="3047"/>
      <c r="H24" s="3047"/>
      <c r="I24" s="3047"/>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t="str">
        <f>IF(OR('R2 Rec'!G67&gt;0, 'R2 Rec'!H67&gt;0,'R2 Rec'!I67&gt;0,'R2 Rec'!J67&gt;0), "Electric Bill", "")</f>
        <v/>
      </c>
      <c r="E25" s="1658" t="str">
        <f>IF(OR('R2 Rec'!G67&gt;0, 'R2 Rec'!H67&gt;0,'R2 Rec'!I67&gt;0,'R2 Rec'!J67&gt;0), "Yes", "")</f>
        <v/>
      </c>
      <c r="F25" s="3047" t="str">
        <f>IF(OR('R2 Rec'!G67&gt;0, 'R2 Rec'!H67&gt;0,'R2 Rec'!I67&gt;0,'R2 Rec'!J67&gt;0), "Upgrades shown on following pages", "")</f>
        <v/>
      </c>
      <c r="G25" s="3047"/>
      <c r="H25" s="3047"/>
      <c r="I25" s="3047"/>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47"/>
      <c r="G26" s="3047"/>
      <c r="H26" s="3047"/>
      <c r="I26" s="3047"/>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t="str">
        <f>IF(OR('R2 Rec'!G72&gt;0, 'R2 Rec'!H72&gt;0,'R2 Rec'!I72&gt;0,'R2 Rec'!J72&gt;0), "Electric Bill", "")</f>
        <v/>
      </c>
      <c r="E27" s="1658" t="str">
        <f>IF(OR('R2 Rec'!G72&gt;0, 'R2 Rec'!H72&gt;0,'R2 Rec'!I72&gt;0,'R2 Rec'!J72&gt;0), "Yes", "")</f>
        <v/>
      </c>
      <c r="F27" s="3047" t="str">
        <f>IF(OR('R2 Rec'!G72&gt;0, 'R2 Rec'!H72&gt;0,'R2 Rec'!I72&gt;0,'R2 Rec'!J72&gt;0), "Upgrades shown on following pages", "")</f>
        <v/>
      </c>
      <c r="G27" s="3047"/>
      <c r="H27" s="3047"/>
      <c r="I27" s="3047"/>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47"/>
      <c r="G28" s="3047"/>
      <c r="H28" s="3047"/>
      <c r="I28" s="3047"/>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2"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2"/>
      <c r="D31" s="3052"/>
      <c r="E31" s="3052"/>
      <c r="F31" s="3052"/>
      <c r="G31" s="3052"/>
      <c r="H31" s="3052"/>
      <c r="I31" s="3052"/>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49" t="s">
        <v>3756</v>
      </c>
      <c r="C33" s="3049"/>
      <c r="D33" s="3049"/>
      <c r="E33" s="3049"/>
      <c r="F33" s="3049"/>
      <c r="G33" s="3049"/>
      <c r="H33" s="3049"/>
      <c r="I33" s="3049"/>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49"/>
      <c r="C34" s="3049"/>
      <c r="D34" s="3049"/>
      <c r="E34" s="3049"/>
      <c r="F34" s="3049"/>
      <c r="G34" s="3049"/>
      <c r="H34" s="3049"/>
      <c r="I34" s="3049"/>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1" t="s">
        <v>3820</v>
      </c>
      <c r="E36" s="2802">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8"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49" t="s">
        <v>3757</v>
      </c>
      <c r="C45" s="3049" t="s">
        <v>3757</v>
      </c>
      <c r="D45" s="3049"/>
      <c r="E45" s="3049"/>
      <c r="F45" s="3049"/>
      <c r="G45" s="3049"/>
      <c r="H45" s="3049"/>
      <c r="I45" s="3049"/>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49"/>
      <c r="C46" s="3049"/>
      <c r="D46" s="3049"/>
      <c r="E46" s="3049"/>
      <c r="F46" s="3049"/>
      <c r="G46" s="3049"/>
      <c r="H46" s="3049"/>
      <c r="I46" s="3049"/>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5" t="str">
        <f>Utility_Copyrite</f>
        <v>Copyright © 2012 Potomac Electric Power Company</v>
      </c>
      <c r="E53" s="3045"/>
      <c r="F53" s="3045"/>
      <c r="G53" s="3045"/>
      <c r="H53" s="1554"/>
      <c r="I53" s="1554"/>
      <c r="K53" s="205"/>
      <c r="L53" s="205"/>
      <c r="M53" s="205"/>
      <c r="N53" s="205"/>
      <c r="O53" s="205"/>
      <c r="P53" s="205"/>
    </row>
    <row r="54" spans="1:24">
      <c r="B54" s="1555"/>
      <c r="C54" s="1556"/>
      <c r="D54" s="3046" t="str">
        <f>Utility_Rights</f>
        <v>All Rights Reserved</v>
      </c>
      <c r="E54" s="3046"/>
      <c r="F54" s="3046"/>
      <c r="G54" s="304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 D21:D28">
      <formula1>$S$58:$S$61</formula1>
    </dataValidation>
    <dataValidation type="list" allowBlank="1" showInputMessage="1" showErrorMessage="1" sqref="E20:E28">
      <formula1>$T$58:$T$59</formula1>
    </dataValidation>
    <dataValidation type="list" allowBlank="1" showInputMessage="1" showErrorMessage="1" sqref="F20:I20 F21:I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56" zoomScale="90" zoomScaleSheetLayoutView="90" workbookViewId="0">
      <selection activeCell="G67" sqref="G67"/>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67" t="s">
        <v>477</v>
      </c>
      <c r="F1" s="3067"/>
      <c r="G1" s="3067"/>
      <c r="H1" s="3067"/>
      <c r="I1" s="1686"/>
      <c r="J1" s="3068" t="s">
        <v>3447</v>
      </c>
      <c r="K1" s="3068"/>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3"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3"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1" t="s">
        <v>3703</v>
      </c>
      <c r="C5" s="3061"/>
      <c r="D5" s="3061"/>
      <c r="E5" s="3061"/>
      <c r="F5" s="3061"/>
      <c r="G5" s="3061"/>
      <c r="H5" s="3061"/>
      <c r="I5" s="3061"/>
      <c r="J5" s="3061"/>
      <c r="K5" s="3061"/>
      <c r="L5" s="1688"/>
      <c r="M5" s="1688"/>
      <c r="N5" s="205"/>
      <c r="O5" s="205"/>
      <c r="P5" s="205"/>
      <c r="Q5" s="205"/>
      <c r="R5" s="205"/>
      <c r="S5" s="205"/>
      <c r="T5" s="205"/>
      <c r="U5" s="205"/>
      <c r="V5" s="205"/>
    </row>
    <row r="6" spans="1:32" ht="18" customHeight="1">
      <c r="A6" s="1685"/>
      <c r="B6" s="3072" t="s">
        <v>3437</v>
      </c>
      <c r="C6" s="3072"/>
      <c r="D6" s="3072"/>
      <c r="E6" s="3072"/>
      <c r="F6" s="3072"/>
      <c r="G6" s="3072"/>
      <c r="H6" s="3072"/>
      <c r="I6" s="3072"/>
      <c r="J6" s="3072"/>
      <c r="K6" s="3072"/>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4"/>
      <c r="C8" s="3074"/>
      <c r="D8" s="3074"/>
      <c r="E8" s="3074"/>
      <c r="F8" s="3074"/>
      <c r="G8" s="3074"/>
      <c r="H8" s="3074"/>
      <c r="I8" s="3074"/>
      <c r="J8" s="3074"/>
      <c r="K8" s="3074"/>
      <c r="L8" s="1688"/>
      <c r="M8" s="1688"/>
      <c r="N8" s="205"/>
      <c r="O8" s="205"/>
      <c r="P8" s="205"/>
    </row>
    <row r="9" spans="1:32" ht="15" customHeight="1">
      <c r="A9" s="1685"/>
      <c r="B9" s="3074"/>
      <c r="C9" s="3074"/>
      <c r="D9" s="3074"/>
      <c r="E9" s="3074"/>
      <c r="F9" s="3074"/>
      <c r="G9" s="3074"/>
      <c r="H9" s="3074"/>
      <c r="I9" s="3074"/>
      <c r="J9" s="3074"/>
      <c r="K9" s="3074"/>
      <c r="L9" s="1685"/>
      <c r="M9" s="1685"/>
      <c r="N9" s="205"/>
      <c r="O9" s="205"/>
      <c r="P9" s="205"/>
    </row>
    <row r="10" spans="1:32" ht="8.25" customHeight="1">
      <c r="A10" s="1685"/>
      <c r="B10" s="3074"/>
      <c r="C10" s="3074"/>
      <c r="D10" s="3074"/>
      <c r="E10" s="3074"/>
      <c r="F10" s="3074"/>
      <c r="G10" s="3074"/>
      <c r="H10" s="3074"/>
      <c r="I10" s="3074"/>
      <c r="J10" s="3074"/>
      <c r="K10" s="3074"/>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1" t="s">
        <v>3823</v>
      </c>
      <c r="C12" s="3061"/>
      <c r="D12" s="3061"/>
      <c r="E12" s="3061"/>
      <c r="F12" s="3061"/>
      <c r="G12" s="3061"/>
      <c r="H12" s="3061"/>
      <c r="I12" s="3061"/>
      <c r="J12" s="3061"/>
      <c r="K12" s="3061"/>
      <c r="L12" s="1685"/>
      <c r="M12" s="1685"/>
      <c r="N12" s="205"/>
      <c r="O12" s="205"/>
      <c r="P12" s="205"/>
      <c r="Q12" s="205"/>
      <c r="R12" s="205"/>
      <c r="S12" s="208" t="s">
        <v>419</v>
      </c>
      <c r="T12" s="205"/>
      <c r="U12" s="205"/>
      <c r="V12" s="205"/>
    </row>
    <row r="13" spans="1:32" ht="15" customHeight="1">
      <c r="A13" s="1685"/>
      <c r="B13" s="1692">
        <v>1</v>
      </c>
      <c r="C13" s="3062" t="str">
        <f>IF('[1]Recommended Measures'!$D$1="", "", '[1]Recommended Measures'!$D$1)</f>
        <v/>
      </c>
      <c r="D13" s="3063"/>
      <c r="E13" s="3063"/>
      <c r="F13" s="3063"/>
      <c r="G13" s="3063"/>
      <c r="H13" s="3063"/>
      <c r="I13" s="3063"/>
      <c r="J13" s="3063"/>
      <c r="K13" s="3063"/>
      <c r="L13" s="1659"/>
      <c r="M13" s="1659"/>
      <c r="N13" s="205"/>
      <c r="O13" s="205"/>
      <c r="P13" s="205"/>
      <c r="Q13" s="205"/>
      <c r="R13" s="130" t="s">
        <v>409</v>
      </c>
      <c r="S13" s="209"/>
      <c r="T13" s="209"/>
      <c r="U13" s="209"/>
      <c r="V13" s="209"/>
      <c r="W13" s="127"/>
      <c r="X13" s="127"/>
      <c r="Y13" s="127"/>
      <c r="Z13" s="140"/>
    </row>
    <row r="14" spans="1:32" ht="15" customHeight="1">
      <c r="A14" s="1685"/>
      <c r="B14" s="1692">
        <v>2</v>
      </c>
      <c r="C14" s="3062" t="str">
        <f>IF('[1]Recommended Measures'!$D$2="", "", '[1]Recommended Measures'!$D$2)</f>
        <v/>
      </c>
      <c r="D14" s="3063"/>
      <c r="E14" s="3063"/>
      <c r="F14" s="3063"/>
      <c r="G14" s="3063"/>
      <c r="H14" s="3063"/>
      <c r="I14" s="3063"/>
      <c r="J14" s="3063"/>
      <c r="K14" s="3063"/>
      <c r="L14" s="1659"/>
      <c r="M14" s="1659"/>
      <c r="N14" s="205"/>
      <c r="O14" s="205"/>
      <c r="P14" s="205"/>
      <c r="Q14" s="205"/>
      <c r="R14" s="132" t="s">
        <v>3250</v>
      </c>
      <c r="S14" s="105"/>
      <c r="T14" s="105"/>
      <c r="U14" s="105"/>
      <c r="V14" s="105"/>
      <c r="W14" s="90"/>
      <c r="X14" s="90"/>
      <c r="Y14" s="90"/>
      <c r="Z14" s="210"/>
    </row>
    <row r="15" spans="1:32" ht="15" customHeight="1">
      <c r="A15" s="1685"/>
      <c r="B15" s="1692">
        <v>3</v>
      </c>
      <c r="C15" s="3062" t="str">
        <f>IF('[1]Recommended Measures'!$D$3="", "", '[1]Recommended Measures'!$D$3)</f>
        <v/>
      </c>
      <c r="D15" s="3063"/>
      <c r="E15" s="3063"/>
      <c r="F15" s="3063"/>
      <c r="G15" s="3063"/>
      <c r="H15" s="3063"/>
      <c r="I15" s="3063"/>
      <c r="J15" s="3063"/>
      <c r="K15" s="3063"/>
      <c r="L15" s="1685"/>
      <c r="M15" s="1685"/>
      <c r="N15" s="205"/>
      <c r="O15" s="205"/>
      <c r="P15" s="205"/>
      <c r="Q15" s="205"/>
      <c r="R15" s="132" t="s">
        <v>3248</v>
      </c>
      <c r="S15" s="105"/>
      <c r="T15" s="105"/>
      <c r="U15" s="105"/>
      <c r="V15" s="105"/>
      <c r="W15" s="90"/>
      <c r="X15" s="90"/>
      <c r="Y15" s="90"/>
      <c r="Z15" s="210"/>
    </row>
    <row r="16" spans="1:32" ht="15" customHeight="1">
      <c r="A16" s="1685"/>
      <c r="B16" s="1692">
        <v>4</v>
      </c>
      <c r="C16" s="3062" t="str">
        <f>IF('[1]Recommended Measures'!$D$4="", "", '[1]Recommended Measures'!$D$4)</f>
        <v/>
      </c>
      <c r="D16" s="3063"/>
      <c r="E16" s="3063"/>
      <c r="F16" s="3063"/>
      <c r="G16" s="3063"/>
      <c r="H16" s="3063"/>
      <c r="I16" s="3063"/>
      <c r="J16" s="3063"/>
      <c r="K16" s="3063"/>
      <c r="L16" s="1685"/>
      <c r="M16" s="1685"/>
      <c r="N16" s="205"/>
      <c r="O16" s="205"/>
      <c r="P16" s="205"/>
      <c r="Q16" s="205"/>
      <c r="R16" s="132" t="s">
        <v>3249</v>
      </c>
      <c r="Z16" s="210"/>
    </row>
    <row r="17" spans="1:26" ht="15" customHeight="1">
      <c r="A17" s="1685"/>
      <c r="B17" s="1692">
        <v>5</v>
      </c>
      <c r="C17" s="3062" t="str">
        <f>IF('[1]Recommended Measures'!$D$5="", "", '[1]Recommended Measures'!$D$5)</f>
        <v/>
      </c>
      <c r="D17" s="3063"/>
      <c r="E17" s="3063"/>
      <c r="F17" s="3063"/>
      <c r="G17" s="3063"/>
      <c r="H17" s="3063"/>
      <c r="I17" s="3063"/>
      <c r="J17" s="3063"/>
      <c r="K17" s="3063"/>
      <c r="L17" s="1685"/>
      <c r="M17" s="1685"/>
      <c r="N17" s="205"/>
      <c r="O17" s="205"/>
      <c r="P17" s="205"/>
      <c r="Q17" s="205"/>
      <c r="R17" s="132" t="s">
        <v>410</v>
      </c>
      <c r="S17" s="105"/>
      <c r="T17" s="105"/>
      <c r="U17" s="105"/>
      <c r="V17" s="105"/>
      <c r="W17" s="90"/>
      <c r="X17" s="90"/>
      <c r="Y17" s="90"/>
      <c r="Z17" s="210"/>
    </row>
    <row r="18" spans="1:26" ht="15" customHeight="1">
      <c r="A18" s="1685"/>
      <c r="B18" s="1692">
        <v>6</v>
      </c>
      <c r="C18" s="3062" t="str">
        <f>IF('[1]Recommended Measures'!$D$6="", "", '[1]Recommended Measures'!$D$6)</f>
        <v/>
      </c>
      <c r="D18" s="3063"/>
      <c r="E18" s="3063"/>
      <c r="F18" s="3063"/>
      <c r="G18" s="3063"/>
      <c r="H18" s="3063"/>
      <c r="I18" s="3063"/>
      <c r="J18" s="3063"/>
      <c r="K18" s="3063"/>
      <c r="L18" s="1685"/>
      <c r="M18" s="1685"/>
      <c r="N18" s="205"/>
      <c r="O18" s="205"/>
      <c r="P18" s="205"/>
      <c r="Q18" s="205"/>
      <c r="R18" s="132" t="s">
        <v>411</v>
      </c>
      <c r="S18" s="105"/>
      <c r="T18" s="105"/>
      <c r="U18" s="105"/>
      <c r="V18" s="105"/>
      <c r="W18" s="90"/>
      <c r="X18" s="90"/>
      <c r="Y18" s="90"/>
      <c r="Z18" s="210"/>
    </row>
    <row r="19" spans="1:26" ht="15" customHeight="1">
      <c r="A19" s="1685"/>
      <c r="B19" s="1692">
        <v>7</v>
      </c>
      <c r="C19" s="3062" t="str">
        <f>IF('[1]Recommended Measures'!$D$7="", "", '[1]Recommended Measures'!$D$7)</f>
        <v/>
      </c>
      <c r="D19" s="3063"/>
      <c r="E19" s="3063"/>
      <c r="F19" s="3063"/>
      <c r="G19" s="3063"/>
      <c r="H19" s="3063"/>
      <c r="I19" s="3063"/>
      <c r="J19" s="3063"/>
      <c r="K19" s="3063"/>
      <c r="L19" s="1685"/>
      <c r="M19" s="1685"/>
      <c r="N19" s="205"/>
      <c r="O19" s="205"/>
      <c r="P19" s="205"/>
      <c r="Q19" s="205"/>
      <c r="R19" s="132" t="s">
        <v>3742</v>
      </c>
      <c r="S19" s="105"/>
      <c r="T19" s="105"/>
      <c r="U19" s="105"/>
      <c r="V19" s="105"/>
      <c r="W19" s="90"/>
      <c r="X19" s="90"/>
      <c r="Y19" s="90"/>
      <c r="Z19" s="210"/>
    </row>
    <row r="20" spans="1:26" ht="15" customHeight="1">
      <c r="A20" s="1685"/>
      <c r="B20" s="1692">
        <v>8</v>
      </c>
      <c r="C20" s="3062" t="str">
        <f>IF('[1]Recommended Measures'!$D$8="", "", '[1]Recommended Measures'!$D$8)</f>
        <v/>
      </c>
      <c r="D20" s="3063"/>
      <c r="E20" s="3063"/>
      <c r="F20" s="3063"/>
      <c r="G20" s="3063"/>
      <c r="H20" s="3063"/>
      <c r="I20" s="3063"/>
      <c r="J20" s="3063"/>
      <c r="K20" s="3063"/>
      <c r="L20" s="1685"/>
      <c r="M20" s="1685"/>
      <c r="N20" s="205"/>
      <c r="O20" s="205"/>
      <c r="P20" s="205"/>
      <c r="Q20" s="205"/>
      <c r="R20" s="132" t="s">
        <v>412</v>
      </c>
      <c r="S20" s="105"/>
      <c r="T20" s="105"/>
      <c r="U20" s="105"/>
      <c r="V20" s="105"/>
      <c r="W20" s="90"/>
      <c r="X20" s="90"/>
      <c r="Y20" s="90"/>
      <c r="Z20" s="210"/>
    </row>
    <row r="21" spans="1:26" ht="15" customHeight="1">
      <c r="A21" s="1685"/>
      <c r="B21" s="1692">
        <v>9</v>
      </c>
      <c r="C21" s="3062" t="str">
        <f>IF('[1]Recommended Measures'!$D$9="", "", '[1]Recommended Measures'!$D$9)</f>
        <v/>
      </c>
      <c r="D21" s="3063"/>
      <c r="E21" s="3063"/>
      <c r="F21" s="3063"/>
      <c r="G21" s="3063"/>
      <c r="H21" s="3063"/>
      <c r="I21" s="3063"/>
      <c r="J21" s="3063"/>
      <c r="K21" s="3063"/>
      <c r="L21" s="1685"/>
      <c r="M21" s="1685"/>
      <c r="N21" s="205"/>
      <c r="O21" s="205"/>
      <c r="P21" s="205"/>
      <c r="Q21" s="205"/>
      <c r="R21" s="132" t="s">
        <v>234</v>
      </c>
      <c r="S21" s="105"/>
      <c r="T21" s="105"/>
      <c r="U21" s="105"/>
      <c r="V21" s="105"/>
      <c r="W21" s="90"/>
      <c r="X21" s="90"/>
      <c r="Y21" s="90"/>
      <c r="Z21" s="210"/>
    </row>
    <row r="22" spans="1:26" ht="15" customHeight="1">
      <c r="A22" s="1685"/>
      <c r="B22" s="1692">
        <v>10</v>
      </c>
      <c r="C22" s="3062" t="str">
        <f>IF('[1]Recommended Measures'!$D$10="", "", '[1]Recommended Measures'!$D$10)</f>
        <v/>
      </c>
      <c r="D22" s="3063"/>
      <c r="E22" s="3063"/>
      <c r="F22" s="3063"/>
      <c r="G22" s="3063"/>
      <c r="H22" s="3063"/>
      <c r="I22" s="3063"/>
      <c r="J22" s="3063"/>
      <c r="K22" s="3063"/>
      <c r="L22" s="1685"/>
      <c r="M22" s="1685"/>
      <c r="N22" s="205"/>
      <c r="O22" s="205"/>
      <c r="P22" s="205"/>
      <c r="Q22" s="205"/>
      <c r="R22" s="132" t="s">
        <v>413</v>
      </c>
      <c r="S22" s="105"/>
      <c r="T22" s="105"/>
      <c r="U22" s="105"/>
      <c r="V22" s="105"/>
      <c r="W22" s="90"/>
      <c r="X22" s="90"/>
      <c r="Y22" s="90"/>
      <c r="Z22" s="210"/>
    </row>
    <row r="23" spans="1:26" ht="15" customHeight="1">
      <c r="A23" s="1685"/>
      <c r="B23" s="1692">
        <v>11</v>
      </c>
      <c r="C23" s="3062" t="str">
        <f>IF('[1]Recommended Measures'!$D$11="", "", '[1]Recommended Measures'!$D$11)</f>
        <v/>
      </c>
      <c r="D23" s="3063"/>
      <c r="E23" s="3063"/>
      <c r="F23" s="3063"/>
      <c r="G23" s="3063"/>
      <c r="H23" s="3063"/>
      <c r="I23" s="3063"/>
      <c r="J23" s="3063"/>
      <c r="K23" s="3063"/>
      <c r="L23" s="1685"/>
      <c r="M23" s="1685"/>
      <c r="N23" s="205"/>
      <c r="O23" s="205"/>
      <c r="P23" s="205"/>
      <c r="Q23" s="205"/>
      <c r="R23" s="132" t="s">
        <v>414</v>
      </c>
      <c r="S23" s="105"/>
      <c r="T23" s="105"/>
      <c r="U23" s="105"/>
      <c r="V23" s="105"/>
      <c r="W23" s="90"/>
      <c r="X23" s="90"/>
      <c r="Y23" s="90"/>
      <c r="Z23" s="210"/>
    </row>
    <row r="24" spans="1:26" ht="15" customHeight="1">
      <c r="A24" s="1685"/>
      <c r="B24" s="1692">
        <v>12</v>
      </c>
      <c r="C24" s="3062" t="str">
        <f>IF('[1]Recommended Measures'!$D$12="", "", '[1]Recommended Measures'!$D$12)</f>
        <v/>
      </c>
      <c r="D24" s="3063"/>
      <c r="E24" s="3063"/>
      <c r="F24" s="3063"/>
      <c r="G24" s="3063"/>
      <c r="H24" s="3063"/>
      <c r="I24" s="3063"/>
      <c r="J24" s="3063"/>
      <c r="K24" s="3063"/>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1" t="s">
        <v>3704</v>
      </c>
      <c r="C26" s="3061"/>
      <c r="D26" s="3061"/>
      <c r="E26" s="3061"/>
      <c r="F26" s="3061"/>
      <c r="G26" s="3061"/>
      <c r="H26" s="3061"/>
      <c r="I26" s="3061"/>
      <c r="J26" s="3061"/>
      <c r="K26" s="3061"/>
      <c r="L26" s="1685"/>
      <c r="M26" s="1685"/>
      <c r="N26" s="205"/>
      <c r="O26" s="205"/>
      <c r="P26" s="205"/>
      <c r="Q26" s="205"/>
      <c r="R26" s="211" t="s">
        <v>2519</v>
      </c>
      <c r="S26" s="105"/>
      <c r="T26" s="105"/>
      <c r="U26" s="105"/>
      <c r="V26" s="105"/>
      <c r="W26" s="90"/>
      <c r="X26" s="90"/>
      <c r="Y26" s="90"/>
      <c r="Z26" s="210"/>
    </row>
    <row r="27" spans="1:26" ht="15" customHeight="1">
      <c r="A27" s="1685"/>
      <c r="B27" s="1692">
        <v>1</v>
      </c>
      <c r="C27" s="3064" t="str">
        <f>IFERROR(VLOOKUP('[1]No Cost Low Cost Measures'!$D$1, '[1]No Cost Low Cost Measures'!$I$1:$X$19, 2, FALSE), "")</f>
        <v/>
      </c>
      <c r="D27" s="3064"/>
      <c r="E27" s="3064"/>
      <c r="F27" s="3064"/>
      <c r="G27" s="3064"/>
      <c r="H27" s="3064"/>
      <c r="I27" s="3064"/>
      <c r="J27" s="3064"/>
      <c r="K27" s="3064"/>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64" t="str">
        <f>IFERROR(VLOOKUP('[1]No Cost Low Cost Measures'!$D$2, '[1]No Cost Low Cost Measures'!$I$1:$X$19, 2, FALSE), "")</f>
        <v/>
      </c>
      <c r="D28" s="3064"/>
      <c r="E28" s="3064"/>
      <c r="F28" s="3064"/>
      <c r="G28" s="3064"/>
      <c r="H28" s="3064"/>
      <c r="I28" s="3064"/>
      <c r="J28" s="3064"/>
      <c r="K28" s="3064"/>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64" t="str">
        <f>IFERROR(VLOOKUP('[1]No Cost Low Cost Measures'!$D$3, '[1]No Cost Low Cost Measures'!$I$1:$X$19, 2, FALSE), "")</f>
        <v/>
      </c>
      <c r="D29" s="3064"/>
      <c r="E29" s="3064"/>
      <c r="F29" s="3064"/>
      <c r="G29" s="3064"/>
      <c r="H29" s="3064"/>
      <c r="I29" s="3064"/>
      <c r="J29" s="3064"/>
      <c r="K29" s="3064"/>
      <c r="L29" s="1685"/>
      <c r="M29" s="1685" t="str">
        <f t="shared" si="0"/>
        <v/>
      </c>
      <c r="R29" s="132" t="s">
        <v>2306</v>
      </c>
      <c r="S29" s="105"/>
      <c r="T29" s="105"/>
      <c r="U29" s="105"/>
      <c r="V29" s="105"/>
      <c r="W29" s="90"/>
      <c r="X29" s="90"/>
      <c r="Y29" s="90"/>
      <c r="Z29" s="210"/>
    </row>
    <row r="30" spans="1:26" ht="15" customHeight="1">
      <c r="A30" s="1685"/>
      <c r="B30" s="1692">
        <v>4</v>
      </c>
      <c r="C30" s="3064" t="str">
        <f>IFERROR(VLOOKUP('[1]No Cost Low Cost Measures'!$D$4, '[1]No Cost Low Cost Measures'!$I$1:$X$19, 2, FALSE), "")</f>
        <v/>
      </c>
      <c r="D30" s="3064"/>
      <c r="E30" s="3064"/>
      <c r="F30" s="3064"/>
      <c r="G30" s="3064"/>
      <c r="H30" s="3064"/>
      <c r="I30" s="3064"/>
      <c r="J30" s="3064"/>
      <c r="K30" s="3064"/>
      <c r="L30" s="1685"/>
      <c r="M30" s="1685" t="str">
        <f t="shared" si="0"/>
        <v/>
      </c>
      <c r="R30" s="132" t="s">
        <v>3806</v>
      </c>
      <c r="S30" s="105"/>
      <c r="T30" s="105"/>
      <c r="U30" s="105"/>
      <c r="V30" s="105"/>
      <c r="W30" s="90"/>
      <c r="X30" s="90"/>
      <c r="Y30" s="90"/>
      <c r="Z30" s="210"/>
    </row>
    <row r="31" spans="1:26" ht="15" customHeight="1">
      <c r="A31" s="1685"/>
      <c r="B31" s="1692">
        <v>5</v>
      </c>
      <c r="C31" s="3064" t="str">
        <f>IFERROR(VLOOKUP('[1]No Cost Low Cost Measures'!$D$5, '[1]No Cost Low Cost Measures'!$I$1:$X$19, 2, FALSE), "")</f>
        <v/>
      </c>
      <c r="D31" s="3064"/>
      <c r="E31" s="3064"/>
      <c r="F31" s="3064"/>
      <c r="G31" s="3064"/>
      <c r="H31" s="3064"/>
      <c r="I31" s="3064"/>
      <c r="J31" s="3064"/>
      <c r="K31" s="3064"/>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64" t="str">
        <f>IFERROR(VLOOKUP('[1]No Cost Low Cost Measures'!$D$6, '[1]No Cost Low Cost Measures'!$I$1:$X$19, 2, FALSE), "")</f>
        <v/>
      </c>
      <c r="D32" s="3064"/>
      <c r="E32" s="3064"/>
      <c r="F32" s="3064"/>
      <c r="G32" s="3064"/>
      <c r="H32" s="3064"/>
      <c r="I32" s="3064"/>
      <c r="J32" s="3064"/>
      <c r="K32" s="3064"/>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61" t="s">
        <v>2247</v>
      </c>
      <c r="C34" s="3061"/>
      <c r="D34" s="3061"/>
      <c r="E34" s="3061"/>
      <c r="F34" s="3061"/>
      <c r="G34" s="3061"/>
      <c r="H34" s="3061"/>
      <c r="I34" s="3061"/>
      <c r="J34" s="3061"/>
      <c r="K34" s="3061"/>
      <c r="L34" s="1659"/>
      <c r="M34" s="1659"/>
      <c r="N34" s="205"/>
      <c r="O34" s="205"/>
      <c r="P34" s="205"/>
      <c r="Q34" s="205"/>
      <c r="R34" s="132" t="s">
        <v>3670</v>
      </c>
      <c r="S34" s="105"/>
      <c r="T34" s="105"/>
      <c r="U34" s="105"/>
      <c r="V34" s="105"/>
      <c r="W34" s="90"/>
      <c r="X34" s="90"/>
      <c r="Y34" s="90"/>
      <c r="Z34" s="210"/>
    </row>
    <row r="35" spans="1:41">
      <c r="A35" s="1685"/>
      <c r="B35" s="1692">
        <v>1</v>
      </c>
      <c r="C35" s="3064" t="str">
        <f>IF('[1]No Cost Low Cost Measures'!$A$23="", "", '[1]No Cost Low Cost Measures'!$A$23)</f>
        <v/>
      </c>
      <c r="D35" s="3064"/>
      <c r="E35" s="3064"/>
      <c r="F35" s="3064"/>
      <c r="G35" s="3064"/>
      <c r="H35" s="3064"/>
      <c r="I35" s="3064"/>
      <c r="J35" s="3064"/>
      <c r="K35" s="3064"/>
      <c r="L35" s="1659"/>
      <c r="M35" s="1659"/>
      <c r="N35" s="205"/>
      <c r="O35" s="205"/>
      <c r="P35" s="205"/>
      <c r="Q35" s="205"/>
      <c r="R35" s="211"/>
      <c r="S35" s="105"/>
      <c r="T35" s="105"/>
      <c r="U35" s="105"/>
      <c r="V35" s="105"/>
      <c r="W35" s="90"/>
      <c r="X35" s="90"/>
      <c r="Y35" s="90"/>
      <c r="Z35" s="210"/>
    </row>
    <row r="36" spans="1:41" ht="13.95" customHeight="1">
      <c r="A36" s="1685"/>
      <c r="B36" s="1692">
        <v>2</v>
      </c>
      <c r="C36" s="3064" t="str">
        <f>IF('[1]No Cost Low Cost Measures'!$A$24="", "", '[1]No Cost Low Cost Measures'!$A$24)</f>
        <v/>
      </c>
      <c r="D36" s="3064"/>
      <c r="E36" s="3064"/>
      <c r="F36" s="3064"/>
      <c r="G36" s="3064"/>
      <c r="H36" s="3064"/>
      <c r="I36" s="3064"/>
      <c r="J36" s="3064"/>
      <c r="K36" s="3064"/>
      <c r="L36" s="1685"/>
      <c r="M36" s="1685"/>
      <c r="N36" s="205"/>
      <c r="O36" s="205"/>
      <c r="P36" s="205"/>
      <c r="Q36" s="205"/>
      <c r="R36" s="133" t="s">
        <v>3692</v>
      </c>
      <c r="S36" s="107"/>
      <c r="T36" s="107"/>
      <c r="U36" s="107"/>
      <c r="V36" s="107"/>
      <c r="W36" s="93"/>
      <c r="X36" s="93"/>
      <c r="Y36" s="93"/>
      <c r="Z36" s="189"/>
    </row>
    <row r="37" spans="1:41">
      <c r="A37" s="1685"/>
      <c r="B37" s="1692">
        <v>3</v>
      </c>
      <c r="C37" s="3064" t="str">
        <f>IF('[1]No Cost Low Cost Measures'!$A$25="", "", '[1]No Cost Low Cost Measures'!$A$25)</f>
        <v/>
      </c>
      <c r="D37" s="3064"/>
      <c r="E37" s="3064"/>
      <c r="F37" s="3064"/>
      <c r="G37" s="3064"/>
      <c r="H37" s="3064"/>
      <c r="I37" s="3064"/>
      <c r="J37" s="3064"/>
      <c r="K37" s="3064"/>
      <c r="L37" s="1685"/>
      <c r="M37" s="1685"/>
      <c r="N37" s="205"/>
      <c r="O37" s="205"/>
      <c r="P37" s="205"/>
      <c r="Q37" s="205"/>
      <c r="S37" s="105"/>
      <c r="T37" s="105"/>
      <c r="U37" s="105"/>
      <c r="V37" s="105"/>
      <c r="W37" s="90"/>
      <c r="X37" s="90"/>
      <c r="Y37" s="90"/>
      <c r="Z37" s="90"/>
      <c r="AA37" s="90"/>
    </row>
    <row r="38" spans="1:41">
      <c r="A38" s="1685"/>
      <c r="B38" s="1692"/>
      <c r="C38" s="3061"/>
      <c r="D38" s="3061"/>
      <c r="E38" s="3061"/>
      <c r="F38" s="3061"/>
      <c r="G38" s="3061"/>
      <c r="H38" s="3061"/>
      <c r="I38" s="3061"/>
      <c r="J38" s="3061"/>
      <c r="K38" s="3061"/>
      <c r="L38" s="1685"/>
      <c r="M38" s="1685"/>
      <c r="N38" s="205"/>
      <c r="O38" s="205"/>
      <c r="P38" s="205"/>
      <c r="Q38" s="205"/>
      <c r="S38" s="105"/>
      <c r="T38" s="105"/>
      <c r="U38" s="105"/>
      <c r="V38" s="105"/>
      <c r="W38" s="90"/>
      <c r="X38" s="90"/>
      <c r="Y38" s="90"/>
    </row>
    <row r="39" spans="1:41">
      <c r="A39" s="1685"/>
      <c r="B39" s="1692"/>
      <c r="C39" s="3061"/>
      <c r="D39" s="3061"/>
      <c r="E39" s="3061"/>
      <c r="F39" s="3061"/>
      <c r="G39" s="3061"/>
      <c r="H39" s="3061"/>
      <c r="I39" s="3061"/>
      <c r="J39" s="3061"/>
      <c r="K39" s="3061"/>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57" t="s">
        <v>3236</v>
      </c>
      <c r="S46" s="3058"/>
      <c r="T46" s="3058"/>
      <c r="U46" s="3058"/>
      <c r="V46" s="3058"/>
      <c r="W46" s="3058"/>
      <c r="X46" s="3058"/>
      <c r="Y46" s="3058"/>
      <c r="Z46" s="3058"/>
      <c r="AA46" s="3058"/>
      <c r="AB46" s="3058"/>
      <c r="AC46" s="3058"/>
      <c r="AD46" s="3058"/>
      <c r="AE46" s="3058"/>
      <c r="AF46" s="2959">
        <v>10</v>
      </c>
      <c r="AG46" s="3080" t="s">
        <v>3406</v>
      </c>
      <c r="AH46" s="3080"/>
      <c r="AI46" s="3080"/>
      <c r="AJ46" s="3080"/>
      <c r="AK46" s="3080"/>
      <c r="AL46" s="3080"/>
      <c r="AM46" s="3080"/>
      <c r="AN46" s="3080"/>
      <c r="AO46" s="3080"/>
    </row>
    <row r="47" spans="1:41" ht="14.25" customHeight="1">
      <c r="A47" s="1685"/>
      <c r="B47" s="1690"/>
      <c r="C47" s="1690"/>
      <c r="D47" s="1690"/>
      <c r="E47" s="1690"/>
      <c r="F47" s="1690"/>
      <c r="G47" s="1690"/>
      <c r="H47" s="1690"/>
      <c r="I47" s="1690"/>
      <c r="J47" s="1690"/>
      <c r="K47" s="1690"/>
      <c r="L47" s="1685"/>
      <c r="M47" s="1685"/>
      <c r="N47" s="205"/>
      <c r="O47" s="205"/>
      <c r="P47" s="205"/>
      <c r="Q47" s="205"/>
      <c r="R47" s="3057" t="s">
        <v>3237</v>
      </c>
      <c r="S47" s="3058"/>
      <c r="T47" s="3058"/>
      <c r="U47" s="3058"/>
      <c r="V47" s="3058"/>
      <c r="W47" s="3058"/>
      <c r="X47" s="3058"/>
      <c r="Y47" s="3058"/>
      <c r="Z47" s="3058"/>
      <c r="AA47" s="3058"/>
      <c r="AB47" s="3058"/>
      <c r="AC47" s="3058"/>
      <c r="AD47" s="3058"/>
      <c r="AE47" s="3058"/>
      <c r="AF47" s="2959">
        <v>10</v>
      </c>
      <c r="AG47" s="3080" t="s">
        <v>3300</v>
      </c>
      <c r="AH47" s="3080"/>
      <c r="AI47" s="3080"/>
      <c r="AJ47" s="3080"/>
      <c r="AK47" s="3080"/>
      <c r="AL47" s="3080"/>
      <c r="AM47" s="3080"/>
      <c r="AN47" s="3081"/>
      <c r="AO47" s="3081"/>
    </row>
    <row r="48" spans="1:41" ht="15" customHeight="1">
      <c r="A48" s="1685"/>
      <c r="B48" s="1690"/>
      <c r="C48" s="1690"/>
      <c r="D48" s="1690"/>
      <c r="E48" s="1690"/>
      <c r="F48" s="1690"/>
      <c r="G48" s="1690"/>
      <c r="H48" s="1690"/>
      <c r="I48" s="1690"/>
      <c r="J48" s="1690"/>
      <c r="K48" s="1690"/>
      <c r="L48" s="1685"/>
      <c r="M48" s="1685"/>
      <c r="N48" s="205"/>
      <c r="O48" s="205"/>
      <c r="P48" s="205"/>
      <c r="Q48" s="205"/>
      <c r="R48" s="3065" t="s">
        <v>3238</v>
      </c>
      <c r="S48" s="3065"/>
      <c r="T48" s="3065"/>
      <c r="U48" s="3065"/>
      <c r="V48" s="3065"/>
      <c r="W48" s="3065"/>
      <c r="X48" s="3065"/>
      <c r="Y48" s="3065"/>
      <c r="Z48" s="3065"/>
      <c r="AA48" s="3065"/>
      <c r="AB48" s="3065"/>
      <c r="AC48" s="3065"/>
      <c r="AD48" s="3065"/>
      <c r="AE48" s="3065"/>
      <c r="AF48" s="2957">
        <v>10</v>
      </c>
      <c r="AG48" s="3080" t="s">
        <v>3298</v>
      </c>
      <c r="AH48" s="3080"/>
      <c r="AI48" s="3080"/>
      <c r="AJ48" s="3080"/>
      <c r="AK48" s="3080"/>
      <c r="AL48" s="3080"/>
      <c r="AM48" s="3082"/>
      <c r="AN48" s="3082"/>
      <c r="AO48" s="3082"/>
    </row>
    <row r="49" spans="1:41" ht="15" customHeight="1">
      <c r="A49" s="1685"/>
      <c r="B49" s="1690"/>
      <c r="C49" s="1690"/>
      <c r="D49" s="1690"/>
      <c r="E49" s="1690"/>
      <c r="F49" s="1690"/>
      <c r="G49" s="1690"/>
      <c r="H49" s="1690"/>
      <c r="I49" s="1690"/>
      <c r="J49" s="1690"/>
      <c r="K49" s="1690"/>
      <c r="L49" s="1685"/>
      <c r="M49" s="1685"/>
      <c r="N49" s="205"/>
      <c r="O49" s="205"/>
      <c r="P49" s="205"/>
      <c r="Q49" s="205"/>
      <c r="R49" s="3077" t="s">
        <v>3239</v>
      </c>
      <c r="S49" s="3078"/>
      <c r="T49" s="3078"/>
      <c r="U49" s="3078"/>
      <c r="V49" s="3078"/>
      <c r="W49" s="3078"/>
      <c r="X49" s="3078"/>
      <c r="Y49" s="3078"/>
      <c r="Z49" s="3078"/>
      <c r="AA49" s="3078"/>
      <c r="AB49" s="3078"/>
      <c r="AC49" s="3078"/>
      <c r="AD49" s="3078"/>
      <c r="AE49" s="3079"/>
      <c r="AF49" s="2957">
        <v>10</v>
      </c>
      <c r="AG49" s="3080" t="s">
        <v>3404</v>
      </c>
      <c r="AH49" s="3080"/>
      <c r="AI49" s="3080"/>
      <c r="AJ49" s="3080"/>
      <c r="AK49" s="3080"/>
      <c r="AL49" s="3080"/>
      <c r="AM49" s="3080"/>
      <c r="AN49" s="3080"/>
      <c r="AO49" s="3080"/>
    </row>
    <row r="50" spans="1:41" ht="15" customHeight="1">
      <c r="A50" s="1685"/>
      <c r="B50" s="1690"/>
      <c r="C50" s="1690"/>
      <c r="D50" s="1690"/>
      <c r="E50" s="1690"/>
      <c r="F50" s="1690"/>
      <c r="G50" s="1690"/>
      <c r="H50" s="1690"/>
      <c r="I50" s="1690"/>
      <c r="J50" s="1690"/>
      <c r="K50" s="1690"/>
      <c r="L50" s="1685"/>
      <c r="M50" s="1685"/>
      <c r="N50" s="205"/>
      <c r="O50" s="205"/>
      <c r="P50" s="205"/>
      <c r="Q50" s="205"/>
      <c r="R50" s="3077" t="s">
        <v>3240</v>
      </c>
      <c r="S50" s="3078"/>
      <c r="T50" s="3078"/>
      <c r="U50" s="3078"/>
      <c r="V50" s="3078"/>
      <c r="W50" s="3078"/>
      <c r="X50" s="3078"/>
      <c r="Y50" s="3078"/>
      <c r="Z50" s="3078"/>
      <c r="AA50" s="3078"/>
      <c r="AB50" s="3078"/>
      <c r="AC50" s="3078"/>
      <c r="AD50" s="3078"/>
      <c r="AE50" s="3079"/>
      <c r="AF50" s="2957">
        <v>10</v>
      </c>
      <c r="AG50" s="3080" t="s">
        <v>3405</v>
      </c>
      <c r="AH50" s="3080"/>
      <c r="AI50" s="3080"/>
      <c r="AJ50" s="3080"/>
      <c r="AK50" s="3080"/>
      <c r="AL50" s="3080"/>
      <c r="AM50" s="3080"/>
      <c r="AN50" s="3080"/>
      <c r="AO50" s="3080"/>
    </row>
    <row r="51" spans="1:41" ht="9" customHeight="1">
      <c r="A51" s="1685"/>
      <c r="B51" s="1690"/>
      <c r="C51" s="1690"/>
      <c r="D51" s="1695"/>
      <c r="E51" s="1690"/>
      <c r="F51" s="1690"/>
      <c r="G51" s="1690"/>
      <c r="H51" s="1690"/>
      <c r="I51" s="1690"/>
      <c r="J51" s="1690"/>
      <c r="K51" s="1690"/>
      <c r="L51" s="1685"/>
      <c r="M51" s="1685"/>
      <c r="N51" s="205"/>
      <c r="O51" s="205"/>
      <c r="P51" s="205"/>
      <c r="Q51" s="205"/>
      <c r="R51" s="3075" t="s">
        <v>3726</v>
      </c>
      <c r="S51" s="3076"/>
      <c r="T51" s="3076"/>
      <c r="U51" s="3076"/>
      <c r="V51" s="3076"/>
      <c r="W51" s="3076"/>
      <c r="X51" s="3076"/>
      <c r="Y51" s="3076"/>
      <c r="Z51" s="3076"/>
      <c r="AA51" s="3076"/>
      <c r="AB51" s="3076"/>
      <c r="AC51" s="3076"/>
      <c r="AD51" s="3076"/>
      <c r="AE51" s="3076"/>
      <c r="AF51" s="2957">
        <v>10</v>
      </c>
      <c r="AG51" s="3080" t="s">
        <v>3760</v>
      </c>
      <c r="AH51" s="3080"/>
      <c r="AI51" s="3080"/>
      <c r="AJ51" s="3080"/>
      <c r="AK51" s="3080"/>
      <c r="AL51" s="3080"/>
      <c r="AM51" s="3080"/>
      <c r="AN51" s="3080"/>
      <c r="AO51" s="3080"/>
    </row>
    <row r="52" spans="1:41" ht="15.75" customHeight="1">
      <c r="A52" s="1685"/>
      <c r="B52" s="3073" t="s">
        <v>3438</v>
      </c>
      <c r="C52" s="3073"/>
      <c r="D52" s="3073"/>
      <c r="E52" s="3073"/>
      <c r="F52" s="3073"/>
      <c r="G52" s="3073"/>
      <c r="H52" s="3073"/>
      <c r="I52" s="3073"/>
      <c r="J52" s="3073"/>
      <c r="K52" s="3073"/>
      <c r="L52" s="1685"/>
      <c r="M52" s="1685"/>
      <c r="N52" s="205"/>
      <c r="O52" s="205"/>
      <c r="P52" s="205"/>
      <c r="Q52" s="205"/>
      <c r="R52" s="3065" t="s">
        <v>3724</v>
      </c>
      <c r="S52" s="3065"/>
      <c r="T52" s="3065"/>
      <c r="U52" s="3065"/>
      <c r="V52" s="3065"/>
      <c r="W52" s="3065"/>
      <c r="X52" s="3065"/>
      <c r="Y52" s="3065"/>
      <c r="Z52" s="3065"/>
      <c r="AA52" s="3065"/>
      <c r="AB52" s="3065"/>
      <c r="AC52" s="3065"/>
      <c r="AD52" s="3065"/>
      <c r="AE52" s="3065"/>
      <c r="AF52" s="2957">
        <v>10</v>
      </c>
      <c r="AG52" s="3080" t="s">
        <v>3407</v>
      </c>
      <c r="AH52" s="3080"/>
      <c r="AI52" s="3080"/>
      <c r="AJ52" s="3080"/>
      <c r="AK52" s="3080"/>
      <c r="AL52" s="3080"/>
      <c r="AM52" s="3080"/>
      <c r="AN52" s="3080"/>
      <c r="AO52" s="308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5" t="s">
        <v>3723</v>
      </c>
      <c r="S54" s="3065"/>
      <c r="T54" s="3065"/>
      <c r="U54" s="3065"/>
      <c r="V54" s="3065"/>
      <c r="W54" s="3065"/>
      <c r="X54" s="3065"/>
      <c r="Y54" s="3065"/>
      <c r="Z54" s="3065"/>
      <c r="AA54" s="3065"/>
      <c r="AB54" s="3065"/>
      <c r="AC54" s="3065"/>
      <c r="AD54" s="3065"/>
      <c r="AE54" s="3065"/>
      <c r="AF54" s="2957">
        <v>10</v>
      </c>
      <c r="AG54" s="3080" t="s">
        <v>3752</v>
      </c>
      <c r="AH54" s="3080"/>
      <c r="AI54" s="3080"/>
      <c r="AJ54" s="3080"/>
      <c r="AK54" s="3080"/>
      <c r="AL54" s="3080"/>
      <c r="AM54" s="3080"/>
      <c r="AN54" s="3080"/>
      <c r="AO54" s="3080"/>
    </row>
    <row r="55" spans="1:41" ht="15" customHeight="1">
      <c r="A55" s="1685"/>
      <c r="B55" s="1819" t="s">
        <v>3861</v>
      </c>
      <c r="C55" s="2890"/>
      <c r="D55" s="2890"/>
      <c r="E55" s="1662"/>
      <c r="F55" s="2891">
        <f>SUM(M27:M32)</f>
        <v>0</v>
      </c>
      <c r="G55" s="1684">
        <f>F55*'R1 Sum'!E36</f>
        <v>0</v>
      </c>
      <c r="H55" s="1684">
        <v>0</v>
      </c>
      <c r="I55" s="1684">
        <v>0</v>
      </c>
      <c r="J55" s="1684">
        <v>0</v>
      </c>
      <c r="K55" s="1699" t="str">
        <f>IF(G55=0,"",J55/G55)</f>
        <v/>
      </c>
      <c r="L55" s="1685"/>
      <c r="M55" s="1685"/>
      <c r="N55" s="205"/>
      <c r="O55" s="205"/>
      <c r="P55" s="205"/>
      <c r="Q55" s="205"/>
      <c r="R55" s="3065" t="s">
        <v>3725</v>
      </c>
      <c r="S55" s="3065"/>
      <c r="T55" s="3065"/>
      <c r="U55" s="3065"/>
      <c r="V55" s="3065"/>
      <c r="W55" s="3065"/>
      <c r="X55" s="3065"/>
      <c r="Y55" s="3065"/>
      <c r="Z55" s="3065"/>
      <c r="AA55" s="3065"/>
      <c r="AB55" s="3065"/>
      <c r="AC55" s="3065"/>
      <c r="AD55" s="3065"/>
      <c r="AE55" s="3065"/>
      <c r="AF55" s="2959">
        <v>10</v>
      </c>
      <c r="AG55" s="3080" t="s">
        <v>3408</v>
      </c>
      <c r="AH55" s="3080"/>
      <c r="AI55" s="3080"/>
      <c r="AJ55" s="3080"/>
      <c r="AK55" s="3080"/>
      <c r="AL55" s="3080"/>
      <c r="AM55" s="3080"/>
      <c r="AN55" s="3080"/>
      <c r="AO55" s="308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57" t="s">
        <v>3244</v>
      </c>
      <c r="S56" s="3058"/>
      <c r="T56" s="3058"/>
      <c r="U56" s="3058"/>
      <c r="V56" s="3058"/>
      <c r="W56" s="3058"/>
      <c r="X56" s="3058"/>
      <c r="Y56" s="3058"/>
      <c r="Z56" s="3058"/>
      <c r="AA56" s="3058"/>
      <c r="AB56" s="3058"/>
      <c r="AC56" s="3058"/>
      <c r="AD56" s="3058"/>
      <c r="AE56" s="3058"/>
      <c r="AF56" s="2959">
        <v>147</v>
      </c>
      <c r="AG56" s="308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0"/>
      <c r="AI56" s="3080"/>
      <c r="AJ56" s="3080"/>
      <c r="AK56" s="3080"/>
      <c r="AL56" s="3080"/>
      <c r="AM56" s="3080"/>
      <c r="AN56" s="3080"/>
      <c r="AO56" s="308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57" t="s">
        <v>3737</v>
      </c>
      <c r="S57" s="3058"/>
      <c r="T57" s="3058"/>
      <c r="U57" s="3058"/>
      <c r="V57" s="3058"/>
      <c r="W57" s="3058"/>
      <c r="X57" s="3058"/>
      <c r="Y57" s="3058"/>
      <c r="Z57" s="3058"/>
      <c r="AA57" s="3058"/>
      <c r="AB57" s="3058"/>
      <c r="AC57" s="3058"/>
      <c r="AD57" s="3058"/>
      <c r="AE57" s="3058"/>
      <c r="AF57" s="2960">
        <v>21</v>
      </c>
      <c r="AG57" s="308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0"/>
      <c r="AI57" s="3080"/>
      <c r="AJ57" s="3080"/>
      <c r="AK57" s="3080"/>
      <c r="AL57" s="3080"/>
      <c r="AM57" s="3080"/>
      <c r="AN57" s="3080"/>
      <c r="AO57" s="308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57" t="s">
        <v>2249</v>
      </c>
      <c r="S58" s="3059"/>
      <c r="T58" s="3059"/>
      <c r="U58" s="3059"/>
      <c r="V58" s="3059"/>
      <c r="W58" s="3059"/>
      <c r="X58" s="3059"/>
      <c r="Y58" s="3059"/>
      <c r="Z58" s="3059"/>
      <c r="AA58" s="3059"/>
      <c r="AB58" s="3059"/>
      <c r="AC58" s="3059"/>
      <c r="AD58" s="3059"/>
      <c r="AE58" s="3059"/>
      <c r="AF58" s="2957">
        <v>10</v>
      </c>
      <c r="AG58" s="3080" t="s">
        <v>3299</v>
      </c>
      <c r="AH58" s="3080"/>
      <c r="AI58" s="3080"/>
      <c r="AJ58" s="3080"/>
      <c r="AK58" s="3080"/>
      <c r="AL58" s="3080"/>
      <c r="AM58" s="3080"/>
      <c r="AN58" s="3080"/>
      <c r="AO58" s="308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5" t="s">
        <v>3243</v>
      </c>
      <c r="S59" s="3065"/>
      <c r="T59" s="3065"/>
      <c r="U59" s="3065"/>
      <c r="V59" s="3065"/>
      <c r="W59" s="3065"/>
      <c r="X59" s="3065"/>
      <c r="Y59" s="3065"/>
      <c r="Z59" s="3065"/>
      <c r="AA59" s="3065"/>
      <c r="AB59" s="3065"/>
      <c r="AC59" s="3065"/>
      <c r="AD59" s="3065"/>
      <c r="AE59" s="3065"/>
      <c r="AF59" s="2959">
        <v>24</v>
      </c>
      <c r="AG59" s="3080" t="s">
        <v>3722</v>
      </c>
      <c r="AH59" s="3080"/>
      <c r="AI59" s="3080"/>
      <c r="AJ59" s="3080"/>
      <c r="AK59" s="3080"/>
      <c r="AL59" s="3080"/>
      <c r="AM59" s="3080"/>
      <c r="AN59" s="3080"/>
      <c r="AO59" s="308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57" t="s">
        <v>3245</v>
      </c>
      <c r="S60" s="3058"/>
      <c r="T60" s="3058"/>
      <c r="U60" s="3058"/>
      <c r="V60" s="3058"/>
      <c r="W60" s="3058"/>
      <c r="X60" s="3058"/>
      <c r="Y60" s="3058"/>
      <c r="Z60" s="3058"/>
      <c r="AA60" s="3058"/>
      <c r="AB60" s="3058"/>
      <c r="AC60" s="3058"/>
      <c r="AD60" s="3058"/>
      <c r="AE60" s="3058"/>
      <c r="AF60" s="2958">
        <v>60</v>
      </c>
      <c r="AG60" s="3080" t="s">
        <v>3727</v>
      </c>
      <c r="AH60" s="3080"/>
      <c r="AI60" s="3080"/>
      <c r="AJ60" s="3080"/>
      <c r="AK60" s="3080"/>
      <c r="AL60" s="3080"/>
      <c r="AM60" s="3080"/>
      <c r="AN60" s="3080"/>
      <c r="AO60" s="308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6" t="s">
        <v>3246</v>
      </c>
      <c r="S61" s="3056"/>
      <c r="T61" s="3056"/>
      <c r="U61" s="3056"/>
      <c r="V61" s="3056"/>
      <c r="W61" s="3056"/>
      <c r="X61" s="3056"/>
      <c r="Y61" s="3056"/>
      <c r="Z61" s="3056"/>
      <c r="AA61" s="3056"/>
      <c r="AB61" s="3056"/>
      <c r="AC61" s="3056"/>
      <c r="AD61" s="3056"/>
      <c r="AE61" s="3056"/>
      <c r="AF61" s="2957">
        <v>150</v>
      </c>
      <c r="AG61" s="3080" t="s">
        <v>3728</v>
      </c>
      <c r="AH61" s="3080"/>
      <c r="AI61" s="3080"/>
      <c r="AJ61" s="3080"/>
      <c r="AK61" s="3080"/>
      <c r="AL61" s="3080"/>
      <c r="AM61" s="3080"/>
      <c r="AN61" s="3081"/>
      <c r="AO61" s="308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5" t="s">
        <v>3739</v>
      </c>
      <c r="S62" s="3065"/>
      <c r="T62" s="3065"/>
      <c r="U62" s="3065"/>
      <c r="V62" s="3065"/>
      <c r="W62" s="3065"/>
      <c r="X62" s="3065"/>
      <c r="Y62" s="3065"/>
      <c r="Z62" s="3065"/>
      <c r="AA62" s="3065"/>
      <c r="AB62" s="3065"/>
      <c r="AC62" s="3065"/>
      <c r="AD62" s="3065"/>
      <c r="AE62" s="3065"/>
      <c r="AF62" s="2957">
        <v>10</v>
      </c>
      <c r="AG62" s="3080" t="s">
        <v>3875</v>
      </c>
      <c r="AH62" s="3080"/>
      <c r="AI62" s="3080"/>
      <c r="AJ62" s="3080"/>
      <c r="AK62" s="3080"/>
      <c r="AL62" s="308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5" t="s">
        <v>3738</v>
      </c>
      <c r="S63" s="3065"/>
      <c r="T63" s="3065"/>
      <c r="U63" s="3065"/>
      <c r="V63" s="3065"/>
      <c r="W63" s="3065"/>
      <c r="X63" s="3065"/>
      <c r="Y63" s="3065"/>
      <c r="Z63" s="3065"/>
      <c r="AA63" s="3065"/>
      <c r="AB63" s="3065"/>
      <c r="AC63" s="3065"/>
      <c r="AD63" s="3065"/>
      <c r="AE63" s="3065"/>
      <c r="AF63" s="2958">
        <v>10</v>
      </c>
      <c r="AG63" s="3080" t="s">
        <v>3740</v>
      </c>
      <c r="AH63" s="3080"/>
      <c r="AI63" s="3080"/>
      <c r="AJ63" s="3080"/>
      <c r="AK63" s="3080"/>
      <c r="AL63" s="3080"/>
      <c r="AM63" s="3080"/>
      <c r="AN63" s="3080"/>
      <c r="AO63" s="308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6" t="s">
        <v>3247</v>
      </c>
      <c r="S64" s="3056"/>
      <c r="T64" s="3056"/>
      <c r="U64" s="3056"/>
      <c r="V64" s="3056"/>
      <c r="W64" s="3056"/>
      <c r="X64" s="3056"/>
      <c r="Y64" s="3056"/>
      <c r="Z64" s="3056"/>
      <c r="AA64" s="3056"/>
      <c r="AB64" s="3056"/>
      <c r="AC64" s="3056"/>
      <c r="AD64" s="3056"/>
      <c r="AE64" s="3056"/>
      <c r="AF64" s="2957">
        <v>10</v>
      </c>
      <c r="AG64" s="3080" t="s">
        <v>3410</v>
      </c>
      <c r="AH64" s="3080"/>
      <c r="AI64" s="3080"/>
      <c r="AJ64" s="3080"/>
      <c r="AK64" s="3080"/>
      <c r="AL64" s="3080"/>
      <c r="AM64" s="3080"/>
      <c r="AN64" s="3080"/>
      <c r="AO64" s="308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5" t="s">
        <v>3241</v>
      </c>
      <c r="S65" s="3065"/>
      <c r="T65" s="3065"/>
      <c r="U65" s="3065"/>
      <c r="V65" s="3065"/>
      <c r="W65" s="3065"/>
      <c r="X65" s="3065"/>
      <c r="Y65" s="3065"/>
      <c r="Z65" s="3065"/>
      <c r="AA65" s="3065"/>
      <c r="AB65" s="3065"/>
      <c r="AC65" s="3065"/>
      <c r="AD65" s="3065"/>
      <c r="AE65" s="3065"/>
      <c r="AF65" s="2941">
        <v>10</v>
      </c>
      <c r="AG65" s="3080" t="s">
        <v>3409</v>
      </c>
      <c r="AH65" s="3080"/>
      <c r="AI65" s="3080"/>
      <c r="AJ65" s="3080"/>
      <c r="AK65" s="3080"/>
      <c r="AL65" s="3080"/>
      <c r="AM65" s="3080"/>
      <c r="AN65" s="3080"/>
      <c r="AO65" s="308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3"/>
      <c r="S66" s="3084"/>
      <c r="T66" s="3084"/>
      <c r="U66" s="3084"/>
      <c r="V66" s="3084"/>
      <c r="W66" s="3084"/>
      <c r="X66" s="3084"/>
      <c r="Y66" s="3084"/>
      <c r="Z66" s="3084"/>
      <c r="AA66" s="3084"/>
      <c r="AB66" s="3084"/>
      <c r="AC66" s="3084"/>
      <c r="AD66" s="3084"/>
      <c r="AE66" s="3085"/>
      <c r="AF66" s="131"/>
      <c r="AG66" s="3080"/>
      <c r="AH66" s="3080"/>
      <c r="AI66" s="3080"/>
      <c r="AJ66" s="3080"/>
      <c r="AK66" s="3080"/>
      <c r="AL66" s="3080"/>
      <c r="AM66" s="3080"/>
      <c r="AN66" s="3080"/>
      <c r="AO66" s="308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5" t="s">
        <v>3242</v>
      </c>
      <c r="S69" s="3065"/>
      <c r="T69" s="3065"/>
      <c r="U69" s="3065"/>
      <c r="V69" s="3065"/>
      <c r="W69" s="3065"/>
      <c r="X69" s="3065"/>
      <c r="Y69" s="3065"/>
      <c r="Z69" s="3065"/>
      <c r="AA69" s="3065"/>
      <c r="AB69" s="3065"/>
      <c r="AC69" s="3065"/>
      <c r="AD69" s="3065"/>
      <c r="AE69" s="3065"/>
      <c r="AF69" s="2957">
        <v>10</v>
      </c>
      <c r="AG69" s="308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0"/>
      <c r="AI69" s="3080"/>
      <c r="AJ69" s="3080"/>
      <c r="AK69" s="3080"/>
      <c r="AL69" s="3080"/>
      <c r="AM69" s="3080"/>
      <c r="AN69" s="3080"/>
      <c r="AO69" s="308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3"/>
      <c r="C74" s="2883"/>
      <c r="D74" s="2883"/>
      <c r="E74" s="2883"/>
      <c r="F74" s="2884">
        <f>SUM(F55:F72)</f>
        <v>0</v>
      </c>
      <c r="G74" s="1746">
        <f>SUM(G55:G73)</f>
        <v>0</v>
      </c>
      <c r="H74" s="1746">
        <f>SUM(H55:H73)</f>
        <v>0</v>
      </c>
      <c r="I74" s="1746">
        <f>SUM(I55:I73)</f>
        <v>0</v>
      </c>
      <c r="J74" s="1746">
        <f>SUM(J55:J73)</f>
        <v>0</v>
      </c>
      <c r="K74" s="2885"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1" t="s">
        <v>3832</v>
      </c>
      <c r="D80" s="3061"/>
      <c r="E80" s="3061"/>
      <c r="F80" s="3061"/>
      <c r="G80" s="3061"/>
      <c r="H80" s="3061"/>
      <c r="I80" s="3061"/>
      <c r="J80" s="3061"/>
      <c r="K80" s="3061"/>
      <c r="L80" s="1685"/>
      <c r="M80" s="1685"/>
      <c r="N80" s="205"/>
      <c r="O80" s="205"/>
      <c r="P80" s="205"/>
      <c r="Q80" s="205"/>
      <c r="R80" s="211" t="s">
        <v>233</v>
      </c>
      <c r="S80" s="105"/>
      <c r="T80" s="105"/>
      <c r="U80" s="105"/>
      <c r="V80" s="105"/>
      <c r="W80" s="90"/>
      <c r="X80" s="90"/>
      <c r="Y80" s="90"/>
      <c r="Z80" s="210"/>
    </row>
    <row r="81" spans="1:26" ht="45.75" customHeight="1">
      <c r="A81" s="1685"/>
      <c r="B81" s="1690"/>
      <c r="C81" s="3061" t="s">
        <v>54</v>
      </c>
      <c r="D81" s="3061"/>
      <c r="E81" s="3061"/>
      <c r="F81" s="3061"/>
      <c r="G81" s="3061"/>
      <c r="H81" s="3061"/>
      <c r="I81" s="3061"/>
      <c r="J81" s="3061"/>
      <c r="K81" s="3061"/>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1"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1"/>
      <c r="F103" s="3071"/>
      <c r="G103" s="3071"/>
      <c r="H103" s="3071"/>
      <c r="I103" s="3071"/>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69"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69"/>
      <c r="F105" s="3069"/>
      <c r="G105" s="3069"/>
      <c r="H105" s="3069"/>
      <c r="I105" s="3069"/>
      <c r="J105" s="3069"/>
      <c r="K105" s="3070"/>
      <c r="L105" s="3070"/>
      <c r="M105" s="2887"/>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6"/>
      <c r="D123" s="3066"/>
      <c r="E123" s="3066"/>
      <c r="F123" s="3066"/>
      <c r="G123" s="3066"/>
      <c r="H123" s="3066"/>
      <c r="I123" s="3066"/>
      <c r="J123" s="3066"/>
      <c r="K123" s="3066"/>
    </row>
    <row r="124" spans="2:26" ht="78.75" customHeight="1">
      <c r="C124" s="3066"/>
      <c r="D124" s="3066"/>
      <c r="E124" s="3066"/>
      <c r="F124" s="3066"/>
      <c r="G124" s="3066"/>
      <c r="H124" s="3066"/>
      <c r="I124" s="3066"/>
      <c r="J124" s="3066"/>
      <c r="K124" s="3066"/>
      <c r="P124" s="90"/>
    </row>
    <row r="125" spans="2:26">
      <c r="C125" s="1421"/>
      <c r="P125" s="90"/>
      <c r="Q125" s="90"/>
    </row>
    <row r="126" spans="2:26">
      <c r="B126" s="208"/>
    </row>
    <row r="127" spans="2:26">
      <c r="C127" s="3066"/>
      <c r="D127" s="3066"/>
      <c r="E127" s="3066"/>
      <c r="F127" s="3066"/>
      <c r="G127" s="3066"/>
      <c r="H127" s="3066"/>
      <c r="I127" s="3066"/>
      <c r="J127" s="3066"/>
      <c r="K127" s="3066"/>
    </row>
    <row r="128" spans="2:26" ht="72" customHeight="1">
      <c r="C128" s="3066"/>
      <c r="D128" s="3066"/>
      <c r="E128" s="3066"/>
      <c r="F128" s="3066"/>
      <c r="G128" s="3066"/>
      <c r="H128" s="3066"/>
      <c r="I128" s="3066"/>
      <c r="J128" s="3066"/>
      <c r="K128" s="3066"/>
      <c r="L128" s="100"/>
      <c r="M128" s="100"/>
      <c r="N128" s="100"/>
      <c r="O128" s="100"/>
      <c r="P128" s="100"/>
      <c r="Q128" s="100"/>
    </row>
    <row r="129" spans="2:25" ht="48" customHeight="1">
      <c r="C129" s="3066"/>
      <c r="D129" s="3066"/>
      <c r="E129" s="3066"/>
      <c r="F129" s="3066"/>
      <c r="G129" s="3066"/>
      <c r="H129" s="3066"/>
      <c r="I129" s="3066"/>
      <c r="J129" s="3066"/>
      <c r="K129" s="3066"/>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0"/>
      <c r="W133" s="3060"/>
      <c r="X133" s="3060"/>
      <c r="Y133" s="3060"/>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6" t="s">
        <v>2248</v>
      </c>
      <c r="C1" s="3086"/>
      <c r="D1" s="3086"/>
      <c r="E1" s="3086"/>
      <c r="F1" s="3086"/>
      <c r="G1" s="3086"/>
      <c r="H1" s="3086"/>
      <c r="I1" s="3086"/>
      <c r="J1" s="2023" t="s">
        <v>3447</v>
      </c>
      <c r="K1" s="2025"/>
    </row>
    <row r="2" spans="1:26" ht="12.75" customHeight="1">
      <c r="A2" s="2025"/>
      <c r="B2" s="2894" t="str">
        <f>company</f>
        <v/>
      </c>
      <c r="C2" s="53"/>
      <c r="D2" s="53"/>
      <c r="E2" s="53"/>
      <c r="F2" s="53"/>
      <c r="G2" s="53"/>
      <c r="H2" s="53"/>
      <c r="I2" s="54"/>
      <c r="J2" s="2893" t="str">
        <f>Utility_Copyrite</f>
        <v>Copyright © 2012 Potomac Electric Power Company</v>
      </c>
      <c r="K2" s="2025"/>
    </row>
    <row r="3" spans="1:26" ht="12.75" customHeight="1">
      <c r="A3" s="2025"/>
      <c r="B3" s="52"/>
      <c r="C3" s="53"/>
      <c r="D3" s="53"/>
      <c r="E3" s="53"/>
      <c r="F3" s="53"/>
      <c r="G3" s="53"/>
      <c r="H3" s="53"/>
      <c r="I3" s="54"/>
      <c r="J3" s="2893" t="str">
        <f>Utility_Rights</f>
        <v>All Rights Reserved</v>
      </c>
      <c r="K3" s="2025"/>
      <c r="M3" s="55"/>
    </row>
    <row r="4" spans="1:26" ht="6" customHeight="1">
      <c r="A4" s="2025"/>
      <c r="B4" s="3087" t="s">
        <v>3721</v>
      </c>
      <c r="C4" s="3087"/>
      <c r="D4" s="3087"/>
      <c r="E4" s="3087"/>
      <c r="F4" s="3087"/>
      <c r="G4" s="3087"/>
      <c r="H4" s="3087"/>
      <c r="I4" s="3087"/>
      <c r="J4" s="3087"/>
      <c r="K4" s="2025"/>
      <c r="M4" s="55"/>
    </row>
    <row r="5" spans="1:26" ht="6.75" customHeight="1">
      <c r="A5" s="2025"/>
      <c r="B5" s="3087"/>
      <c r="C5" s="3087"/>
      <c r="D5" s="3087"/>
      <c r="E5" s="3087"/>
      <c r="F5" s="3087"/>
      <c r="G5" s="3087"/>
      <c r="H5" s="3087"/>
      <c r="I5" s="3087"/>
      <c r="J5" s="3087"/>
      <c r="K5" s="2025"/>
    </row>
    <row r="6" spans="1:26" ht="3.75" customHeight="1">
      <c r="A6" s="2025"/>
      <c r="B6" s="3087"/>
      <c r="C6" s="3087"/>
      <c r="D6" s="3087"/>
      <c r="E6" s="3087"/>
      <c r="F6" s="3087"/>
      <c r="G6" s="3087"/>
      <c r="H6" s="3087"/>
      <c r="I6" s="3087"/>
      <c r="J6" s="3087"/>
      <c r="K6" s="2025"/>
    </row>
    <row r="7" spans="1:26">
      <c r="A7" s="2025"/>
      <c r="B7" s="3087"/>
      <c r="C7" s="3087"/>
      <c r="D7" s="3087"/>
      <c r="E7" s="3087"/>
      <c r="F7" s="3087"/>
      <c r="G7" s="3087"/>
      <c r="H7" s="3087"/>
      <c r="I7" s="3087"/>
      <c r="J7" s="3087"/>
      <c r="K7" s="2025"/>
    </row>
    <row r="8" spans="1:26" ht="9.75" customHeight="1">
      <c r="A8" s="2025"/>
      <c r="B8" s="3087"/>
      <c r="C8" s="3087"/>
      <c r="D8" s="3087"/>
      <c r="E8" s="3087"/>
      <c r="F8" s="3087"/>
      <c r="G8" s="3087"/>
      <c r="H8" s="3087"/>
      <c r="I8" s="3087"/>
      <c r="J8" s="3087"/>
      <c r="K8" s="2025"/>
    </row>
    <row r="9" spans="1:26" ht="4.5" customHeight="1">
      <c r="A9" s="2025"/>
      <c r="B9" s="2025"/>
      <c r="C9" s="2025"/>
      <c r="D9" s="2025"/>
      <c r="E9" s="2025"/>
      <c r="F9" s="2025"/>
      <c r="G9" s="2025"/>
      <c r="H9" s="2025"/>
      <c r="I9" s="2025"/>
      <c r="J9" s="2025"/>
      <c r="K9" s="2025"/>
    </row>
    <row r="10" spans="1:26" ht="15.9" customHeight="1">
      <c r="A10" s="2025"/>
      <c r="B10" s="3088" t="str">
        <f>IF('R2 Rec'!C27="","",'R2 Rec'!C27)</f>
        <v/>
      </c>
      <c r="C10" s="3088"/>
      <c r="D10" s="3088"/>
      <c r="E10" s="3088"/>
      <c r="F10" s="3088"/>
      <c r="G10" s="3088"/>
      <c r="H10" s="3088"/>
      <c r="I10" s="3088"/>
      <c r="J10" s="3088"/>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 customHeight="1">
      <c r="A13" s="2025"/>
      <c r="B13" s="3088" t="str">
        <f>IF('R2 Rec'!C28="","",'R2 Rec'!C28)</f>
        <v/>
      </c>
      <c r="C13" s="3088"/>
      <c r="D13" s="3088"/>
      <c r="E13" s="3088"/>
      <c r="F13" s="3088"/>
      <c r="G13" s="3088"/>
      <c r="H13" s="3088"/>
      <c r="I13" s="3088"/>
      <c r="J13" s="3088"/>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 customHeight="1">
      <c r="A16" s="2025"/>
      <c r="B16" s="3088" t="str">
        <f>IF('R2 Rec'!C29="","",'R2 Rec'!C29)</f>
        <v/>
      </c>
      <c r="C16" s="3088"/>
      <c r="D16" s="3088"/>
      <c r="E16" s="3088"/>
      <c r="F16" s="3088"/>
      <c r="G16" s="3088"/>
      <c r="H16" s="3088"/>
      <c r="I16" s="3088"/>
      <c r="J16" s="3088"/>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 customHeight="1">
      <c r="A19" s="2025"/>
      <c r="B19" s="3088" t="str">
        <f>IF('R2 Rec'!C30="","",'R2 Rec'!C30)</f>
        <v/>
      </c>
      <c r="C19" s="3088"/>
      <c r="D19" s="3088"/>
      <c r="E19" s="3088"/>
      <c r="F19" s="3088"/>
      <c r="G19" s="3088"/>
      <c r="H19" s="3088"/>
      <c r="I19" s="3088"/>
      <c r="J19" s="3088"/>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 customHeight="1">
      <c r="A22" s="2025"/>
      <c r="B22" s="3088" t="str">
        <f>IF('R2 Rec'!C31="","",'R2 Rec'!C31)</f>
        <v/>
      </c>
      <c r="C22" s="3088"/>
      <c r="D22" s="3088"/>
      <c r="E22" s="3088"/>
      <c r="F22" s="3088"/>
      <c r="G22" s="3088"/>
      <c r="H22" s="3088"/>
      <c r="I22" s="3088"/>
      <c r="J22" s="3088"/>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 customHeight="1">
      <c r="A25" s="2025"/>
      <c r="B25" s="3088" t="str">
        <f>IF('R2 Rec'!C32="","",'R2 Rec'!C32)</f>
        <v/>
      </c>
      <c r="C25" s="3088"/>
      <c r="D25" s="3088"/>
      <c r="E25" s="3088"/>
      <c r="F25" s="3088"/>
      <c r="G25" s="3088"/>
      <c r="H25" s="3088"/>
      <c r="I25" s="3088"/>
      <c r="J25" s="3088"/>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08" t="s">
        <v>3876</v>
      </c>
      <c r="D2" s="3108"/>
      <c r="E2" s="3108"/>
      <c r="F2" s="3108"/>
      <c r="G2" s="3108"/>
      <c r="H2" s="3108"/>
      <c r="I2" s="3108"/>
      <c r="J2" s="1704" t="s">
        <v>3448</v>
      </c>
      <c r="K2" s="1685"/>
      <c r="L2" s="1685"/>
    </row>
    <row r="3" spans="1:32" ht="12.9" customHeight="1">
      <c r="A3" s="1685"/>
      <c r="B3" s="1705" t="str">
        <f>company</f>
        <v/>
      </c>
      <c r="C3" s="1706"/>
      <c r="D3" s="1707"/>
      <c r="E3" s="1707"/>
      <c r="F3" s="1708"/>
      <c r="G3" s="1707"/>
      <c r="H3" s="1685"/>
      <c r="I3" s="1685"/>
      <c r="J3" s="2893" t="str">
        <f>Utility_Copyrite</f>
        <v>Copyright © 2012 Potomac Electric Power Company</v>
      </c>
      <c r="K3" s="1685"/>
      <c r="L3" s="1685"/>
      <c r="O3" s="276"/>
    </row>
    <row r="4" spans="1:32" ht="12.9" customHeight="1">
      <c r="A4" s="1685"/>
      <c r="B4" s="1685"/>
      <c r="C4" s="1706"/>
      <c r="D4" s="1707"/>
      <c r="E4" s="1707"/>
      <c r="F4" s="1707"/>
      <c r="G4" s="1707"/>
      <c r="H4" s="1685"/>
      <c r="I4" s="1685"/>
      <c r="J4" s="2893" t="str">
        <f>Utility_Rights</f>
        <v>All Rights Reserved</v>
      </c>
      <c r="K4" s="1685"/>
      <c r="L4" s="1685"/>
      <c r="O4" s="571"/>
    </row>
    <row r="5" spans="1:32" ht="60.75" customHeight="1">
      <c r="A5" s="1685"/>
      <c r="B5" s="1685"/>
      <c r="C5" s="1706"/>
      <c r="D5" s="1707"/>
      <c r="E5" s="1707"/>
      <c r="F5" s="1707"/>
      <c r="G5" s="1707"/>
      <c r="H5" s="1685"/>
      <c r="I5" s="1685"/>
      <c r="J5" s="2893"/>
      <c r="K5" s="1685"/>
      <c r="L5" s="1685"/>
      <c r="O5" s="571"/>
      <c r="W5" s="3048" t="s">
        <v>3870</v>
      </c>
      <c r="X5" s="3048"/>
      <c r="Y5" s="3048"/>
      <c r="Z5" s="3048"/>
      <c r="AA5" s="3048"/>
      <c r="AB5" s="3048"/>
      <c r="AC5" s="3048"/>
    </row>
    <row r="6" spans="1:32" ht="15.75" customHeight="1">
      <c r="A6" s="1685"/>
      <c r="B6" s="3073" t="s">
        <v>246</v>
      </c>
      <c r="C6" s="3073"/>
      <c r="D6" s="3073"/>
      <c r="E6" s="3073"/>
      <c r="F6" s="3073"/>
      <c r="G6" s="3073"/>
      <c r="H6" s="3073"/>
      <c r="I6" s="3073"/>
      <c r="J6" s="1709"/>
      <c r="K6" s="1685"/>
      <c r="L6" s="1685"/>
      <c r="O6" s="572"/>
      <c r="W6" s="3048"/>
      <c r="X6" s="3048"/>
      <c r="Y6" s="3048"/>
      <c r="Z6" s="3048"/>
      <c r="AA6" s="3048"/>
      <c r="AB6" s="3048"/>
      <c r="AC6" s="3048"/>
    </row>
    <row r="7" spans="1:32" ht="55.5" customHeight="1">
      <c r="A7" s="1685"/>
      <c r="B7" s="3111" t="s">
        <v>3210</v>
      </c>
      <c r="C7" s="3111"/>
      <c r="D7" s="3111"/>
      <c r="E7" s="3111"/>
      <c r="F7" s="3111"/>
      <c r="G7" s="3111"/>
      <c r="H7" s="3111"/>
      <c r="I7" s="3111"/>
      <c r="J7" s="3111"/>
      <c r="K7" s="1685"/>
      <c r="O7" s="2082" t="b">
        <v>0</v>
      </c>
      <c r="W7" s="3097" t="s">
        <v>3831</v>
      </c>
      <c r="X7" s="3097"/>
      <c r="Y7" s="3097"/>
      <c r="Z7" s="3097"/>
      <c r="AA7" s="3097"/>
      <c r="AB7" s="3097"/>
      <c r="AC7" s="3097"/>
      <c r="AD7" s="3097"/>
      <c r="AE7" s="2808"/>
      <c r="AF7" s="2808"/>
    </row>
    <row r="8" spans="1:32" ht="56.25" customHeight="1">
      <c r="A8" s="1685"/>
      <c r="B8" s="3111" t="s">
        <v>3856</v>
      </c>
      <c r="C8" s="3111"/>
      <c r="D8" s="3111"/>
      <c r="E8" s="3111"/>
      <c r="F8" s="3111"/>
      <c r="G8" s="3111"/>
      <c r="H8" s="3111"/>
      <c r="I8" s="3111"/>
      <c r="J8" s="3111"/>
      <c r="K8" s="1685"/>
      <c r="L8" s="1685"/>
      <c r="W8" s="3097"/>
      <c r="X8" s="3097"/>
      <c r="Y8" s="3097"/>
      <c r="Z8" s="3097"/>
      <c r="AA8" s="3097"/>
      <c r="AB8" s="3097"/>
      <c r="AC8" s="3097"/>
      <c r="AD8" s="3097"/>
      <c r="AE8" s="2808"/>
      <c r="AF8" s="2808"/>
    </row>
    <row r="9" spans="1:32" ht="15.75" customHeight="1">
      <c r="A9" s="1685"/>
      <c r="B9" s="3073" t="s">
        <v>599</v>
      </c>
      <c r="C9" s="3073"/>
      <c r="D9" s="3073"/>
      <c r="E9" s="3073"/>
      <c r="F9" s="3073"/>
      <c r="G9" s="3073"/>
      <c r="H9" s="3073"/>
      <c r="I9" s="3073"/>
      <c r="J9" s="1709"/>
      <c r="K9" s="1685"/>
      <c r="L9" s="1685"/>
      <c r="W9" s="2808"/>
      <c r="X9" s="2808"/>
      <c r="Y9" s="2808"/>
      <c r="Z9" s="2808"/>
      <c r="AA9" s="2808"/>
      <c r="AB9" s="2808"/>
      <c r="AC9" s="2808"/>
      <c r="AD9" s="2808"/>
      <c r="AE9" s="2808"/>
    </row>
    <row r="10" spans="1:32" ht="47.25" customHeight="1" thickBot="1">
      <c r="A10" s="1702"/>
      <c r="B10" s="3109" t="s">
        <v>219</v>
      </c>
      <c r="C10" s="3109"/>
      <c r="D10" s="1613" t="s">
        <v>2166</v>
      </c>
      <c r="E10" s="1613" t="s">
        <v>332</v>
      </c>
      <c r="F10" s="1613" t="s">
        <v>211</v>
      </c>
      <c r="G10" s="1613" t="s">
        <v>212</v>
      </c>
      <c r="H10" s="1613" t="s">
        <v>213</v>
      </c>
      <c r="I10" s="1613" t="str">
        <f>IF($O$7=TRUE,"Trade Ally Proposed Cost", "Utility Estimated Cost")</f>
        <v>Utility Estimated Cost</v>
      </c>
      <c r="J10" s="2751" t="str">
        <f>Utility_Name_Cap&amp;" Incentive"</f>
        <v>PEPCO Incentive</v>
      </c>
      <c r="K10" s="1685"/>
      <c r="L10" s="2851" t="str">
        <f>IF($O$7=TRUE,"Trade Ally Costs","")</f>
        <v/>
      </c>
      <c r="O10" s="3114" t="s">
        <v>219</v>
      </c>
      <c r="P10" s="3115"/>
      <c r="Q10" s="625" t="s">
        <v>332</v>
      </c>
      <c r="R10" s="625" t="s">
        <v>211</v>
      </c>
      <c r="S10" s="625" t="s">
        <v>212</v>
      </c>
      <c r="T10" s="625" t="s">
        <v>213</v>
      </c>
      <c r="U10" s="625" t="s">
        <v>208</v>
      </c>
      <c r="V10" s="668" t="s">
        <v>2040</v>
      </c>
      <c r="W10" s="2808"/>
      <c r="X10" s="2808"/>
      <c r="Y10" s="2808"/>
      <c r="Z10" s="2808"/>
      <c r="AA10" s="2808"/>
      <c r="AB10" s="2808"/>
      <c r="AC10" s="2808"/>
      <c r="AD10" s="2808"/>
      <c r="AE10" s="2808"/>
    </row>
    <row r="11" spans="1:32" ht="14.1" customHeight="1">
      <c r="A11" s="1702"/>
      <c r="B11" s="1710" t="s">
        <v>333</v>
      </c>
      <c r="C11" s="3110" t="str">
        <f>O11</f>
        <v/>
      </c>
      <c r="D11" s="3110"/>
      <c r="E11" s="3110"/>
      <c r="F11" s="3110"/>
      <c r="G11" s="3110"/>
      <c r="H11" s="3110"/>
      <c r="I11" s="3110"/>
      <c r="J11" s="1711"/>
      <c r="K11" s="1685"/>
      <c r="L11" s="2082"/>
      <c r="N11">
        <v>1</v>
      </c>
      <c r="O11" s="3106" t="str">
        <f>IF(ISERROR(VLOOKUP(N11,T5T8lookup,4,FALSE)),"",VLOOKUP(N11,T5T8lookup,4,FALSE))</f>
        <v/>
      </c>
      <c r="P11" s="3107"/>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4"/>
      <c r="O12" s="626" t="s">
        <v>2649</v>
      </c>
      <c r="P12" s="3100">
        <f>IF(O11="",0,VLOOKUP(N11,T5T8lookup,32,FALSE))</f>
        <v>0</v>
      </c>
      <c r="Q12" s="3100"/>
      <c r="R12" s="3100"/>
      <c r="S12" s="3100"/>
      <c r="T12" s="3100"/>
      <c r="U12" s="3100"/>
      <c r="V12" s="670"/>
      <c r="W12" s="2806" t="str">
        <f>IF(C11="","",IF($O$7=TRUE,"Enter Cost",""))</f>
        <v/>
      </c>
    </row>
    <row r="13" spans="1:32" ht="14.1" customHeight="1">
      <c r="A13" s="1662"/>
      <c r="B13" s="3098" t="s">
        <v>479</v>
      </c>
      <c r="C13" s="3098"/>
      <c r="D13" s="3099">
        <f>P13</f>
        <v>0</v>
      </c>
      <c r="E13" s="3099"/>
      <c r="F13" s="3099"/>
      <c r="G13" s="3099"/>
      <c r="H13" s="3099"/>
      <c r="I13" s="3099"/>
      <c r="J13" s="1717"/>
      <c r="K13" s="1685"/>
      <c r="L13" s="2082"/>
      <c r="O13" s="626" t="s">
        <v>2646</v>
      </c>
      <c r="P13" s="3100">
        <f>IF(O11="",0,VLOOKUP(N11,T5T8lookup,30,FALSE))</f>
        <v>0</v>
      </c>
      <c r="Q13" s="3100"/>
      <c r="R13" s="3100"/>
      <c r="S13" s="3100"/>
      <c r="T13" s="3100"/>
      <c r="U13" s="3100"/>
      <c r="V13" s="670"/>
      <c r="W13" s="2807"/>
    </row>
    <row r="14" spans="1:32" ht="14.1" customHeight="1">
      <c r="A14" s="1662"/>
      <c r="B14" s="3101" t="s">
        <v>214</v>
      </c>
      <c r="C14" s="3101"/>
      <c r="D14" s="3102">
        <f>P14</f>
        <v>0</v>
      </c>
      <c r="E14" s="3102"/>
      <c r="F14" s="3102"/>
      <c r="G14" s="3102"/>
      <c r="H14" s="3102"/>
      <c r="I14" s="3102"/>
      <c r="J14" s="3104"/>
      <c r="K14" s="1685"/>
      <c r="L14" s="2082"/>
      <c r="O14" s="627" t="s">
        <v>2647</v>
      </c>
      <c r="P14" s="3103">
        <f>IF(O11="",0,VLOOKUP(N11,T5T8lookup,31,FALSE))</f>
        <v>0</v>
      </c>
      <c r="Q14" s="3103"/>
      <c r="R14" s="3103"/>
      <c r="S14" s="3103"/>
      <c r="T14" s="3103"/>
      <c r="U14" s="3103"/>
      <c r="V14" s="671"/>
      <c r="W14" s="2807"/>
    </row>
    <row r="15" spans="1:32" ht="14.1" customHeight="1">
      <c r="A15" s="1702"/>
      <c r="B15" s="1710" t="s">
        <v>334</v>
      </c>
      <c r="C15" s="3105" t="str">
        <f>O15</f>
        <v/>
      </c>
      <c r="D15" s="3105"/>
      <c r="E15" s="3105"/>
      <c r="F15" s="3105"/>
      <c r="G15" s="3105"/>
      <c r="H15" s="3105"/>
      <c r="I15" s="3105"/>
      <c r="J15" s="1711"/>
      <c r="K15" s="1685"/>
      <c r="L15" s="2082"/>
      <c r="N15" s="572">
        <v>2</v>
      </c>
      <c r="O15" s="3106" t="str">
        <f>IF(ISERROR(VLOOKUP(N15,T5T8lookup,4,FALSE)),"",VLOOKUP(N15,T5T8lookup,4,FALSE))</f>
        <v/>
      </c>
      <c r="P15" s="3107"/>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07"/>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4"/>
      <c r="N16" s="20"/>
      <c r="O16" s="626" t="s">
        <v>2649</v>
      </c>
      <c r="P16" s="3100">
        <f>IF(O15="",0,VLOOKUP(N15,T5T8lookup,32,FALSE))</f>
        <v>0</v>
      </c>
      <c r="Q16" s="3100"/>
      <c r="R16" s="3100"/>
      <c r="S16" s="3100"/>
      <c r="T16" s="3100"/>
      <c r="U16" s="3100"/>
      <c r="V16" s="670"/>
      <c r="W16" s="2806" t="str">
        <f>IF(C15="","",IF($O$7=TRUE,"Enter Cost",""))</f>
        <v/>
      </c>
    </row>
    <row r="17" spans="1:23" ht="14.1" customHeight="1">
      <c r="A17" s="1662"/>
      <c r="B17" s="3098" t="str">
        <f>B13</f>
        <v>Existing:</v>
      </c>
      <c r="C17" s="3098"/>
      <c r="D17" s="3099">
        <f>P17</f>
        <v>0</v>
      </c>
      <c r="E17" s="3099"/>
      <c r="F17" s="3099"/>
      <c r="G17" s="3099"/>
      <c r="H17" s="3099"/>
      <c r="I17" s="3099"/>
      <c r="J17" s="1717"/>
      <c r="K17" s="1685"/>
      <c r="L17" s="2082"/>
      <c r="O17" s="626" t="s">
        <v>2646</v>
      </c>
      <c r="P17" s="3100">
        <f>IF(O15="",0,VLOOKUP(N15,T5T8lookup,30,FALSE))</f>
        <v>0</v>
      </c>
      <c r="Q17" s="3100"/>
      <c r="R17" s="3100"/>
      <c r="S17" s="3100"/>
      <c r="T17" s="3100"/>
      <c r="U17" s="3100"/>
      <c r="V17" s="670"/>
      <c r="W17" s="2807"/>
    </row>
    <row r="18" spans="1:23" ht="14.1" customHeight="1">
      <c r="A18" s="1662"/>
      <c r="B18" s="3101" t="str">
        <f>B14</f>
        <v>Proposed retrofit:</v>
      </c>
      <c r="C18" s="3101"/>
      <c r="D18" s="3102">
        <f>P18</f>
        <v>0</v>
      </c>
      <c r="E18" s="3102"/>
      <c r="F18" s="3102"/>
      <c r="G18" s="3102"/>
      <c r="H18" s="3102"/>
      <c r="I18" s="3102"/>
      <c r="J18" s="1718"/>
      <c r="K18" s="1685"/>
      <c r="L18" s="2082"/>
      <c r="O18" s="627" t="s">
        <v>2647</v>
      </c>
      <c r="P18" s="3103">
        <f>IF(O15="",0,VLOOKUP(N15,T5T8lookup,31,FALSE))</f>
        <v>0</v>
      </c>
      <c r="Q18" s="3103"/>
      <c r="R18" s="3103"/>
      <c r="S18" s="3103"/>
      <c r="T18" s="3103"/>
      <c r="U18" s="3103"/>
      <c r="V18" s="671"/>
      <c r="W18" s="2807"/>
    </row>
    <row r="19" spans="1:23" ht="14.1" customHeight="1">
      <c r="A19" s="1702"/>
      <c r="B19" s="1710" t="s">
        <v>335</v>
      </c>
      <c r="C19" s="3105" t="str">
        <f>O19</f>
        <v/>
      </c>
      <c r="D19" s="3105"/>
      <c r="E19" s="3105"/>
      <c r="F19" s="3105"/>
      <c r="G19" s="3105"/>
      <c r="H19" s="3105"/>
      <c r="I19" s="3105"/>
      <c r="J19" s="1711"/>
      <c r="K19" s="1685"/>
      <c r="L19" s="2082"/>
      <c r="N19">
        <v>3</v>
      </c>
      <c r="O19" s="3106" t="str">
        <f>IF(ISERROR(VLOOKUP(N19,T5T8lookup,4,FALSE)),"",VLOOKUP(N19,T5T8lookup,4,FALSE))</f>
        <v/>
      </c>
      <c r="P19" s="3107"/>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07"/>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4"/>
      <c r="O20" s="626" t="s">
        <v>2649</v>
      </c>
      <c r="P20" s="3100">
        <f>IF(O19="",0,VLOOKUP(N19,T5T8lookup,32,FALSE))</f>
        <v>0</v>
      </c>
      <c r="Q20" s="3100"/>
      <c r="R20" s="3100"/>
      <c r="S20" s="3100"/>
      <c r="T20" s="3100"/>
      <c r="U20" s="3100"/>
      <c r="V20" s="670"/>
      <c r="W20" s="2806" t="str">
        <f>IF(C19="","",IF($O$7=TRUE,"Enter Cost",""))</f>
        <v/>
      </c>
    </row>
    <row r="21" spans="1:23" ht="14.1" customHeight="1">
      <c r="A21" s="1662"/>
      <c r="B21" s="3098" t="s">
        <v>479</v>
      </c>
      <c r="C21" s="3098"/>
      <c r="D21" s="3099">
        <f>P21</f>
        <v>0</v>
      </c>
      <c r="E21" s="3099"/>
      <c r="F21" s="3099"/>
      <c r="G21" s="3099"/>
      <c r="H21" s="3099"/>
      <c r="I21" s="3099"/>
      <c r="J21" s="1717"/>
      <c r="K21" s="1685"/>
      <c r="L21" s="2082"/>
      <c r="O21" s="626" t="s">
        <v>2646</v>
      </c>
      <c r="P21" s="3100">
        <f>IF(O19="",0,VLOOKUP(N19,T5T8lookup,30,FALSE))</f>
        <v>0</v>
      </c>
      <c r="Q21" s="3100"/>
      <c r="R21" s="3100"/>
      <c r="S21" s="3100"/>
      <c r="T21" s="3100"/>
      <c r="U21" s="3100"/>
      <c r="V21" s="670"/>
      <c r="W21" s="2807"/>
    </row>
    <row r="22" spans="1:23" ht="14.1" customHeight="1">
      <c r="A22" s="1662"/>
      <c r="B22" s="3101" t="s">
        <v>214</v>
      </c>
      <c r="C22" s="3101"/>
      <c r="D22" s="3102">
        <f>P22</f>
        <v>0</v>
      </c>
      <c r="E22" s="3102"/>
      <c r="F22" s="3102"/>
      <c r="G22" s="3102"/>
      <c r="H22" s="3102"/>
      <c r="I22" s="3102"/>
      <c r="J22" s="3104"/>
      <c r="K22" s="1685"/>
      <c r="L22" s="2082"/>
      <c r="O22" s="627" t="s">
        <v>2647</v>
      </c>
      <c r="P22" s="3103">
        <f>IF(O19="",0,VLOOKUP(N19,T5T8lookup,31,FALSE))</f>
        <v>0</v>
      </c>
      <c r="Q22" s="3103"/>
      <c r="R22" s="3103"/>
      <c r="S22" s="3103"/>
      <c r="T22" s="3103"/>
      <c r="U22" s="3103"/>
      <c r="V22" s="671"/>
      <c r="W22" s="2807"/>
    </row>
    <row r="23" spans="1:23" ht="14.1" customHeight="1">
      <c r="A23" s="1702"/>
      <c r="B23" s="1710" t="s">
        <v>582</v>
      </c>
      <c r="C23" s="3105" t="str">
        <f>O23</f>
        <v/>
      </c>
      <c r="D23" s="3105"/>
      <c r="E23" s="3105"/>
      <c r="F23" s="3105"/>
      <c r="G23" s="3105"/>
      <c r="H23" s="3105"/>
      <c r="I23" s="3105"/>
      <c r="J23" s="1711"/>
      <c r="K23" s="1685"/>
      <c r="L23" s="2082"/>
      <c r="N23">
        <v>4</v>
      </c>
      <c r="O23" s="3106" t="str">
        <f>IF(ISERROR(VLOOKUP(N23,T5T8lookup,4,FALSE)),"",VLOOKUP(N23,T5T8lookup,4,FALSE))</f>
        <v/>
      </c>
      <c r="P23" s="3107"/>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07"/>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4"/>
      <c r="O24" s="626" t="s">
        <v>2649</v>
      </c>
      <c r="P24" s="3100">
        <f>IF(O23="",0,VLOOKUP(N23,T5T8lookup,32,FALSE))</f>
        <v>0</v>
      </c>
      <c r="Q24" s="3100"/>
      <c r="R24" s="3100"/>
      <c r="S24" s="3100"/>
      <c r="T24" s="3100"/>
      <c r="U24" s="3100"/>
      <c r="V24" s="670"/>
      <c r="W24" s="2806" t="str">
        <f>IF(C23="","",IF($O$7=TRUE,"Enter Cost",""))</f>
        <v/>
      </c>
    </row>
    <row r="25" spans="1:23" ht="14.1" customHeight="1">
      <c r="A25" s="1662"/>
      <c r="B25" s="3098" t="str">
        <f>B21</f>
        <v>Existing:</v>
      </c>
      <c r="C25" s="3098"/>
      <c r="D25" s="3099">
        <f>P25</f>
        <v>0</v>
      </c>
      <c r="E25" s="3099"/>
      <c r="F25" s="3099"/>
      <c r="G25" s="3099"/>
      <c r="H25" s="3099"/>
      <c r="I25" s="3099"/>
      <c r="J25" s="1717"/>
      <c r="K25" s="1685"/>
      <c r="L25" s="2082"/>
      <c r="O25" s="626" t="s">
        <v>2646</v>
      </c>
      <c r="P25" s="3100">
        <f>IF(O23="",0,VLOOKUP(N23,T5T8lookup,30,FALSE))</f>
        <v>0</v>
      </c>
      <c r="Q25" s="3100"/>
      <c r="R25" s="3100"/>
      <c r="S25" s="3100"/>
      <c r="T25" s="3100"/>
      <c r="U25" s="3100"/>
      <c r="V25" s="670"/>
      <c r="W25" s="2807"/>
    </row>
    <row r="26" spans="1:23" ht="14.1" customHeight="1">
      <c r="A26" s="1662"/>
      <c r="B26" s="3101" t="str">
        <f>B22</f>
        <v>Proposed retrofit:</v>
      </c>
      <c r="C26" s="3101"/>
      <c r="D26" s="3102">
        <f>P26</f>
        <v>0</v>
      </c>
      <c r="E26" s="3102"/>
      <c r="F26" s="3102"/>
      <c r="G26" s="3102"/>
      <c r="H26" s="3102"/>
      <c r="I26" s="3102"/>
      <c r="J26" s="1718"/>
      <c r="K26" s="1685"/>
      <c r="L26" s="2082"/>
      <c r="O26" s="627" t="s">
        <v>2647</v>
      </c>
      <c r="P26" s="3103">
        <f>IF(O23="",0,VLOOKUP(N23,T5T8lookup,31,FALSE))</f>
        <v>0</v>
      </c>
      <c r="Q26" s="3103"/>
      <c r="R26" s="3103"/>
      <c r="S26" s="3103"/>
      <c r="T26" s="3103"/>
      <c r="U26" s="3103"/>
      <c r="V26" s="671"/>
      <c r="W26" s="2807"/>
    </row>
    <row r="27" spans="1:23" ht="14.1" customHeight="1">
      <c r="A27" s="1702"/>
      <c r="B27" s="1710" t="s">
        <v>336</v>
      </c>
      <c r="C27" s="3105" t="str">
        <f>O27</f>
        <v/>
      </c>
      <c r="D27" s="3105"/>
      <c r="E27" s="3105"/>
      <c r="F27" s="3105"/>
      <c r="G27" s="3105"/>
      <c r="H27" s="3105"/>
      <c r="I27" s="3105"/>
      <c r="J27" s="1711"/>
      <c r="K27" s="1685"/>
      <c r="L27" s="2082"/>
      <c r="N27">
        <v>5</v>
      </c>
      <c r="O27" s="3106" t="str">
        <f>IF(ISERROR(VLOOKUP(N27,T5T8lookup,4,FALSE)),"",VLOOKUP(N27,T5T8lookup,4,FALSE))</f>
        <v/>
      </c>
      <c r="P27" s="3107"/>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07"/>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4"/>
      <c r="O28" s="626" t="s">
        <v>2649</v>
      </c>
      <c r="P28" s="3100">
        <f>IF(O27="",0,VLOOKUP(N27,T5T8lookup,32,FALSE))</f>
        <v>0</v>
      </c>
      <c r="Q28" s="3100"/>
      <c r="R28" s="3100"/>
      <c r="S28" s="3100"/>
      <c r="T28" s="3100"/>
      <c r="U28" s="3100"/>
      <c r="V28" s="670"/>
      <c r="W28" s="2806" t="str">
        <f>IF(C27="","",IF($O$7=TRUE,"Enter Cost",""))</f>
        <v/>
      </c>
    </row>
    <row r="29" spans="1:23" ht="14.1" customHeight="1">
      <c r="A29" s="1662"/>
      <c r="B29" s="3098" t="s">
        <v>479</v>
      </c>
      <c r="C29" s="3098"/>
      <c r="D29" s="3099">
        <f>P29</f>
        <v>0</v>
      </c>
      <c r="E29" s="3099"/>
      <c r="F29" s="3099"/>
      <c r="G29" s="3099"/>
      <c r="H29" s="3099"/>
      <c r="I29" s="3099"/>
      <c r="J29" s="1717"/>
      <c r="K29" s="1685"/>
      <c r="L29" s="2082"/>
      <c r="O29" s="626" t="s">
        <v>2646</v>
      </c>
      <c r="P29" s="3100">
        <f>IF(O27="",0,VLOOKUP(N27,T5T8lookup,30,FALSE))</f>
        <v>0</v>
      </c>
      <c r="Q29" s="3100"/>
      <c r="R29" s="3100"/>
      <c r="S29" s="3100"/>
      <c r="T29" s="3100"/>
      <c r="U29" s="3100"/>
      <c r="V29" s="670"/>
      <c r="W29" s="2807"/>
    </row>
    <row r="30" spans="1:23" ht="14.1" customHeight="1">
      <c r="A30" s="1662"/>
      <c r="B30" s="3101" t="s">
        <v>214</v>
      </c>
      <c r="C30" s="3101"/>
      <c r="D30" s="3102">
        <f>P30</f>
        <v>0</v>
      </c>
      <c r="E30" s="3102"/>
      <c r="F30" s="3102"/>
      <c r="G30" s="3102"/>
      <c r="H30" s="3102"/>
      <c r="I30" s="3102"/>
      <c r="J30" s="3104"/>
      <c r="K30" s="1685"/>
      <c r="L30" s="2082"/>
      <c r="O30" s="627" t="s">
        <v>2647</v>
      </c>
      <c r="P30" s="3103">
        <f>IF(O27="",0,VLOOKUP(N27,T5T8lookup,31,FALSE))</f>
        <v>0</v>
      </c>
      <c r="Q30" s="3103"/>
      <c r="R30" s="3103"/>
      <c r="S30" s="3103"/>
      <c r="T30" s="3103"/>
      <c r="U30" s="3103"/>
      <c r="V30" s="671"/>
      <c r="W30" s="2807"/>
    </row>
    <row r="31" spans="1:23" ht="14.1" customHeight="1">
      <c r="A31" s="1702"/>
      <c r="B31" s="1710" t="s">
        <v>583</v>
      </c>
      <c r="C31" s="3105" t="str">
        <f>O31</f>
        <v/>
      </c>
      <c r="D31" s="3105"/>
      <c r="E31" s="3105"/>
      <c r="F31" s="3105"/>
      <c r="G31" s="3105"/>
      <c r="H31" s="3105"/>
      <c r="I31" s="3105"/>
      <c r="J31" s="1711"/>
      <c r="K31" s="1685"/>
      <c r="L31" s="2082"/>
      <c r="N31">
        <v>6</v>
      </c>
      <c r="O31" s="3106" t="str">
        <f>IF(ISERROR(VLOOKUP(N31,T5T8lookup,4,FALSE)),"",VLOOKUP(N31,T5T8lookup,4,FALSE))</f>
        <v/>
      </c>
      <c r="P31" s="3107"/>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07"/>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4"/>
      <c r="O32" s="626" t="s">
        <v>2649</v>
      </c>
      <c r="P32" s="3100">
        <f>IF(O31="",0,VLOOKUP(N31,T5T8lookup,32,FALSE))</f>
        <v>0</v>
      </c>
      <c r="Q32" s="3100"/>
      <c r="R32" s="3100"/>
      <c r="S32" s="3100"/>
      <c r="T32" s="3100"/>
      <c r="U32" s="3100"/>
      <c r="V32" s="670"/>
      <c r="W32" s="2806" t="str">
        <f>IF(C31="","",IF($O$7=TRUE,"Enter Cost",""))</f>
        <v/>
      </c>
    </row>
    <row r="33" spans="1:23" ht="14.1" customHeight="1">
      <c r="A33" s="1662"/>
      <c r="B33" s="3098" t="str">
        <f>B29</f>
        <v>Existing:</v>
      </c>
      <c r="C33" s="3098"/>
      <c r="D33" s="3099">
        <f>P33</f>
        <v>0</v>
      </c>
      <c r="E33" s="3099"/>
      <c r="F33" s="3099"/>
      <c r="G33" s="3099"/>
      <c r="H33" s="3099"/>
      <c r="I33" s="3099"/>
      <c r="J33" s="1717"/>
      <c r="K33" s="1719"/>
      <c r="L33" s="2812"/>
      <c r="O33" s="626" t="s">
        <v>2646</v>
      </c>
      <c r="P33" s="3100">
        <f>IF(O31="",0,VLOOKUP(N31,T5T8lookup,30,FALSE))</f>
        <v>0</v>
      </c>
      <c r="Q33" s="3100"/>
      <c r="R33" s="3100"/>
      <c r="S33" s="3100"/>
      <c r="T33" s="3100"/>
      <c r="U33" s="3100"/>
      <c r="V33" s="670"/>
      <c r="W33" s="2807"/>
    </row>
    <row r="34" spans="1:23" ht="14.1" customHeight="1">
      <c r="A34" s="1662"/>
      <c r="B34" s="3101" t="str">
        <f>B30</f>
        <v>Proposed retrofit:</v>
      </c>
      <c r="C34" s="3101"/>
      <c r="D34" s="3102">
        <f>P34</f>
        <v>0</v>
      </c>
      <c r="E34" s="3102"/>
      <c r="F34" s="3102"/>
      <c r="G34" s="3102"/>
      <c r="H34" s="3102"/>
      <c r="I34" s="3102"/>
      <c r="J34" s="3104"/>
      <c r="K34" s="1719"/>
      <c r="L34" s="2812"/>
      <c r="O34" s="627" t="s">
        <v>2647</v>
      </c>
      <c r="P34" s="3103">
        <f>IF(O31="",0,VLOOKUP(N31,T5T8lookup,31,FALSE))</f>
        <v>0</v>
      </c>
      <c r="Q34" s="3103"/>
      <c r="R34" s="3103"/>
      <c r="S34" s="3103"/>
      <c r="T34" s="3103"/>
      <c r="U34" s="3103"/>
      <c r="V34" s="671"/>
      <c r="W34" s="2807"/>
    </row>
    <row r="35" spans="1:23" ht="14.1" customHeight="1">
      <c r="A35" s="1702"/>
      <c r="B35" s="1710" t="s">
        <v>584</v>
      </c>
      <c r="C35" s="3105" t="str">
        <f>O35</f>
        <v/>
      </c>
      <c r="D35" s="3105"/>
      <c r="E35" s="3105"/>
      <c r="F35" s="3105"/>
      <c r="G35" s="3105"/>
      <c r="H35" s="3105"/>
      <c r="I35" s="3105"/>
      <c r="J35" s="1711"/>
      <c r="K35" s="1685"/>
      <c r="L35" s="2082"/>
      <c r="N35">
        <v>7</v>
      </c>
      <c r="O35" s="3106" t="str">
        <f>IF(ISERROR(VLOOKUP(N35,T5T8lookup,4,FALSE)),"",VLOOKUP(N35,T5T8lookup,4,FALSE))</f>
        <v/>
      </c>
      <c r="P35" s="3107"/>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07"/>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4"/>
      <c r="O36" s="626" t="s">
        <v>2649</v>
      </c>
      <c r="P36" s="3100">
        <f>IF(O35="",0,VLOOKUP(N35,T5T8lookup,32,FALSE))</f>
        <v>0</v>
      </c>
      <c r="Q36" s="3100"/>
      <c r="R36" s="3100"/>
      <c r="S36" s="3100"/>
      <c r="T36" s="3100"/>
      <c r="U36" s="3100"/>
      <c r="V36" s="670"/>
      <c r="W36" s="2806" t="str">
        <f>IF(C35="","",IF($O$7=TRUE,"Enter Cost",""))</f>
        <v/>
      </c>
    </row>
    <row r="37" spans="1:23" ht="14.1" customHeight="1">
      <c r="A37" s="1662"/>
      <c r="B37" s="3098" t="str">
        <f>B33</f>
        <v>Existing:</v>
      </c>
      <c r="C37" s="3098"/>
      <c r="D37" s="3099">
        <f>P37</f>
        <v>0</v>
      </c>
      <c r="E37" s="3099"/>
      <c r="F37" s="3099"/>
      <c r="G37" s="3099"/>
      <c r="H37" s="3099"/>
      <c r="I37" s="3099"/>
      <c r="J37" s="1717"/>
      <c r="K37" s="1719"/>
      <c r="L37" s="2812"/>
      <c r="O37" s="626" t="s">
        <v>2646</v>
      </c>
      <c r="P37" s="3100">
        <f>IF(O35="",0,VLOOKUP(N35,T5T8lookup,30,FALSE))</f>
        <v>0</v>
      </c>
      <c r="Q37" s="3100"/>
      <c r="R37" s="3100"/>
      <c r="S37" s="3100"/>
      <c r="T37" s="3100"/>
      <c r="U37" s="3100"/>
      <c r="V37" s="670"/>
      <c r="W37" s="2807"/>
    </row>
    <row r="38" spans="1:23" ht="14.1" customHeight="1">
      <c r="A38" s="1662"/>
      <c r="B38" s="3101" t="str">
        <f>B34</f>
        <v>Proposed retrofit:</v>
      </c>
      <c r="C38" s="3101"/>
      <c r="D38" s="3102">
        <f>P38</f>
        <v>0</v>
      </c>
      <c r="E38" s="3102"/>
      <c r="F38" s="3102"/>
      <c r="G38" s="3102"/>
      <c r="H38" s="3102"/>
      <c r="I38" s="3102"/>
      <c r="J38" s="3104"/>
      <c r="K38" s="1719"/>
      <c r="L38" s="2812"/>
      <c r="O38" s="627" t="s">
        <v>2647</v>
      </c>
      <c r="P38" s="3103">
        <f>IF(O35="",0,VLOOKUP(N35,T5T8lookup,31,FALSE))</f>
        <v>0</v>
      </c>
      <c r="Q38" s="3103"/>
      <c r="R38" s="3103"/>
      <c r="S38" s="3103"/>
      <c r="T38" s="3103"/>
      <c r="U38" s="3103"/>
      <c r="V38" s="671"/>
      <c r="W38" s="2807"/>
    </row>
    <row r="39" spans="1:23" ht="14.1" customHeight="1">
      <c r="A39" s="1702"/>
      <c r="B39" s="1710" t="s">
        <v>585</v>
      </c>
      <c r="C39" s="3105" t="str">
        <f>O39</f>
        <v/>
      </c>
      <c r="D39" s="3105"/>
      <c r="E39" s="3105"/>
      <c r="F39" s="3105"/>
      <c r="G39" s="3105"/>
      <c r="H39" s="3105"/>
      <c r="I39" s="3105"/>
      <c r="J39" s="1711"/>
      <c r="K39" s="1685"/>
      <c r="L39" s="2082"/>
      <c r="N39">
        <v>8</v>
      </c>
      <c r="O39" s="3106" t="str">
        <f>IF(ISERROR(VLOOKUP(N39,T5T8lookup,4,FALSE)),"",VLOOKUP(N39,T5T8lookup,4,FALSE))</f>
        <v/>
      </c>
      <c r="P39" s="3107"/>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07"/>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4"/>
      <c r="O40" s="626" t="s">
        <v>2649</v>
      </c>
      <c r="P40" s="3100">
        <f>IF(O39="",0,VLOOKUP(N39,T5T8lookup,32,FALSE))</f>
        <v>0</v>
      </c>
      <c r="Q40" s="3100"/>
      <c r="R40" s="3100"/>
      <c r="S40" s="3100"/>
      <c r="T40" s="3100"/>
      <c r="U40" s="3100"/>
      <c r="V40" s="670"/>
      <c r="W40" s="2806" t="str">
        <f>IF(C39="","",IF($O$7=TRUE,"Enter Cost",""))</f>
        <v/>
      </c>
    </row>
    <row r="41" spans="1:23" ht="14.1" customHeight="1">
      <c r="A41" s="1662"/>
      <c r="B41" s="3098" t="str">
        <f>B37</f>
        <v>Existing:</v>
      </c>
      <c r="C41" s="3098"/>
      <c r="D41" s="3099">
        <f>P41</f>
        <v>0</v>
      </c>
      <c r="E41" s="3099"/>
      <c r="F41" s="3099"/>
      <c r="G41" s="3099"/>
      <c r="H41" s="3099"/>
      <c r="I41" s="3099"/>
      <c r="J41" s="1717"/>
      <c r="K41" s="1719"/>
      <c r="L41" s="2812"/>
      <c r="O41" s="626" t="s">
        <v>2646</v>
      </c>
      <c r="P41" s="3100">
        <f>IF(O39="",0,VLOOKUP(N39,T5T8lookup,30,FALSE))</f>
        <v>0</v>
      </c>
      <c r="Q41" s="3100"/>
      <c r="R41" s="3100"/>
      <c r="S41" s="3100"/>
      <c r="T41" s="3100"/>
      <c r="U41" s="3100"/>
      <c r="V41" s="670"/>
      <c r="W41" s="2807"/>
    </row>
    <row r="42" spans="1:23" ht="14.1" customHeight="1">
      <c r="A42" s="1662"/>
      <c r="B42" s="3101" t="str">
        <f>B38</f>
        <v>Proposed retrofit:</v>
      </c>
      <c r="C42" s="3101"/>
      <c r="D42" s="3102">
        <f>P42</f>
        <v>0</v>
      </c>
      <c r="E42" s="3102"/>
      <c r="F42" s="3102"/>
      <c r="G42" s="3102"/>
      <c r="H42" s="3102"/>
      <c r="I42" s="3102"/>
      <c r="J42" s="3104"/>
      <c r="K42" s="1719"/>
      <c r="L42" s="2812"/>
      <c r="O42" s="627" t="s">
        <v>2647</v>
      </c>
      <c r="P42" s="3103">
        <f>IF(O39="",0,VLOOKUP(N39,T5T8lookup,31,FALSE))</f>
        <v>0</v>
      </c>
      <c r="Q42" s="3103"/>
      <c r="R42" s="3103"/>
      <c r="S42" s="3103"/>
      <c r="T42" s="3103"/>
      <c r="U42" s="3103"/>
      <c r="V42" s="671"/>
      <c r="W42" s="2807"/>
    </row>
    <row r="43" spans="1:23" ht="14.25" customHeight="1">
      <c r="A43" s="1702"/>
      <c r="B43" s="2878" t="s">
        <v>62</v>
      </c>
      <c r="C43" s="3105" t="str">
        <f>O43</f>
        <v/>
      </c>
      <c r="D43" s="3105"/>
      <c r="E43" s="3105"/>
      <c r="F43" s="3105"/>
      <c r="G43" s="3105"/>
      <c r="H43" s="3105"/>
      <c r="I43" s="3105"/>
      <c r="J43" s="2836"/>
      <c r="K43" s="1685"/>
      <c r="L43" s="2082"/>
      <c r="N43">
        <v>9</v>
      </c>
      <c r="O43" s="3106" t="str">
        <f>IF(ISERROR(VLOOKUP(N43,T5T8lookup,4,FALSE)),"",VLOOKUP(N43,T5T8lookup,4,FALSE))</f>
        <v/>
      </c>
      <c r="P43" s="3107"/>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07"/>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4"/>
      <c r="O44" s="626" t="s">
        <v>2649</v>
      </c>
      <c r="P44" s="3100">
        <f>IF(O43="",0,VLOOKUP(N43,T5T8lookup,32,FALSE))</f>
        <v>0</v>
      </c>
      <c r="Q44" s="3100"/>
      <c r="R44" s="3100"/>
      <c r="S44" s="3100"/>
      <c r="T44" s="3100"/>
      <c r="U44" s="3100"/>
      <c r="V44" s="670"/>
      <c r="W44" s="2806" t="str">
        <f>IF(C43="","",IF($O$7=TRUE,"Enter Cost",""))</f>
        <v/>
      </c>
    </row>
    <row r="45" spans="1:23" ht="14.25" customHeight="1">
      <c r="A45" s="1662"/>
      <c r="B45" s="3098" t="str">
        <f>B41</f>
        <v>Existing:</v>
      </c>
      <c r="C45" s="3098"/>
      <c r="D45" s="3099">
        <f>P45</f>
        <v>0</v>
      </c>
      <c r="E45" s="3099"/>
      <c r="F45" s="3099"/>
      <c r="G45" s="3099"/>
      <c r="H45" s="3099"/>
      <c r="I45" s="3099"/>
      <c r="J45" s="1717"/>
      <c r="K45" s="1719"/>
      <c r="L45" s="2812"/>
      <c r="O45" s="626" t="s">
        <v>2646</v>
      </c>
      <c r="P45" s="3100">
        <f>IF(O43="",0,VLOOKUP(N43,T5T8lookup,30,FALSE))</f>
        <v>0</v>
      </c>
      <c r="Q45" s="3100"/>
      <c r="R45" s="3100"/>
      <c r="S45" s="3100"/>
      <c r="T45" s="3100"/>
      <c r="U45" s="3100"/>
      <c r="V45" s="670"/>
      <c r="W45" s="2807"/>
    </row>
    <row r="46" spans="1:23" ht="14.25" customHeight="1">
      <c r="A46" s="1662"/>
      <c r="B46" s="3101" t="str">
        <f>B42</f>
        <v>Proposed retrofit:</v>
      </c>
      <c r="C46" s="3101"/>
      <c r="D46" s="3102">
        <f>P46</f>
        <v>0</v>
      </c>
      <c r="E46" s="3102"/>
      <c r="F46" s="3102"/>
      <c r="G46" s="3102"/>
      <c r="H46" s="3102"/>
      <c r="I46" s="3102"/>
      <c r="J46" s="2752"/>
      <c r="K46" s="1719"/>
      <c r="L46" s="2812"/>
      <c r="O46" s="627" t="s">
        <v>2647</v>
      </c>
      <c r="P46" s="3103">
        <f>IF(O43="",0,VLOOKUP(N43,T5T8lookup,31,FALSE))</f>
        <v>0</v>
      </c>
      <c r="Q46" s="3103"/>
      <c r="R46" s="3103"/>
      <c r="S46" s="3103"/>
      <c r="T46" s="3103"/>
      <c r="U46" s="3103"/>
      <c r="V46" s="671"/>
      <c r="W46" s="2807"/>
    </row>
    <row r="47" spans="1:23" ht="14.25" customHeight="1">
      <c r="A47" s="1702"/>
      <c r="B47" s="1710" t="s">
        <v>63</v>
      </c>
      <c r="C47" s="3105" t="str">
        <f>O47</f>
        <v/>
      </c>
      <c r="D47" s="3105"/>
      <c r="E47" s="3105"/>
      <c r="F47" s="3105"/>
      <c r="G47" s="3105"/>
      <c r="H47" s="3105"/>
      <c r="I47" s="3105"/>
      <c r="J47" s="2838"/>
      <c r="K47" s="1685"/>
      <c r="L47" s="2082"/>
      <c r="N47">
        <v>10</v>
      </c>
      <c r="O47" s="3106" t="str">
        <f>IF(ISERROR(VLOOKUP(N47,T5T8lookup,4,FALSE)),"",VLOOKUP(N47,T5T8lookup,4,FALSE))</f>
        <v/>
      </c>
      <c r="P47" s="3107"/>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07"/>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4"/>
      <c r="O48" s="626" t="s">
        <v>2649</v>
      </c>
      <c r="P48" s="3100">
        <f>IF(O47="",0,VLOOKUP(N47,T5T8lookup,32,FALSE))</f>
        <v>0</v>
      </c>
      <c r="Q48" s="3100"/>
      <c r="R48" s="3100"/>
      <c r="S48" s="3100"/>
      <c r="T48" s="3100"/>
      <c r="U48" s="3100"/>
      <c r="V48" s="670"/>
      <c r="W48" s="2806" t="str">
        <f>IF(C47="","",IF($O$7=TRUE,"Enter Cost",""))</f>
        <v/>
      </c>
    </row>
    <row r="49" spans="1:23" ht="14.25" customHeight="1">
      <c r="A49" s="1662"/>
      <c r="B49" s="3098" t="s">
        <v>479</v>
      </c>
      <c r="C49" s="3098"/>
      <c r="D49" s="3099">
        <f>P49</f>
        <v>0</v>
      </c>
      <c r="E49" s="3099"/>
      <c r="F49" s="3099"/>
      <c r="G49" s="3099"/>
      <c r="H49" s="3099"/>
      <c r="I49" s="3099"/>
      <c r="J49" s="2837"/>
      <c r="K49" s="1685"/>
      <c r="L49" s="2082"/>
      <c r="O49" s="626" t="s">
        <v>2646</v>
      </c>
      <c r="P49" s="3100">
        <f>IF(O47="",0,VLOOKUP(N47,T5T8lookup,30,FALSE))</f>
        <v>0</v>
      </c>
      <c r="Q49" s="3100"/>
      <c r="R49" s="3100"/>
      <c r="S49" s="3100"/>
      <c r="T49" s="3100"/>
      <c r="U49" s="3100"/>
      <c r="V49" s="670"/>
      <c r="W49" s="2807"/>
    </row>
    <row r="50" spans="1:23" ht="14.25" customHeight="1">
      <c r="A50" s="1662"/>
      <c r="B50" s="3101" t="s">
        <v>214</v>
      </c>
      <c r="C50" s="3101"/>
      <c r="D50" s="3102">
        <f>P50</f>
        <v>0</v>
      </c>
      <c r="E50" s="3102"/>
      <c r="F50" s="3102"/>
      <c r="G50" s="3102"/>
      <c r="H50" s="3102"/>
      <c r="I50" s="3102"/>
      <c r="J50" s="3104"/>
      <c r="K50" s="1685"/>
      <c r="L50" s="2082"/>
      <c r="O50" s="627" t="s">
        <v>2647</v>
      </c>
      <c r="P50" s="3103">
        <f>IF(O47="",0,VLOOKUP(N47,T5T8lookup,31,FALSE))</f>
        <v>0</v>
      </c>
      <c r="Q50" s="3103"/>
      <c r="R50" s="3103"/>
      <c r="S50" s="3103"/>
      <c r="T50" s="3103"/>
      <c r="U50" s="3103"/>
      <c r="V50" s="671"/>
      <c r="W50" s="2807"/>
    </row>
    <row r="51" spans="1:23" ht="14.25" customHeight="1">
      <c r="A51" s="1702"/>
      <c r="B51" s="1710" t="s">
        <v>3843</v>
      </c>
      <c r="C51" s="3105" t="str">
        <f>O51</f>
        <v/>
      </c>
      <c r="D51" s="3105"/>
      <c r="E51" s="3105"/>
      <c r="F51" s="3105"/>
      <c r="G51" s="3105"/>
      <c r="H51" s="3105"/>
      <c r="I51" s="3105"/>
      <c r="J51" s="2838"/>
      <c r="K51" s="1685"/>
      <c r="L51" s="2082"/>
      <c r="N51">
        <v>11</v>
      </c>
      <c r="O51" s="3106" t="str">
        <f>IF(ISERROR(VLOOKUP(N51,T5T8lookup,4,FALSE)),"",VLOOKUP(N51,T5T8lookup,4,FALSE))</f>
        <v/>
      </c>
      <c r="P51" s="3107"/>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07"/>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4"/>
      <c r="O52" s="626" t="s">
        <v>2649</v>
      </c>
      <c r="P52" s="3100">
        <f>IF(O51="",0,VLOOKUP(N51,T5T8lookup,32,FALSE))</f>
        <v>0</v>
      </c>
      <c r="Q52" s="3100"/>
      <c r="R52" s="3100"/>
      <c r="S52" s="3100"/>
      <c r="T52" s="3100"/>
      <c r="U52" s="3100"/>
      <c r="V52" s="670"/>
      <c r="W52" s="2806" t="str">
        <f>IF(C51="","",IF($O$7=TRUE,"Enter Cost",""))</f>
        <v/>
      </c>
    </row>
    <row r="53" spans="1:23" ht="14.25" customHeight="1">
      <c r="A53" s="1662"/>
      <c r="B53" s="3098" t="str">
        <f>B49</f>
        <v>Existing:</v>
      </c>
      <c r="C53" s="3098"/>
      <c r="D53" s="3099">
        <f>P53</f>
        <v>0</v>
      </c>
      <c r="E53" s="3099"/>
      <c r="F53" s="3099"/>
      <c r="G53" s="3099"/>
      <c r="H53" s="3099"/>
      <c r="I53" s="3099"/>
      <c r="J53" s="2837"/>
      <c r="K53" s="1719"/>
      <c r="L53" s="2812"/>
      <c r="O53" s="626" t="s">
        <v>2646</v>
      </c>
      <c r="P53" s="3100">
        <f>IF(O51="",0,VLOOKUP(N51,T5T8lookup,30,FALSE))</f>
        <v>0</v>
      </c>
      <c r="Q53" s="3100"/>
      <c r="R53" s="3100"/>
      <c r="S53" s="3100"/>
      <c r="T53" s="3100"/>
      <c r="U53" s="3100"/>
      <c r="V53" s="670"/>
      <c r="W53" s="2807"/>
    </row>
    <row r="54" spans="1:23" ht="14.25" customHeight="1">
      <c r="A54" s="1662"/>
      <c r="B54" s="3101" t="str">
        <f>B50</f>
        <v>Proposed retrofit:</v>
      </c>
      <c r="C54" s="3101"/>
      <c r="D54" s="3102">
        <f>P54</f>
        <v>0</v>
      </c>
      <c r="E54" s="3102"/>
      <c r="F54" s="3102"/>
      <c r="G54" s="3102"/>
      <c r="H54" s="3102"/>
      <c r="I54" s="3102"/>
      <c r="J54" s="3104"/>
      <c r="K54" s="1719"/>
      <c r="L54" s="2812"/>
      <c r="O54" s="627" t="s">
        <v>2647</v>
      </c>
      <c r="P54" s="3103">
        <f>IF(O51="",0,VLOOKUP(N51,T5T8lookup,31,FALSE))</f>
        <v>0</v>
      </c>
      <c r="Q54" s="3103"/>
      <c r="R54" s="3103"/>
      <c r="S54" s="3103"/>
      <c r="T54" s="3103"/>
      <c r="U54" s="3103"/>
      <c r="V54" s="671"/>
      <c r="W54" s="2807"/>
    </row>
    <row r="55" spans="1:23" ht="14.25" customHeight="1">
      <c r="A55" s="1702"/>
      <c r="B55" s="1710" t="s">
        <v>3844</v>
      </c>
      <c r="C55" s="3105" t="str">
        <f>O55</f>
        <v/>
      </c>
      <c r="D55" s="3105"/>
      <c r="E55" s="3105"/>
      <c r="F55" s="3105"/>
      <c r="G55" s="3105"/>
      <c r="H55" s="3105"/>
      <c r="I55" s="3105"/>
      <c r="J55" s="2838"/>
      <c r="K55" s="1685"/>
      <c r="L55" s="2082"/>
      <c r="N55">
        <v>12</v>
      </c>
      <c r="O55" s="3106" t="str">
        <f>IF(ISERROR(VLOOKUP(N55,T5T8lookup,4,FALSE)),"",VLOOKUP(N55,T5T8lookup,4,FALSE))</f>
        <v/>
      </c>
      <c r="P55" s="3107"/>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07"/>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4"/>
      <c r="O56" s="626" t="s">
        <v>2649</v>
      </c>
      <c r="P56" s="3100">
        <f>IF(O55="",0,VLOOKUP(N55,T5T8lookup,32,FALSE))</f>
        <v>0</v>
      </c>
      <c r="Q56" s="3100"/>
      <c r="R56" s="3100"/>
      <c r="S56" s="3100"/>
      <c r="T56" s="3100"/>
      <c r="U56" s="3100"/>
      <c r="V56" s="670"/>
      <c r="W56" s="2806" t="str">
        <f>IF(C55="","",IF($O$7=TRUE,"Enter Cost",""))</f>
        <v/>
      </c>
    </row>
    <row r="57" spans="1:23" ht="14.25" customHeight="1">
      <c r="A57" s="1662"/>
      <c r="B57" s="3098" t="str">
        <f>B53</f>
        <v>Existing:</v>
      </c>
      <c r="C57" s="3098"/>
      <c r="D57" s="3099">
        <f>P57</f>
        <v>0</v>
      </c>
      <c r="E57" s="3099"/>
      <c r="F57" s="3099"/>
      <c r="G57" s="3099"/>
      <c r="H57" s="3099"/>
      <c r="I57" s="3099"/>
      <c r="J57" s="2837"/>
      <c r="K57" s="1719"/>
      <c r="L57" s="2812"/>
      <c r="O57" s="626" t="s">
        <v>2646</v>
      </c>
      <c r="P57" s="3100">
        <f>IF(O55="",0,VLOOKUP(N55,T5T8lookup,30,FALSE))</f>
        <v>0</v>
      </c>
      <c r="Q57" s="3100"/>
      <c r="R57" s="3100"/>
      <c r="S57" s="3100"/>
      <c r="T57" s="3100"/>
      <c r="U57" s="3100"/>
      <c r="V57" s="670"/>
      <c r="W57" s="2807"/>
    </row>
    <row r="58" spans="1:23" ht="14.25" customHeight="1">
      <c r="A58" s="1662"/>
      <c r="B58" s="3101" t="str">
        <f>B54</f>
        <v>Proposed retrofit:</v>
      </c>
      <c r="C58" s="3101"/>
      <c r="D58" s="3102">
        <f>P58</f>
        <v>0</v>
      </c>
      <c r="E58" s="3102"/>
      <c r="F58" s="3102"/>
      <c r="G58" s="3102"/>
      <c r="H58" s="3102"/>
      <c r="I58" s="3102"/>
      <c r="J58" s="3104"/>
      <c r="K58" s="1719"/>
      <c r="L58" s="2812"/>
      <c r="O58" s="627" t="s">
        <v>2647</v>
      </c>
      <c r="P58" s="3103">
        <f>IF(O55="",0,VLOOKUP(N55,T5T8lookup,31,FALSE))</f>
        <v>0</v>
      </c>
      <c r="Q58" s="3103"/>
      <c r="R58" s="3103"/>
      <c r="S58" s="3103"/>
      <c r="T58" s="3103"/>
      <c r="U58" s="3103"/>
      <c r="V58" s="671"/>
      <c r="W58" s="2807"/>
    </row>
    <row r="59" spans="1:23" ht="14.25" customHeight="1">
      <c r="A59" s="1702"/>
      <c r="B59" s="1710" t="s">
        <v>3845</v>
      </c>
      <c r="C59" s="3105" t="str">
        <f>O59</f>
        <v/>
      </c>
      <c r="D59" s="3105"/>
      <c r="E59" s="3105"/>
      <c r="F59" s="3105"/>
      <c r="G59" s="3105"/>
      <c r="H59" s="3105"/>
      <c r="I59" s="3105"/>
      <c r="J59" s="2838"/>
      <c r="K59" s="1685"/>
      <c r="L59" s="2082"/>
      <c r="N59">
        <v>13</v>
      </c>
      <c r="O59" s="3106" t="str">
        <f>IF(ISERROR(VLOOKUP(N59,T5T8lookup,4,FALSE)),"",VLOOKUP(N59,T5T8lookup,4,FALSE))</f>
        <v/>
      </c>
      <c r="P59" s="3107"/>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07"/>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4"/>
      <c r="O60" s="626" t="s">
        <v>2649</v>
      </c>
      <c r="P60" s="3100">
        <f>IF(O59="",0,VLOOKUP(N59,T5T8lookup,32,FALSE))</f>
        <v>0</v>
      </c>
      <c r="Q60" s="3100"/>
      <c r="R60" s="3100"/>
      <c r="S60" s="3100"/>
      <c r="T60" s="3100"/>
      <c r="U60" s="3100"/>
      <c r="V60" s="670"/>
      <c r="W60" s="2806" t="str">
        <f>IF(C59="","",IF($O$7=TRUE,"Enter Cost",""))</f>
        <v/>
      </c>
    </row>
    <row r="61" spans="1:23" ht="14.25" customHeight="1">
      <c r="A61" s="1662"/>
      <c r="B61" s="3098" t="str">
        <f>B57</f>
        <v>Existing:</v>
      </c>
      <c r="C61" s="3098"/>
      <c r="D61" s="3099">
        <f>P61</f>
        <v>0</v>
      </c>
      <c r="E61" s="3099"/>
      <c r="F61" s="3099"/>
      <c r="G61" s="3099"/>
      <c r="H61" s="3099"/>
      <c r="I61" s="3099"/>
      <c r="J61" s="2837"/>
      <c r="K61" s="1719"/>
      <c r="L61" s="2812"/>
      <c r="O61" s="626" t="s">
        <v>2646</v>
      </c>
      <c r="P61" s="3100">
        <f>IF(O59="",0,VLOOKUP(N59,T5T8lookup,30,FALSE))</f>
        <v>0</v>
      </c>
      <c r="Q61" s="3100"/>
      <c r="R61" s="3100"/>
      <c r="S61" s="3100"/>
      <c r="T61" s="3100"/>
      <c r="U61" s="3100"/>
      <c r="V61" s="670"/>
      <c r="W61" s="2807"/>
    </row>
    <row r="62" spans="1:23" ht="14.25" customHeight="1">
      <c r="A62" s="1662"/>
      <c r="B62" s="3101" t="str">
        <f>B58</f>
        <v>Proposed retrofit:</v>
      </c>
      <c r="C62" s="3101"/>
      <c r="D62" s="3102">
        <f>P62</f>
        <v>0</v>
      </c>
      <c r="E62" s="3102"/>
      <c r="F62" s="3102"/>
      <c r="G62" s="3102"/>
      <c r="H62" s="3102"/>
      <c r="I62" s="3102"/>
      <c r="J62" s="3104"/>
      <c r="K62" s="1719"/>
      <c r="L62" s="2812"/>
      <c r="O62" s="627" t="s">
        <v>2647</v>
      </c>
      <c r="P62" s="3103">
        <f>IF(O59="",0,VLOOKUP(N59,T5T8lookup,31,FALSE))</f>
        <v>0</v>
      </c>
      <c r="Q62" s="3103"/>
      <c r="R62" s="3103"/>
      <c r="S62" s="3103"/>
      <c r="T62" s="3103"/>
      <c r="U62" s="3103"/>
      <c r="V62" s="671"/>
      <c r="W62" s="2807"/>
    </row>
    <row r="63" spans="1:23" ht="14.25" customHeight="1">
      <c r="A63" s="1702"/>
      <c r="B63" s="1710" t="s">
        <v>3846</v>
      </c>
      <c r="C63" s="3105" t="str">
        <f>O63</f>
        <v/>
      </c>
      <c r="D63" s="3105"/>
      <c r="E63" s="3105"/>
      <c r="F63" s="3105"/>
      <c r="G63" s="3105"/>
      <c r="H63" s="3105"/>
      <c r="I63" s="3105"/>
      <c r="J63" s="2838"/>
      <c r="K63" s="1685"/>
      <c r="L63" s="2082"/>
      <c r="N63">
        <v>14</v>
      </c>
      <c r="O63" s="3106" t="str">
        <f>IF(ISERROR(VLOOKUP(N63,T5T8lookup,4,FALSE)),"",VLOOKUP(N63,T5T8lookup,4,FALSE))</f>
        <v/>
      </c>
      <c r="P63" s="3107"/>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07"/>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4"/>
      <c r="O64" s="626" t="s">
        <v>2649</v>
      </c>
      <c r="P64" s="3100">
        <f>IF(O63="",0,VLOOKUP(N63,T5T8lookup,32,FALSE))</f>
        <v>0</v>
      </c>
      <c r="Q64" s="3100"/>
      <c r="R64" s="3100"/>
      <c r="S64" s="3100"/>
      <c r="T64" s="3100"/>
      <c r="U64" s="3100"/>
      <c r="V64" s="670"/>
      <c r="W64" s="2806" t="str">
        <f>IF(C63="","",IF($O$7=TRUE,"Enter Cost",""))</f>
        <v/>
      </c>
    </row>
    <row r="65" spans="1:23" ht="14.25" customHeight="1">
      <c r="A65" s="1662"/>
      <c r="B65" s="3098" t="str">
        <f>B61</f>
        <v>Existing:</v>
      </c>
      <c r="C65" s="3098"/>
      <c r="D65" s="3099">
        <f>P65</f>
        <v>0</v>
      </c>
      <c r="E65" s="3099"/>
      <c r="F65" s="3099"/>
      <c r="G65" s="3099"/>
      <c r="H65" s="3099"/>
      <c r="I65" s="3099"/>
      <c r="J65" s="2837"/>
      <c r="K65" s="1719"/>
      <c r="L65" s="2812"/>
      <c r="O65" s="626" t="s">
        <v>2646</v>
      </c>
      <c r="P65" s="3100">
        <f>IF(O63="",0,VLOOKUP(N63,T5T8lookup,30,FALSE))</f>
        <v>0</v>
      </c>
      <c r="Q65" s="3100"/>
      <c r="R65" s="3100"/>
      <c r="S65" s="3100"/>
      <c r="T65" s="3100"/>
      <c r="U65" s="3100"/>
      <c r="V65" s="670"/>
      <c r="W65" s="2807"/>
    </row>
    <row r="66" spans="1:23" ht="14.25" customHeight="1">
      <c r="A66" s="1662"/>
      <c r="B66" s="3101" t="str">
        <f>B62</f>
        <v>Proposed retrofit:</v>
      </c>
      <c r="C66" s="3101"/>
      <c r="D66" s="3102">
        <f>P66</f>
        <v>0</v>
      </c>
      <c r="E66" s="3102"/>
      <c r="F66" s="3102"/>
      <c r="G66" s="3102"/>
      <c r="H66" s="3102"/>
      <c r="I66" s="3102"/>
      <c r="J66" s="2835"/>
      <c r="K66" s="1719"/>
      <c r="L66" s="2812"/>
      <c r="O66" s="627" t="s">
        <v>2647</v>
      </c>
      <c r="P66" s="3103">
        <f>IF(O63="",0,VLOOKUP(N63,T5T8lookup,31,FALSE))</f>
        <v>0</v>
      </c>
      <c r="Q66" s="3103"/>
      <c r="R66" s="3103"/>
      <c r="S66" s="3103"/>
      <c r="T66" s="3103"/>
      <c r="U66" s="3103"/>
      <c r="V66" s="671"/>
      <c r="W66" s="2807"/>
    </row>
    <row r="67" spans="1:23" ht="14.25" customHeight="1">
      <c r="A67" s="1702"/>
      <c r="B67" s="1710" t="s">
        <v>3847</v>
      </c>
      <c r="C67" s="3105" t="str">
        <f>O67</f>
        <v/>
      </c>
      <c r="D67" s="3105"/>
      <c r="E67" s="3105"/>
      <c r="F67" s="3105"/>
      <c r="G67" s="3105"/>
      <c r="H67" s="3105"/>
      <c r="I67" s="3105"/>
      <c r="J67" s="2838"/>
      <c r="K67" s="1685"/>
      <c r="L67" s="2082"/>
      <c r="N67">
        <v>15</v>
      </c>
      <c r="O67" s="3106" t="str">
        <f>IF(ISERROR(VLOOKUP(N67,T5T8lookup,4,FALSE)),"",VLOOKUP(N67,T5T8lookup,4,FALSE))</f>
        <v/>
      </c>
      <c r="P67" s="3107"/>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07"/>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4"/>
      <c r="O68" s="626" t="s">
        <v>2649</v>
      </c>
      <c r="P68" s="3100">
        <f>IF(O67="",0,VLOOKUP(N67,T5T8lookup,32,FALSE))</f>
        <v>0</v>
      </c>
      <c r="Q68" s="3100"/>
      <c r="R68" s="3100"/>
      <c r="S68" s="3100"/>
      <c r="T68" s="3100"/>
      <c r="U68" s="3100"/>
      <c r="V68" s="670"/>
      <c r="W68" s="2806" t="str">
        <f>IF(C67="","",IF($O$7=TRUE,"Enter Cost",""))</f>
        <v/>
      </c>
    </row>
    <row r="69" spans="1:23" ht="14.25" customHeight="1">
      <c r="A69" s="1662"/>
      <c r="B69" s="3098" t="str">
        <f>B65</f>
        <v>Existing:</v>
      </c>
      <c r="C69" s="3098"/>
      <c r="D69" s="3099">
        <f>P69</f>
        <v>0</v>
      </c>
      <c r="E69" s="3099"/>
      <c r="F69" s="3099"/>
      <c r="G69" s="3099"/>
      <c r="H69" s="3099"/>
      <c r="I69" s="3099"/>
      <c r="J69" s="2837"/>
      <c r="K69" s="1719"/>
      <c r="L69" s="2812"/>
      <c r="O69" s="626" t="s">
        <v>2646</v>
      </c>
      <c r="P69" s="3100">
        <f>IF(O67="",0,VLOOKUP(N67,T5T8lookup,30,FALSE))</f>
        <v>0</v>
      </c>
      <c r="Q69" s="3100"/>
      <c r="R69" s="3100"/>
      <c r="S69" s="3100"/>
      <c r="T69" s="3100"/>
      <c r="U69" s="3100"/>
      <c r="V69" s="670"/>
      <c r="W69" s="2807"/>
    </row>
    <row r="70" spans="1:23" ht="14.25" customHeight="1">
      <c r="A70" s="1662"/>
      <c r="B70" s="3101" t="str">
        <f>B66</f>
        <v>Proposed retrofit:</v>
      </c>
      <c r="C70" s="3101"/>
      <c r="D70" s="3102">
        <f>P70</f>
        <v>0</v>
      </c>
      <c r="E70" s="3102"/>
      <c r="F70" s="3102"/>
      <c r="G70" s="3102"/>
      <c r="H70" s="3102"/>
      <c r="I70" s="3102"/>
      <c r="J70" s="3104"/>
      <c r="K70" s="1719"/>
      <c r="L70" s="2812"/>
      <c r="O70" s="627" t="s">
        <v>2647</v>
      </c>
      <c r="P70" s="3103">
        <f>IF(O67="",0,VLOOKUP(N67,T5T8lookup,31,FALSE))</f>
        <v>0</v>
      </c>
      <c r="Q70" s="3103"/>
      <c r="R70" s="3103"/>
      <c r="S70" s="3103"/>
      <c r="T70" s="3103"/>
      <c r="U70" s="3103"/>
      <c r="V70" s="671"/>
      <c r="W70" s="2807"/>
    </row>
    <row r="71" spans="1:23" ht="14.25" customHeight="1">
      <c r="A71" s="1702"/>
      <c r="B71" s="1710" t="s">
        <v>3848</v>
      </c>
      <c r="C71" s="3105" t="str">
        <f>O71</f>
        <v/>
      </c>
      <c r="D71" s="3105"/>
      <c r="E71" s="3105"/>
      <c r="F71" s="3105"/>
      <c r="G71" s="3105"/>
      <c r="H71" s="3105"/>
      <c r="I71" s="3105"/>
      <c r="J71" s="2838"/>
      <c r="K71" s="1685"/>
      <c r="L71" s="2082"/>
      <c r="N71">
        <v>16</v>
      </c>
      <c r="O71" s="3106" t="str">
        <f>IF(ISERROR(VLOOKUP(N71,T5T8lookup,4,FALSE)),"",VLOOKUP(N71,T5T8lookup,4,FALSE))</f>
        <v/>
      </c>
      <c r="P71" s="3107"/>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07"/>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4"/>
      <c r="O72" s="626" t="s">
        <v>2649</v>
      </c>
      <c r="P72" s="3100">
        <f>IF(O71="",0,VLOOKUP(N71,T5T8lookup,32,FALSE))</f>
        <v>0</v>
      </c>
      <c r="Q72" s="3100"/>
      <c r="R72" s="3100"/>
      <c r="S72" s="3100"/>
      <c r="T72" s="3100"/>
      <c r="U72" s="3100"/>
      <c r="V72" s="670"/>
      <c r="W72" s="2806" t="str">
        <f>IF(C71="","",IF($O$7=TRUE,"Enter Cost",""))</f>
        <v/>
      </c>
    </row>
    <row r="73" spans="1:23" ht="14.25" customHeight="1">
      <c r="A73" s="1662"/>
      <c r="B73" s="3098" t="str">
        <f>B69</f>
        <v>Existing:</v>
      </c>
      <c r="C73" s="3098"/>
      <c r="D73" s="3099">
        <f>P73</f>
        <v>0</v>
      </c>
      <c r="E73" s="3099"/>
      <c r="F73" s="3099"/>
      <c r="G73" s="3099"/>
      <c r="H73" s="3099"/>
      <c r="I73" s="3099"/>
      <c r="J73" s="2837"/>
      <c r="K73" s="1719"/>
      <c r="L73" s="2812"/>
      <c r="O73" s="626" t="s">
        <v>2646</v>
      </c>
      <c r="P73" s="3100">
        <f>IF(O71="",0,VLOOKUP(N71,T5T8lookup,30,FALSE))</f>
        <v>0</v>
      </c>
      <c r="Q73" s="3100"/>
      <c r="R73" s="3100"/>
      <c r="S73" s="3100"/>
      <c r="T73" s="3100"/>
      <c r="U73" s="3100"/>
      <c r="V73" s="670"/>
      <c r="W73" s="2807"/>
    </row>
    <row r="74" spans="1:23" ht="14.25" customHeight="1">
      <c r="A74" s="1662"/>
      <c r="B74" s="3101" t="str">
        <f>B70</f>
        <v>Proposed retrofit:</v>
      </c>
      <c r="C74" s="3101"/>
      <c r="D74" s="3102">
        <f>P74</f>
        <v>0</v>
      </c>
      <c r="E74" s="3102"/>
      <c r="F74" s="3102"/>
      <c r="G74" s="3102"/>
      <c r="H74" s="3102"/>
      <c r="I74" s="3102"/>
      <c r="J74" s="3104"/>
      <c r="K74" s="1719"/>
      <c r="L74" s="2812"/>
      <c r="O74" s="627" t="s">
        <v>2647</v>
      </c>
      <c r="P74" s="3103">
        <f>IF(O71="",0,VLOOKUP(N71,T5T8lookup,31,FALSE))</f>
        <v>0</v>
      </c>
      <c r="Q74" s="3103"/>
      <c r="R74" s="3103"/>
      <c r="S74" s="3103"/>
      <c r="T74" s="3103"/>
      <c r="U74" s="3103"/>
      <c r="V74" s="671"/>
      <c r="W74" s="2807"/>
    </row>
    <row r="75" spans="1:23" ht="14.25" customHeight="1">
      <c r="A75" s="1702"/>
      <c r="B75" s="1710" t="s">
        <v>3849</v>
      </c>
      <c r="C75" s="3105" t="str">
        <f>O75</f>
        <v/>
      </c>
      <c r="D75" s="3105"/>
      <c r="E75" s="3105"/>
      <c r="F75" s="3105"/>
      <c r="G75" s="3105"/>
      <c r="H75" s="3105"/>
      <c r="I75" s="3105"/>
      <c r="J75" s="2838"/>
      <c r="K75" s="1685"/>
      <c r="L75" s="2082"/>
      <c r="N75">
        <v>17</v>
      </c>
      <c r="O75" s="3106" t="str">
        <f>IF(ISERROR(VLOOKUP(N75,T5T8lookup,4,FALSE)),"",VLOOKUP(N75,T5T8lookup,4,FALSE))</f>
        <v/>
      </c>
      <c r="P75" s="3107"/>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07"/>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4"/>
      <c r="O76" s="626" t="s">
        <v>2649</v>
      </c>
      <c r="P76" s="3100">
        <f>IF(O75="",0,VLOOKUP(N75,T5T8lookup,32,FALSE))</f>
        <v>0</v>
      </c>
      <c r="Q76" s="3100"/>
      <c r="R76" s="3100"/>
      <c r="S76" s="3100"/>
      <c r="T76" s="3100"/>
      <c r="U76" s="3100"/>
      <c r="V76" s="670"/>
      <c r="W76" s="2806" t="str">
        <f>IF(C75="","",IF($O$7=TRUE,"Enter Cost",""))</f>
        <v/>
      </c>
    </row>
    <row r="77" spans="1:23" ht="14.25" customHeight="1">
      <c r="A77" s="1662"/>
      <c r="B77" s="3098" t="str">
        <f>B73</f>
        <v>Existing:</v>
      </c>
      <c r="C77" s="3098"/>
      <c r="D77" s="3099">
        <f>P77</f>
        <v>0</v>
      </c>
      <c r="E77" s="3099"/>
      <c r="F77" s="3099"/>
      <c r="G77" s="3099"/>
      <c r="H77" s="3099"/>
      <c r="I77" s="3099"/>
      <c r="J77" s="2837"/>
      <c r="K77" s="1719"/>
      <c r="L77" s="2812"/>
      <c r="O77" s="626" t="s">
        <v>2646</v>
      </c>
      <c r="P77" s="3100">
        <f>IF(O75="",0,VLOOKUP(N75,T5T8lookup,30,FALSE))</f>
        <v>0</v>
      </c>
      <c r="Q77" s="3100"/>
      <c r="R77" s="3100"/>
      <c r="S77" s="3100"/>
      <c r="T77" s="3100"/>
      <c r="U77" s="3100"/>
      <c r="V77" s="670"/>
      <c r="W77" s="2807"/>
    </row>
    <row r="78" spans="1:23" ht="14.25" customHeight="1">
      <c r="A78" s="1662"/>
      <c r="B78" s="3101" t="str">
        <f>B74</f>
        <v>Proposed retrofit:</v>
      </c>
      <c r="C78" s="3101"/>
      <c r="D78" s="3102">
        <f>P78</f>
        <v>0</v>
      </c>
      <c r="E78" s="3102"/>
      <c r="F78" s="3102"/>
      <c r="G78" s="3102"/>
      <c r="H78" s="3102"/>
      <c r="I78" s="3102"/>
      <c r="J78" s="2835"/>
      <c r="K78" s="1719"/>
      <c r="L78" s="2812"/>
      <c r="O78" s="627" t="s">
        <v>2647</v>
      </c>
      <c r="P78" s="3103">
        <f>IF(O75="",0,VLOOKUP(N75,T5T8lookup,31,FALSE))</f>
        <v>0</v>
      </c>
      <c r="Q78" s="3103"/>
      <c r="R78" s="3103"/>
      <c r="S78" s="3103"/>
      <c r="T78" s="3103"/>
      <c r="U78" s="3103"/>
      <c r="V78" s="671"/>
      <c r="W78" s="2807"/>
    </row>
    <row r="79" spans="1:23" ht="14.25" customHeight="1">
      <c r="A79" s="1702"/>
      <c r="B79" s="1710" t="s">
        <v>3855</v>
      </c>
      <c r="C79" s="3105" t="str">
        <f>O79</f>
        <v/>
      </c>
      <c r="D79" s="3105"/>
      <c r="E79" s="3105"/>
      <c r="F79" s="3105"/>
      <c r="G79" s="3105"/>
      <c r="H79" s="3105"/>
      <c r="I79" s="3105"/>
      <c r="J79" s="1711"/>
      <c r="K79" s="1685"/>
      <c r="L79" s="2082"/>
      <c r="N79">
        <v>18</v>
      </c>
      <c r="O79" s="3106" t="str">
        <f>IF(ISERROR(VLOOKUP(N79,T5T8lookup,4,FALSE)),"",VLOOKUP(N79,T5T8lookup,4,FALSE))</f>
        <v/>
      </c>
      <c r="P79" s="3107"/>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07"/>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4"/>
      <c r="O80" s="626" t="s">
        <v>2649</v>
      </c>
      <c r="P80" s="3100">
        <f>IF(O79="",0,VLOOKUP(N79,T5T8lookup,32,FALSE))</f>
        <v>0</v>
      </c>
      <c r="Q80" s="3100"/>
      <c r="R80" s="3100"/>
      <c r="S80" s="3100"/>
      <c r="T80" s="3100"/>
      <c r="U80" s="3100"/>
      <c r="V80" s="670"/>
      <c r="W80" s="2806" t="str">
        <f>IF(C79="","",IF($O$7=TRUE,"Enter Cost",""))</f>
        <v/>
      </c>
    </row>
    <row r="81" spans="1:23" ht="14.25" customHeight="1">
      <c r="A81" s="1662"/>
      <c r="B81" s="3098" t="str">
        <f>B45</f>
        <v>Existing:</v>
      </c>
      <c r="C81" s="3098"/>
      <c r="D81" s="3099">
        <f>P81</f>
        <v>0</v>
      </c>
      <c r="E81" s="3099"/>
      <c r="F81" s="3099"/>
      <c r="G81" s="3099"/>
      <c r="H81" s="3099"/>
      <c r="I81" s="3099"/>
      <c r="J81" s="1717"/>
      <c r="K81" s="1719"/>
      <c r="L81" s="2812"/>
      <c r="O81" s="626" t="s">
        <v>2646</v>
      </c>
      <c r="P81" s="3100">
        <f>IF(O79="",0,VLOOKUP(N79,T5T8lookup,30,FALSE))</f>
        <v>0</v>
      </c>
      <c r="Q81" s="3100"/>
      <c r="R81" s="3100"/>
      <c r="S81" s="3100"/>
      <c r="T81" s="3100"/>
      <c r="U81" s="3100"/>
      <c r="V81" s="670"/>
      <c r="W81" s="2807"/>
    </row>
    <row r="82" spans="1:23" ht="14.25" customHeight="1" thickBot="1">
      <c r="A82" s="1662"/>
      <c r="B82" s="3113" t="str">
        <f>B46</f>
        <v>Proposed retrofit:</v>
      </c>
      <c r="C82" s="3113"/>
      <c r="D82" s="3112">
        <f>P82</f>
        <v>0</v>
      </c>
      <c r="E82" s="3112"/>
      <c r="F82" s="3112"/>
      <c r="G82" s="3112"/>
      <c r="H82" s="3112"/>
      <c r="I82" s="3112"/>
      <c r="J82" s="2753"/>
      <c r="K82" s="1719"/>
      <c r="L82" s="2812"/>
      <c r="O82" s="627" t="s">
        <v>2647</v>
      </c>
      <c r="P82" s="3103">
        <f>IF(O79="",0,VLOOKUP(N79,T5T8lookup,31,FALSE))</f>
        <v>0</v>
      </c>
      <c r="Q82" s="3103"/>
      <c r="R82" s="3103"/>
      <c r="S82" s="3103"/>
      <c r="T82" s="3103"/>
      <c r="U82" s="3103"/>
      <c r="V82" s="671"/>
      <c r="W82" s="2807"/>
    </row>
    <row r="83" spans="1:23" ht="30" customHeight="1">
      <c r="A83" s="1702"/>
      <c r="B83" s="1766"/>
      <c r="C83" s="2874" t="s">
        <v>3415</v>
      </c>
      <c r="D83" s="1766"/>
      <c r="E83" s="1767">
        <f>SUM(E12,E16,E20,E24,E28,E32,E36,E40,E44,E80)</f>
        <v>0</v>
      </c>
      <c r="F83" s="1767">
        <f>SUM(F12,F16,F20,F24,F28,F32,F36,F40,F44,F80)</f>
        <v>0</v>
      </c>
      <c r="G83" s="2879">
        <f>S83</f>
        <v>0</v>
      </c>
      <c r="H83" s="2880">
        <f>SUM(H12,H16,H20,H24,H28,H32,H36,H40,H44,H80)</f>
        <v>0</v>
      </c>
      <c r="I83" s="2881">
        <f>SUM(I12,I16,I20,I24,I28,I32,I36,I40,I44,I80)</f>
        <v>0</v>
      </c>
      <c r="J83" s="2881">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07"/>
    </row>
    <row r="84" spans="1:23" ht="13.8" thickBot="1">
      <c r="A84" s="3"/>
      <c r="B84" s="3"/>
      <c r="C84" s="3"/>
      <c r="D84" s="3"/>
      <c r="E84" s="3"/>
      <c r="F84" s="3"/>
      <c r="G84" s="2882"/>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69"/>
      <c r="T120" s="3069"/>
      <c r="U120" s="3069"/>
      <c r="V120" s="3069"/>
      <c r="W120" s="3069"/>
      <c r="X120" s="3069"/>
      <c r="Y120" s="3069"/>
      <c r="Z120" s="534"/>
      <c r="AA120" s="534"/>
    </row>
    <row r="121" spans="19:27">
      <c r="S121" s="534"/>
      <c r="T121" s="534"/>
      <c r="U121" s="534"/>
      <c r="V121" s="534"/>
      <c r="W121" s="534"/>
      <c r="X121" s="534"/>
      <c r="Y121" s="534"/>
      <c r="Z121" s="534"/>
      <c r="AA121" s="534"/>
    </row>
    <row r="122" spans="19:27" ht="42.75" customHeight="1">
      <c r="S122" s="3069"/>
      <c r="T122" s="3069"/>
      <c r="U122" s="3069"/>
      <c r="V122" s="3069"/>
      <c r="W122" s="3069"/>
      <c r="X122" s="3069"/>
      <c r="Y122" s="3069"/>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2012-11-16T17:39:36Z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