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media/image2.png" ContentType="image/png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activeTab="0" firstSheet="0" showHorizontalScroll="true" showSheetTabs="true" showVerticalScroll="true" tabRatio="300" windowHeight="8192" windowWidth="16384" xWindow="0" yWindow="0"/>
  </bookViews>
  <sheets>
    <sheet name="577A" sheetId="1" state="visible" r:id="rId2"/>
    <sheet name="577A (2)" sheetId="2" state="visible" r:id="rId3"/>
    <sheet name="Sheet1" sheetId="3" state="hidden" r:id="rId4"/>
  </sheets>
  <definedNames>
    <definedName function="false" hidden="false" localSheetId="0" name="_xlnm.Print_Area" vbProcedure="false">{#name?}</definedName>
    <definedName function="false" hidden="false" localSheetId="1" name="_xlnm.Print_Area" vbProcedure="false">{#name?}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<sst xmlns="http://schemas.openxmlformats.org/spreadsheetml/2006/main" count="151" uniqueCount="118">
  <si>
    <t>OKLAHOMA DEPARTMENT OF ENVIRONMENTAL QUALITY</t>
  </si>
  <si>
    <t>PAGE 1</t>
  </si>
  <si>
    <t>MONTHLY OPERATIONAL REPORT</t>
  </si>
  <si>
    <t>WATER TREATMENT PLANTS SERVING LESS THAN 10,000 PEOPLE</t>
  </si>
  <si>
    <t>Plant:</t>
  </si>
  <si>
    <t>PWSID:</t>
  </si>
  <si>
    <t>Month:</t>
  </si>
  <si>
    <t>System</t>
  </si>
  <si>
    <t>Address</t>
  </si>
  <si>
    <t>City</t>
  </si>
  <si>
    <t>ZIP</t>
  </si>
  <si>
    <t>Turbidity and Residual Summary</t>
  </si>
  <si>
    <t>TURBIDITY</t>
  </si>
  <si>
    <t>FREE CHLORINE RESIDUAL</t>
  </si>
  <si>
    <t>Chlorine</t>
  </si>
  <si>
    <t>Comments</t>
  </si>
  <si>
    <t>Total no. of turbidity analyses</t>
  </si>
  <si>
    <t>DAY</t>
  </si>
  <si>
    <t>RAW</t>
  </si>
  <si>
    <t>SET</t>
  </si>
  <si>
    <t>2400-0400</t>
  </si>
  <si>
    <t>0400-0800</t>
  </si>
  <si>
    <t>0800-1200</t>
  </si>
  <si>
    <t>1200-1600</t>
  </si>
  <si>
    <t>1600-2000</t>
  </si>
  <si>
    <t>2000-2400</t>
  </si>
  <si>
    <t>ENTRY POINT TO DISTRIBUTION</t>
  </si>
  <si>
    <t>DISTRIBUTION</t>
  </si>
  <si>
    <t>Dioxide</t>
  </si>
  <si>
    <t>Number of samples above 1 NTU</t>
  </si>
  <si>
    <t>12am</t>
  </si>
  <si>
    <t>4am</t>
  </si>
  <si>
    <t>8am</t>
  </si>
  <si>
    <t>12pm</t>
  </si>
  <si>
    <t>4pm</t>
  </si>
  <si>
    <t>8pm</t>
  </si>
  <si>
    <t>SYSTEM</t>
  </si>
  <si>
    <t>ClO2</t>
  </si>
  <si>
    <t>Chlorite</t>
  </si>
  <si>
    <t>HIGHEST turbidity reading</t>
  </si>
  <si>
    <t>% OF TOTAL</t>
  </si>
  <si>
    <t>Turbidity Greater than 0.3 NTU</t>
  </si>
  <si>
    <t>FREE CHLORINE - ENTRY POINT</t>
  </si>
  <si>
    <t>Total no. of chlorine residual analyses</t>
  </si>
  <si>
    <t>Number of samples below 1.0 ppm</t>
  </si>
  <si>
    <t>Lowest chlorine residual</t>
  </si>
  <si>
    <t>FREE CHLORINE - DISTRIBUTION</t>
  </si>
  <si>
    <t>Number of samples below 0.2 ppm</t>
  </si>
  <si>
    <t>Individual Filter Turbidity Checklist (Conventional Treatment Plant Only)*</t>
  </si>
  <si>
    <t>1.  Was each filter monitored continuously?</t>
  </si>
  <si>
    <t>If NO, was the combined filter effluent (CFE) monitored continuously?</t>
  </si>
  <si>
    <t>Were measurement recorded every 15 minutes?</t>
  </si>
  <si>
    <t>2.  Was there a failure of the continuously monitoring equipment?</t>
  </si>
  <si>
    <t>3.  Was individual filter level greater than 1.0 NTU two consecutive measurements?</t>
  </si>
  <si>
    <t>4. Did the same filter or CFE exceed 1.0 NTU in 2 consecutive 15 min periods during the last 3 months?</t>
  </si>
  <si>
    <t>5. Did any single filter exceed 2.0 NTU is 2 consecutive 15-min period?</t>
  </si>
  <si>
    <t>6. Did the same filter exceed 2.0 NTU in 2 consecutive 15-min periods during the last month?</t>
  </si>
  <si>
    <t>* IF QUESTIONS 3, 4, 5, AND 6 ARE CHECKED "YES," YOU MUST COMPLETE</t>
  </si>
  <si>
    <t>THE TURBIDITY TRIGGER EVALUATION FORM AND ATTACH TO THIS</t>
  </si>
  <si>
    <t>MOR AND RETURN TO DEQ BY THE 10TH OF NEXT MONTH.</t>
  </si>
  <si>
    <r>
      <t xml:space="preserve">Mail</t>
    </r>
    <r>
      <rPr>
        <rFont val="Arial"/>
        <charset val="1"/>
        <family val="2"/>
        <sz val="9"/>
        <u val="single"/>
      </rPr>
      <t xml:space="preserve"> original</t>
    </r>
    <r>
      <rPr>
        <rFont val="Arial"/>
        <charset val="1"/>
        <family val="2"/>
        <sz val="9"/>
      </rPr>
      <t xml:space="preserve"> before the 10th of the following month</t>
    </r>
  </si>
  <si>
    <t>PAGE 2</t>
  </si>
  <si>
    <t>to the Department of Environmental Quality, Water Quality Division</t>
  </si>
  <si>
    <t>P. O. Box 1677, Oklahoma City, OK  73101-1677</t>
  </si>
  <si>
    <t>WATER</t>
  </si>
  <si>
    <t>FILTER OPERATION</t>
  </si>
  <si>
    <t>WASH</t>
  </si>
  <si>
    <t>CHEMICALS USED-LBS.</t>
  </si>
  <si>
    <t>ALKALINITY - RAW</t>
  </si>
  <si>
    <t>ALKALINITY - FILTERED</t>
  </si>
  <si>
    <t>pH</t>
  </si>
  <si>
    <t>CaCO3</t>
  </si>
  <si>
    <t>HARDNESS</t>
  </si>
  <si>
    <t>Special Test</t>
  </si>
  <si>
    <t>REMARKS</t>
  </si>
  <si>
    <t>TREATED</t>
  </si>
  <si>
    <t>FILTERS USED-HOURS</t>
  </si>
  <si>
    <t>ALUM</t>
  </si>
  <si>
    <t>LIME</t>
  </si>
  <si>
    <t>POLYMER</t>
  </si>
  <si>
    <t>SODA</t>
  </si>
  <si>
    <t>CARBON</t>
  </si>
  <si>
    <t>OTHER</t>
  </si>
  <si>
    <t>CHLORINE</t>
  </si>
  <si>
    <t>STABILITY</t>
  </si>
  <si>
    <t>(ppm)</t>
  </si>
  <si>
    <t>(in 1,000 gal)</t>
  </si>
  <si>
    <t>IN 1000</t>
  </si>
  <si>
    <t>Name:</t>
  </si>
  <si>
    <t>ASH</t>
  </si>
  <si>
    <t>Method:</t>
  </si>
  <si>
    <t>Fe, Mn or Other</t>
  </si>
  <si>
    <t>GALS.</t>
  </si>
  <si>
    <t>PRE</t>
  </si>
  <si>
    <t>POST</t>
  </si>
  <si>
    <t>"P"</t>
  </si>
  <si>
    <t>TOTAL</t>
  </si>
  <si>
    <t>FILT</t>
  </si>
  <si>
    <t>TOT</t>
  </si>
  <si>
    <t>Avg</t>
  </si>
  <si>
    <t>Power Costs</t>
  </si>
  <si>
    <t>Labor Costs</t>
  </si>
  <si>
    <t>Ave Rate of Wash (Vert. in/min)</t>
  </si>
  <si>
    <t>I hereby certify the above to be correct</t>
  </si>
  <si>
    <t>Chemicals</t>
  </si>
  <si>
    <t>to the best of my knowledge.</t>
  </si>
  <si>
    <t>Supplies</t>
  </si>
  <si>
    <t>Ave Wash Period (Minutes)</t>
  </si>
  <si>
    <t>DEQ Form # 630-577Small</t>
  </si>
  <si>
    <t>Repairs</t>
  </si>
  <si>
    <t>Signed</t>
  </si>
  <si>
    <t>Revised 7/2/2008</t>
  </si>
  <si>
    <t>Testing Cost</t>
  </si>
  <si>
    <t>% Wash Water Used</t>
  </si>
  <si>
    <t>Title</t>
  </si>
  <si>
    <t>Oper. Cert. No.</t>
  </si>
  <si>
    <t>Ave. Head Loss for Washing</t>
  </si>
  <si>
    <t>Cost per thousand gallons</t>
  </si>
</sst>
</file>

<file path=xl/styles.xml><?xml version="1.0" encoding="utf-8"?>
<styleSheet xmlns="http://schemas.openxmlformats.org/spreadsheetml/2006/main">
  <numFmts count="10">
    <numFmt formatCode="GENERAL" numFmtId="164"/>
    <numFmt formatCode="@" numFmtId="165"/>
    <numFmt formatCode="0.00" numFmtId="166"/>
    <numFmt formatCode="0%" numFmtId="167"/>
    <numFmt formatCode="M/D/YYYY" numFmtId="168"/>
    <numFmt formatCode="MM/DD/YY" numFmtId="169"/>
    <numFmt formatCode="0.0" numFmtId="170"/>
    <numFmt formatCode="\$#,##0.00" numFmtId="171"/>
    <numFmt formatCode="0.00%" numFmtId="172"/>
    <numFmt formatCode="\$#,##0.00_);&quot;($&quot;#,##0.00\)" numFmtId="173"/>
  </numFmts>
  <fonts count="2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charset val="1"/>
      <family val="2"/>
      <color rgb="00000000"/>
      <sz val="10"/>
    </font>
    <font>
      <name val="Arial"/>
      <charset val="1"/>
      <family val="2"/>
      <b val="true"/>
      <sz val="10"/>
    </font>
    <font>
      <name val="Arial"/>
      <charset val="1"/>
      <family val="2"/>
      <color rgb="00000000"/>
      <sz val="10"/>
    </font>
    <font>
      <name val="Arial"/>
      <charset val="1"/>
      <family val="2"/>
      <b val="true"/>
      <sz val="8"/>
    </font>
    <font>
      <name val="Arial"/>
      <charset val="1"/>
      <family val="2"/>
      <sz val="8"/>
    </font>
    <font>
      <name val="Arial"/>
      <charset val="1"/>
      <family val="2"/>
      <i val="true"/>
      <sz val="8"/>
    </font>
    <font>
      <name val="Arial"/>
      <charset val="1"/>
      <family val="2"/>
      <sz val="6"/>
    </font>
    <font>
      <name val="Arial"/>
      <charset val="1"/>
      <family val="2"/>
      <b val="true"/>
      <sz val="6"/>
    </font>
    <font>
      <name val="Arial"/>
      <charset val="1"/>
      <family val="2"/>
      <b val="true"/>
      <sz val="9"/>
    </font>
    <font>
      <name val="Arial"/>
      <charset val="1"/>
      <family val="2"/>
      <sz val="5"/>
    </font>
    <font>
      <name val="Arial"/>
      <charset val="1"/>
      <family val="2"/>
      <sz val="12"/>
    </font>
    <font>
      <name val="Arial"/>
      <charset val="1"/>
      <family val="2"/>
      <i val="true"/>
      <sz val="6"/>
    </font>
    <font>
      <name val="Arial"/>
      <charset val="1"/>
      <family val="2"/>
      <b val="true"/>
      <sz val="8"/>
      <u val="single"/>
    </font>
    <font>
      <name val="Arial"/>
      <charset val="1"/>
      <family val="2"/>
      <sz val="9"/>
    </font>
    <font>
      <name val="Arial"/>
      <charset val="1"/>
      <family val="2"/>
      <sz val="9"/>
      <u val="single"/>
    </font>
    <font>
      <name val="Arial"/>
      <charset val="1"/>
      <family val="2"/>
      <b val="true"/>
      <i val="true"/>
      <sz val="8"/>
    </font>
    <font>
      <name val="Arial"/>
      <charset val="1"/>
      <family val="2"/>
      <sz val="7"/>
    </font>
    <font>
      <name val="Times New Roman"/>
      <charset val="1"/>
      <family val="1"/>
      <sz val="8"/>
    </font>
    <font>
      <name val="Times New Roman"/>
      <charset val="1"/>
      <family val="1"/>
      <sz val="5"/>
    </font>
    <font>
      <name val="Arial"/>
      <charset val="1"/>
      <family val="2"/>
      <color rgb="00FFFFFF"/>
      <sz val="10"/>
    </font>
    <font>
      <name val="Times New Roman"/>
      <charset val="1"/>
      <family val="1"/>
      <b val="true"/>
      <sz val="6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000000"/>
        <bgColor rgb="001A1A1A"/>
      </patternFill>
    </fill>
    <fill>
      <patternFill patternType="solid">
        <fgColor rgb="00CCFFCC"/>
        <bgColor rgb="00CCFFFF"/>
      </patternFill>
    </fill>
  </fills>
  <borders count="16">
    <border diagonalDown="false" diagonalUp="false">
      <left/>
      <right/>
      <top/>
      <bottom/>
      <diagonal/>
    </border>
    <border diagonalDown="false" diagonalUp="false">
      <left/>
      <right/>
      <top/>
      <bottom style="thick">
        <color rgb="001A1A1A"/>
      </bottom>
      <diagonal/>
    </border>
    <border diagonalDown="false" diagonalUp="false">
      <left style="thick">
        <color rgb="001A1A1A"/>
      </left>
      <right style="thick">
        <color rgb="001A1A1A"/>
      </right>
      <top style="thick">
        <color rgb="001A1A1A"/>
      </top>
      <bottom style="thick">
        <color rgb="001A1A1A"/>
      </bottom>
      <diagonal/>
    </border>
    <border diagonalDown="false" diagonalUp="false">
      <left style="thick">
        <color rgb="001A1A1A"/>
      </left>
      <right style="thick">
        <color rgb="001A1A1A"/>
      </right>
      <top style="thick">
        <color rgb="001A1A1A"/>
      </top>
      <bottom/>
      <diagonal/>
    </border>
    <border diagonalDown="false" diagonalUp="false">
      <left style="thick">
        <color rgb="001A1A1A"/>
      </left>
      <right style="thick">
        <color rgb="001A1A1A"/>
      </right>
      <top/>
      <bottom style="thick">
        <color rgb="001A1A1A"/>
      </bottom>
      <diagonal/>
    </border>
    <border diagonalDown="false" diagonalUp="false">
      <left style="thick">
        <color rgb="001A1A1A"/>
      </left>
      <right style="thick">
        <color rgb="001A1A1A"/>
      </right>
      <top/>
      <bottom/>
      <diagonal/>
    </border>
    <border diagonalDown="false" diagonalUp="false">
      <left/>
      <right style="thick">
        <color rgb="001A1A1A"/>
      </right>
      <top style="thick">
        <color rgb="001A1A1A"/>
      </top>
      <bottom style="thick">
        <color rgb="001A1A1A"/>
      </bottom>
      <diagonal/>
    </border>
    <border diagonalDown="false" diagonalUp="false">
      <left style="thick">
        <color rgb="001A1A1A"/>
      </left>
      <right/>
      <top/>
      <bottom style="thick">
        <color rgb="001A1A1A"/>
      </bottom>
      <diagonal/>
    </border>
    <border diagonalDown="false" diagonalUp="false">
      <left style="thick">
        <color rgb="001A1A1A"/>
      </left>
      <right/>
      <top style="thick">
        <color rgb="001A1A1A"/>
      </top>
      <bottom style="thick">
        <color rgb="001A1A1A"/>
      </bottom>
      <diagonal/>
    </border>
    <border diagonalDown="false" diagonalUp="false">
      <left/>
      <right style="thick">
        <color rgb="001A1A1A"/>
      </right>
      <top/>
      <bottom style="thick">
        <color rgb="001A1A1A"/>
      </bottom>
      <diagonal/>
    </border>
    <border diagonalDown="false" diagonalUp="false">
      <left/>
      <right/>
      <top style="thick">
        <color rgb="001A1A1A"/>
      </top>
      <bottom style="thick">
        <color rgb="001A1A1A"/>
      </bottom>
      <diagonal/>
    </border>
    <border diagonalDown="false" diagonalUp="false">
      <left style="thick">
        <color rgb="001A1A1A"/>
      </left>
      <right/>
      <top style="thick">
        <color rgb="001A1A1A"/>
      </top>
      <bottom/>
      <diagonal/>
    </border>
    <border diagonalDown="false" diagonalUp="false">
      <left/>
      <right/>
      <top style="thick">
        <color rgb="001A1A1A"/>
      </top>
      <bottom/>
      <diagonal/>
    </border>
    <border diagonalDown="false" diagonalUp="false">
      <left/>
      <right style="thick">
        <color rgb="001A1A1A"/>
      </right>
      <top style="thick">
        <color rgb="001A1A1A"/>
      </top>
      <bottom/>
      <diagonal/>
    </border>
    <border diagonalDown="false" diagonalUp="false">
      <left/>
      <right style="thick">
        <color rgb="001A1A1A"/>
      </right>
      <top/>
      <bottom/>
      <diagonal/>
    </border>
    <border diagonalDown="false" diagonalUp="false">
      <left style="thick">
        <color rgb="001A1A1A"/>
      </left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true" applyFont="true" applyProtection="true" borderId="0" fillId="0" fontId="0" numFmtId="167">
      <alignment horizontal="general" indent="0" shrinkToFit="false" textRotation="0" vertical="bottom" wrapText="false"/>
      <protection hidden="false" locked="true"/>
    </xf>
  </cellStyleXfs>
  <cellXfs count="193">
    <xf applyAlignment="false" applyBorder="false" applyFont="false" applyProtection="false" borderId="0" fillId="0" fontId="0" numFmtId="164" xfId="0"/>
    <xf applyAlignment="false" applyBorder="false" applyFont="false" applyProtection="true" borderId="0" fillId="2" fontId="0" numFmtId="164" xfId="0">
      <protection hidden="false" locked="false"/>
    </xf>
    <xf applyAlignment="false" applyBorder="false" applyFont="false" applyProtection="false" borderId="0" fillId="2" fontId="0" numFmtId="164" xfId="0"/>
    <xf applyAlignment="false" applyBorder="false" applyFont="true" applyProtection="true" borderId="0" fillId="2" fontId="4" numFmtId="164" xfId="0">
      <protection hidden="false" locked="false"/>
    </xf>
    <xf applyAlignment="false" applyBorder="false" applyFont="true" applyProtection="true" borderId="0" fillId="2" fontId="0" numFmtId="164" xfId="0">
      <protection hidden="false" locked="false"/>
    </xf>
    <xf applyAlignment="false" applyBorder="false" applyFont="true" applyProtection="true" borderId="0" fillId="2" fontId="5" numFmtId="164" xfId="0">
      <protection hidden="false" locked="false"/>
    </xf>
    <xf applyAlignment="true" applyBorder="false" applyFont="true" applyProtection="true" borderId="0" fillId="2" fontId="5" numFmtId="164" xfId="0">
      <alignment horizontal="center" indent="0" shrinkToFit="false" textRotation="0" vertical="bottom" wrapText="false"/>
      <protection hidden="false" locked="false"/>
    </xf>
    <xf applyAlignment="false" applyBorder="false" applyFont="true" applyProtection="true" borderId="0" fillId="2" fontId="6" numFmtId="164" xfId="0">
      <protection hidden="false" locked="false"/>
    </xf>
    <xf applyAlignment="false" applyBorder="false" applyFont="true" applyProtection="true" borderId="0" fillId="2" fontId="7" numFmtId="164" xfId="0">
      <protection hidden="false" locked="false"/>
    </xf>
    <xf applyAlignment="true" applyBorder="false" applyFont="true" applyProtection="true" borderId="0" fillId="2" fontId="7" numFmtId="164" xfId="0">
      <alignment horizontal="right" indent="0" shrinkToFit="false" textRotation="0" vertical="bottom" wrapText="false"/>
      <protection hidden="false" locked="false"/>
    </xf>
    <xf applyAlignment="false" applyBorder="true" applyFont="false" applyProtection="true" borderId="1" fillId="2" fontId="0" numFmtId="164" xfId="0">
      <protection hidden="false" locked="false"/>
    </xf>
    <xf applyAlignment="true" applyBorder="true" applyFont="true" applyProtection="true" borderId="1" fillId="2" fontId="8" numFmtId="164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0" fillId="2" fontId="8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0" fillId="2" fontId="0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1" fillId="2" fontId="0" numFmtId="164" xfId="0">
      <alignment horizontal="left" indent="0" shrinkToFit="false" textRotation="0" vertical="bottom" wrapText="false"/>
      <protection hidden="false" locked="false"/>
    </xf>
    <xf applyAlignment="false" applyBorder="true" applyFont="true" applyProtection="true" borderId="0" fillId="2" fontId="5" numFmtId="164" xfId="0">
      <protection hidden="false" locked="false"/>
    </xf>
    <xf applyAlignment="true" applyBorder="true" applyFont="true" applyProtection="true" borderId="0" fillId="2" fontId="8" numFmtId="164" xfId="0">
      <alignment horizontal="general" indent="0" shrinkToFit="false" textRotation="0" vertical="bottom" wrapText="false"/>
      <protection hidden="false" locked="false"/>
    </xf>
    <xf applyAlignment="true" applyBorder="false" applyFont="true" applyProtection="true" borderId="0" fillId="2" fontId="9" numFmtId="164" xfId="0">
      <alignment horizontal="general" indent="0" shrinkToFit="false" textRotation="0" vertical="top" wrapText="false"/>
      <protection hidden="false" locked="false"/>
    </xf>
    <xf applyAlignment="true" applyBorder="false" applyFont="true" applyProtection="true" borderId="0" fillId="2" fontId="0" numFmtId="164" xfId="0">
      <alignment horizontal="general" indent="0" shrinkToFit="false" textRotation="0" vertical="top" wrapText="false"/>
      <protection hidden="false" locked="false"/>
    </xf>
    <xf applyAlignment="false" applyBorder="false" applyFont="true" applyProtection="true" borderId="0" fillId="2" fontId="9" numFmtId="164" xfId="0">
      <protection hidden="false" locked="false"/>
    </xf>
    <xf applyAlignment="true" applyBorder="true" applyFont="true" applyProtection="true" borderId="0" fillId="2" fontId="7" numFmtId="164" xfId="0">
      <alignment horizontal="right" indent="0" shrinkToFit="false" textRotation="0" vertical="bottom" wrapText="false"/>
      <protection hidden="false" locked="false"/>
    </xf>
    <xf applyAlignment="false" applyBorder="false" applyFont="true" applyProtection="true" borderId="0" fillId="2" fontId="10" numFmtId="164" xfId="0">
      <protection hidden="false" locked="false"/>
    </xf>
    <xf applyAlignment="true" applyBorder="false" applyFont="true" applyProtection="true" borderId="0" fillId="2" fontId="10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0" fillId="2" fontId="5" numFmtId="164" xfId="0">
      <alignment horizontal="general" indent="0" shrinkToFit="false" textRotation="0" vertical="bottom" wrapText="false"/>
      <protection hidden="false" locked="false"/>
    </xf>
    <xf applyAlignment="true" applyBorder="false" applyFont="true" applyProtection="true" borderId="0" fillId="2" fontId="7" numFmtId="164" xfId="0">
      <alignment horizontal="right" indent="0" shrinkToFit="false" textRotation="0" vertical="top" wrapText="true"/>
      <protection hidden="false" locked="false"/>
    </xf>
    <xf applyAlignment="true" applyBorder="true" applyFont="true" applyProtection="true" borderId="2" fillId="2" fontId="5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true" borderId="0" fillId="2" fontId="0" numFmtId="164" xfId="0">
      <protection hidden="false" locked="true"/>
    </xf>
    <xf applyAlignment="false" applyBorder="true" applyFont="true" applyProtection="true" borderId="0" fillId="2" fontId="11" numFmtId="164" xfId="0">
      <protection hidden="false" locked="false"/>
    </xf>
    <xf applyAlignment="false" applyBorder="true" applyFont="true" applyProtection="true" borderId="2" fillId="2" fontId="0" numFmtId="164" xfId="0">
      <protection hidden="false" locked="false"/>
    </xf>
    <xf applyAlignment="true" applyBorder="true" applyFont="true" applyProtection="true" borderId="2" fillId="2" fontId="12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3" fillId="2" fontId="12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4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4" fillId="2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2" fillId="2" fontId="10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2" fillId="2" fontId="10" numFmtId="164" xfId="0">
      <alignment horizontal="center" indent="0" shrinkToFit="false" textRotation="0" vertical="bottom" wrapText="true"/>
      <protection hidden="false" locked="false"/>
    </xf>
    <xf applyAlignment="true" applyBorder="true" applyFont="true" applyProtection="true" borderId="2" fillId="2" fontId="13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5" fillId="2" fontId="12" numFmtId="164" xfId="0">
      <alignment horizontal="center" indent="0" shrinkToFit="false" textRotation="0" vertical="bottom" wrapText="false"/>
      <protection hidden="false" locked="false"/>
    </xf>
    <xf applyAlignment="false" applyBorder="true" applyFont="true" applyProtection="true" borderId="5" fillId="2" fontId="5" numFmtId="164" xfId="0">
      <protection hidden="false" locked="false"/>
    </xf>
    <xf applyAlignment="true" applyBorder="true" applyFont="true" applyProtection="true" borderId="2" fillId="2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2" fillId="2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2" fillId="2" fontId="10" numFmtId="165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4" fillId="2" fontId="13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6" fillId="2" fontId="13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4" fillId="2" fontId="7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2" fillId="2" fontId="0" numFmtId="166" xfId="0">
      <alignment horizontal="center" indent="0" shrinkToFit="false" textRotation="0" vertical="bottom" wrapText="false"/>
      <protection hidden="false" locked="true"/>
    </xf>
    <xf applyAlignment="true" applyBorder="false" applyFont="true" applyProtection="true" borderId="0" fillId="2" fontId="1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7" fillId="2" fontId="10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8" fillId="2" fontId="10" numFmtId="166" xfId="0">
      <alignment horizontal="center" indent="0" shrinkToFit="true" textRotation="0" vertical="center" wrapText="false"/>
      <protection hidden="false" locked="false"/>
    </xf>
    <xf applyAlignment="true" applyBorder="true" applyFont="true" applyProtection="true" borderId="2" fillId="2" fontId="10" numFmtId="166" xfId="0">
      <alignment horizontal="center" indent="0" shrinkToFit="true" textRotation="0" vertical="center" wrapText="false"/>
      <protection hidden="false" locked="false"/>
    </xf>
    <xf applyAlignment="true" applyBorder="true" applyFont="true" applyProtection="true" borderId="4" fillId="2" fontId="10" numFmtId="166" xfId="0">
      <alignment horizontal="center" indent="0" shrinkToFit="true" textRotation="0" vertical="center" wrapText="false"/>
      <protection hidden="false" locked="false"/>
    </xf>
    <xf applyAlignment="true" applyBorder="true" applyFont="true" applyProtection="true" borderId="9" fillId="2" fontId="10" numFmtId="166" xfId="0">
      <alignment horizontal="center" indent="0" shrinkToFit="true" textRotation="0" vertical="center" wrapText="false"/>
      <protection hidden="false" locked="false"/>
    </xf>
    <xf applyAlignment="true" applyBorder="true" applyFont="true" applyProtection="true" borderId="1" fillId="2" fontId="10" numFmtId="166" xfId="0">
      <alignment horizontal="center" indent="0" shrinkToFit="true" textRotation="0" vertical="center" wrapText="false"/>
      <protection hidden="false" locked="false"/>
    </xf>
    <xf applyAlignment="true" applyBorder="true" applyFont="true" applyProtection="true" borderId="2" fillId="2" fontId="0" numFmtId="164" xfId="0">
      <alignment horizontal="general" indent="0" shrinkToFit="false" textRotation="0" vertical="bottom" wrapText="true"/>
      <protection hidden="false" locked="false"/>
    </xf>
    <xf applyAlignment="true" applyBorder="true" applyFont="true" applyProtection="true" borderId="3" fillId="2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3" fillId="2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2" fillId="2" fontId="14" numFmtId="167" xfId="19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6" fillId="2" fontId="10" numFmtId="166" xfId="0">
      <alignment horizontal="center" indent="0" shrinkToFit="true" textRotation="0" vertical="center" wrapText="false"/>
      <protection hidden="false" locked="false"/>
    </xf>
    <xf applyAlignment="true" applyBorder="true" applyFont="true" applyProtection="true" borderId="10" fillId="2" fontId="10" numFmtId="166" xfId="0">
      <alignment horizontal="center" indent="0" shrinkToFit="true" textRotation="0" vertical="center" wrapText="false"/>
      <protection hidden="false" locked="false"/>
    </xf>
    <xf applyAlignment="false" applyBorder="false" applyFont="true" applyProtection="true" borderId="0" fillId="2" fontId="0" numFmtId="164" xfId="0">
      <protection hidden="false" locked="true"/>
    </xf>
    <xf applyAlignment="true" applyBorder="true" applyFont="true" applyProtection="true" borderId="0" fillId="2" fontId="5" numFmtId="167" xfId="19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4" fillId="2" fontId="0" numFmtId="164" xfId="0">
      <alignment horizontal="left" indent="0" shrinkToFit="false" textRotation="0" vertical="bottom" wrapText="false"/>
      <protection hidden="false" locked="true"/>
    </xf>
    <xf applyAlignment="false" applyBorder="false" applyFont="true" applyProtection="true" borderId="0" fillId="2" fontId="14" numFmtId="164" xfId="0">
      <protection hidden="false" locked="true"/>
    </xf>
    <xf applyAlignment="false" applyBorder="true" applyFont="true" applyProtection="true" borderId="0" fillId="2" fontId="0" numFmtId="164" xfId="0">
      <protection hidden="false" locked="false"/>
    </xf>
    <xf applyAlignment="false" applyBorder="true" applyFont="true" applyProtection="true" borderId="0" fillId="2" fontId="14" numFmtId="164" xfId="0">
      <protection hidden="false" locked="true"/>
    </xf>
    <xf applyAlignment="false" applyBorder="true" applyFont="true" applyProtection="true" borderId="11" fillId="2" fontId="0" numFmtId="164" xfId="0">
      <protection hidden="false" locked="true"/>
    </xf>
    <xf applyAlignment="false" applyBorder="true" applyFont="true" applyProtection="true" borderId="12" fillId="2" fontId="0" numFmtId="164" xfId="0">
      <protection hidden="false" locked="true"/>
    </xf>
    <xf applyAlignment="false" applyBorder="true" applyFont="true" applyProtection="true" borderId="13" fillId="2" fontId="0" numFmtId="164" xfId="0">
      <protection hidden="false" locked="true"/>
    </xf>
    <xf applyAlignment="true" applyBorder="true" applyFont="true" applyProtection="true" borderId="3" fillId="2" fontId="0" numFmtId="166" xfId="0">
      <alignment horizontal="center" indent="0" shrinkToFit="false" textRotation="0" vertical="bottom" wrapText="false"/>
      <protection hidden="false" locked="true"/>
    </xf>
    <xf applyAlignment="false" applyBorder="true" applyFont="true" applyProtection="true" borderId="0" fillId="2" fontId="10" numFmtId="164" xfId="0">
      <protection hidden="false" locked="false"/>
    </xf>
    <xf applyAlignment="true" applyBorder="true" applyFont="true" applyProtection="true" borderId="7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true" borderId="0" fillId="2" fontId="15" numFmtId="164" xfId="0">
      <protection hidden="false" locked="true"/>
    </xf>
    <xf applyAlignment="true" applyBorder="true" applyFont="true" applyProtection="true" borderId="8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6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true" borderId="8" fillId="2" fontId="0" numFmtId="164" xfId="0">
      <protection hidden="false" locked="true"/>
    </xf>
    <xf applyAlignment="false" applyBorder="true" applyFont="true" applyProtection="true" borderId="10" fillId="2" fontId="0" numFmtId="164" xfId="0">
      <protection hidden="false" locked="true"/>
    </xf>
    <xf applyAlignment="false" applyBorder="true" applyFont="true" applyProtection="true" borderId="6" fillId="2" fontId="0" numFmtId="164" xfId="0">
      <protection hidden="false" locked="true"/>
    </xf>
    <xf applyAlignment="true" applyBorder="true" applyFont="true" applyProtection="true" borderId="0" fillId="2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true" borderId="0" fillId="2" fontId="0" numFmtId="164" xfId="0">
      <alignment horizontal="right" indent="0" shrinkToFit="false" textRotation="0" vertical="bottom" wrapText="false"/>
      <protection hidden="false" locked="false"/>
    </xf>
    <xf applyAlignment="false" applyBorder="false" applyFont="true" applyProtection="true" borderId="0" fillId="2" fontId="16" numFmtId="164" xfId="0">
      <protection hidden="false" locked="false"/>
    </xf>
    <xf applyAlignment="true" applyBorder="false" applyFont="true" applyProtection="true" borderId="0" fillId="2" fontId="8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14" fillId="2" fontId="8" numFmtId="164" xfId="0">
      <alignment horizontal="general" indent="0" shrinkToFit="false" textRotation="0" vertical="bottom" wrapText="false"/>
      <protection hidden="false" locked="false"/>
    </xf>
    <xf applyAlignment="false" applyBorder="false" applyFont="true" applyProtection="true" borderId="0" fillId="2" fontId="8" numFmtId="164" xfId="0">
      <protection hidden="false" locked="false"/>
    </xf>
    <xf applyAlignment="false" applyBorder="true" applyFont="true" applyProtection="true" borderId="0" fillId="2" fontId="8" numFmtId="164" xfId="0">
      <protection hidden="false" locked="false"/>
    </xf>
    <xf applyAlignment="false" applyBorder="true" applyFont="true" applyProtection="true" borderId="14" fillId="2" fontId="8" numFmtId="164" xfId="0">
      <protection hidden="false" locked="false"/>
    </xf>
    <xf applyAlignment="false" applyBorder="true" applyFont="true" applyProtection="true" borderId="0" fillId="2" fontId="8" numFmtId="168" xfId="0">
      <protection hidden="false" locked="false"/>
    </xf>
    <xf applyAlignment="false" applyBorder="false" applyFont="true" applyProtection="true" borderId="0" fillId="2" fontId="12" numFmtId="164" xfId="0">
      <protection hidden="false" locked="false"/>
    </xf>
    <xf applyAlignment="true" applyBorder="true" applyFont="true" applyProtection="true" borderId="15" fillId="2" fontId="10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3" fillId="2" fontId="10" numFmtId="166" xfId="0">
      <alignment horizontal="center" indent="0" shrinkToFit="true" textRotation="0" vertical="center" wrapText="false"/>
      <protection hidden="false" locked="false"/>
    </xf>
    <xf applyAlignment="true" applyBorder="true" applyFont="true" applyProtection="true" borderId="13" fillId="2" fontId="10" numFmtId="166" xfId="0">
      <alignment horizontal="center" indent="0" shrinkToFit="true" textRotation="0" vertical="center" wrapText="false"/>
      <protection hidden="false" locked="false"/>
    </xf>
    <xf applyAlignment="true" applyBorder="true" applyFont="true" applyProtection="true" borderId="12" fillId="2" fontId="10" numFmtId="166" xfId="0">
      <alignment horizontal="center" indent="0" shrinkToFit="true" textRotation="0" vertical="center" wrapText="false"/>
      <protection hidden="false" locked="false"/>
    </xf>
    <xf applyAlignment="false" applyBorder="false" applyFont="true" applyProtection="true" borderId="0" fillId="2" fontId="17" numFmtId="164" xfId="0">
      <protection hidden="false" locked="false"/>
    </xf>
    <xf applyAlignment="true" applyBorder="true" applyFont="true" applyProtection="true" borderId="8" fillId="2" fontId="10" numFmtId="164" xfId="0">
      <alignment horizontal="center" indent="0" shrinkToFit="false" textRotation="0" vertical="bottom" wrapText="false"/>
      <protection hidden="false" locked="false"/>
    </xf>
    <xf applyAlignment="false" applyBorder="true" applyFont="true" applyProtection="true" borderId="11" fillId="2" fontId="17" numFmtId="164" xfId="0">
      <protection hidden="false" locked="true"/>
    </xf>
    <xf applyAlignment="false" applyBorder="true" applyFont="true" applyProtection="true" borderId="12" fillId="2" fontId="7" numFmtId="164" xfId="0">
      <protection hidden="false" locked="true"/>
    </xf>
    <xf applyAlignment="false" applyBorder="false" applyFont="true" applyProtection="true" borderId="0" fillId="2" fontId="5" numFmtId="164" xfId="0">
      <protection hidden="false" locked="true"/>
    </xf>
    <xf applyAlignment="true" applyBorder="false" applyFont="true" applyProtection="true" borderId="0" fillId="2" fontId="5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true" borderId="15" fillId="2" fontId="17" numFmtId="164" xfId="0">
      <protection hidden="false" locked="true"/>
    </xf>
    <xf applyAlignment="false" applyBorder="true" applyFont="true" applyProtection="true" borderId="0" fillId="2" fontId="7" numFmtId="164" xfId="0">
      <protection hidden="false" locked="true"/>
    </xf>
    <xf applyAlignment="false" applyBorder="true" applyFont="true" applyProtection="true" borderId="0" fillId="2" fontId="0" numFmtId="164" xfId="0">
      <protection hidden="false" locked="true"/>
    </xf>
    <xf applyAlignment="false" applyBorder="true" applyFont="true" applyProtection="true" borderId="14" fillId="2" fontId="0" numFmtId="164" xfId="0">
      <protection hidden="false" locked="true"/>
    </xf>
    <xf applyAlignment="false" applyBorder="false" applyFont="true" applyProtection="true" borderId="0" fillId="2" fontId="7" numFmtId="164" xfId="0">
      <protection hidden="false" locked="true"/>
    </xf>
    <xf applyAlignment="false" applyBorder="true" applyFont="true" applyProtection="true" borderId="7" fillId="2" fontId="17" numFmtId="164" xfId="0">
      <protection hidden="false" locked="true"/>
    </xf>
    <xf applyAlignment="false" applyBorder="true" applyFont="true" applyProtection="true" borderId="1" fillId="2" fontId="7" numFmtId="164" xfId="0">
      <protection hidden="false" locked="true"/>
    </xf>
    <xf applyAlignment="false" applyBorder="true" applyFont="true" applyProtection="true" borderId="1" fillId="2" fontId="0" numFmtId="164" xfId="0">
      <protection hidden="false" locked="true"/>
    </xf>
    <xf applyAlignment="false" applyBorder="true" applyFont="true" applyProtection="true" borderId="9" fillId="2" fontId="0" numFmtId="164" xfId="0">
      <protection hidden="false" locked="true"/>
    </xf>
    <xf applyAlignment="true" applyBorder="false" applyFont="true" applyProtection="true" borderId="0" fillId="2" fontId="7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" fillId="2" fontId="8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0" fillId="2" fontId="1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0" fillId="2" fontId="8" numFmtId="164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1" fillId="2" fontId="8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0" fillId="2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0" numFmtId="169" xfId="0">
      <alignment horizontal="left" indent="0" shrinkToFit="false" textRotation="0" vertical="bottom" wrapText="false"/>
      <protection hidden="false" locked="true"/>
    </xf>
    <xf applyAlignment="false" applyBorder="false" applyFont="true" applyProtection="true" borderId="0" fillId="2" fontId="9" numFmtId="164" xfId="0">
      <protection hidden="false" locked="true"/>
    </xf>
    <xf applyAlignment="true" applyBorder="true" applyFont="true" applyProtection="true" borderId="12" fillId="2" fontId="8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" fillId="2" fontId="1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2" fontId="19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2" fontId="8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" fillId="2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1" fillId="2" fontId="2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3" fillId="2" fontId="2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2" fillId="2" fontId="2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2" fillId="2" fontId="20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true" borderId="12" fillId="2" fontId="20" numFmtId="164" xfId="0">
      <protection hidden="false" locked="true"/>
    </xf>
    <xf applyAlignment="true" applyBorder="true" applyFont="true" applyProtection="true" borderId="2" fillId="2" fontId="10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true" borderId="0" fillId="2" fontId="20" numFmtId="164" xfId="0">
      <protection hidden="false" locked="true"/>
    </xf>
    <xf applyAlignment="false" applyBorder="false" applyFont="true" applyProtection="true" borderId="0" fillId="2" fontId="20" numFmtId="164" xfId="0">
      <protection hidden="false" locked="true"/>
    </xf>
    <xf applyAlignment="false" applyBorder="true" applyFont="true" applyProtection="true" borderId="15" fillId="2" fontId="10" numFmtId="164" xfId="0">
      <protection hidden="false" locked="true"/>
    </xf>
    <xf applyAlignment="true" applyBorder="true" applyFont="true" applyProtection="true" borderId="5" fillId="2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3" fillId="2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5" fillId="2" fontId="10" numFmtId="164" xfId="0">
      <alignment horizontal="center" indent="0" shrinkToFit="true" textRotation="0" vertical="center" wrapText="false"/>
      <protection hidden="false" locked="true"/>
    </xf>
    <xf applyAlignment="true" applyBorder="true" applyFont="true" applyProtection="true" borderId="15" fillId="2" fontId="13" numFmtId="164" xfId="0">
      <alignment horizontal="center" indent="0" shrinkToFit="true" textRotation="0" vertical="center" wrapText="false"/>
      <protection hidden="false" locked="true"/>
    </xf>
    <xf applyAlignment="true" applyBorder="true" applyFont="true" applyProtection="true" borderId="2" fillId="2" fontId="10" numFmtId="164" xfId="0">
      <alignment horizontal="center" indent="0" shrinkToFit="true" textRotation="0" vertical="center" wrapText="false"/>
      <protection hidden="false" locked="true"/>
    </xf>
    <xf applyAlignment="true" applyBorder="true" applyFont="true" applyProtection="true" borderId="3" fillId="2" fontId="1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true" borderId="3" fillId="2" fontId="10" numFmtId="164" xfId="0">
      <protection hidden="false" locked="true"/>
    </xf>
    <xf applyAlignment="false" applyBorder="true" applyFont="true" applyProtection="true" borderId="0" fillId="2" fontId="10" numFmtId="164" xfId="0">
      <protection hidden="false" locked="true"/>
    </xf>
    <xf applyAlignment="false" applyBorder="true" applyFont="true" applyProtection="true" borderId="14" fillId="2" fontId="10" numFmtId="164" xfId="0">
      <protection hidden="false" locked="true"/>
    </xf>
    <xf applyAlignment="false" applyBorder="true" applyFont="true" applyProtection="true" borderId="0" fillId="2" fontId="13" numFmtId="164" xfId="0">
      <protection hidden="false" locked="true"/>
    </xf>
    <xf applyAlignment="false" applyBorder="false" applyFont="true" applyProtection="true" borderId="0" fillId="2" fontId="10" numFmtId="164" xfId="0">
      <protection hidden="false" locked="true"/>
    </xf>
    <xf applyAlignment="true" applyBorder="true" applyFont="true" applyProtection="true" borderId="15" fillId="2" fontId="15" numFmtId="164" xfId="0">
      <alignment horizontal="general" indent="0" shrinkToFit="false" textRotation="0" vertical="center" wrapText="false"/>
      <protection hidden="false" locked="true"/>
    </xf>
    <xf applyAlignment="false" applyBorder="true" applyFont="true" applyProtection="true" borderId="15" fillId="2" fontId="15" numFmtId="164" xfId="0">
      <protection hidden="false" locked="true"/>
    </xf>
    <xf applyAlignment="true" applyBorder="true" applyFont="true" applyProtection="true" borderId="15" fillId="2" fontId="10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true" borderId="5" fillId="2" fontId="10" numFmtId="164" xfId="0">
      <protection hidden="false" locked="true"/>
    </xf>
    <xf applyAlignment="false" applyBorder="true" applyFont="true" applyProtection="true" borderId="7" fillId="2" fontId="10" numFmtId="164" xfId="0">
      <protection hidden="false" locked="true"/>
    </xf>
    <xf applyAlignment="false" applyBorder="true" applyFont="true" applyProtection="true" borderId="1" fillId="2" fontId="10" numFmtId="164" xfId="0">
      <protection hidden="false" locked="true"/>
    </xf>
    <xf applyAlignment="false" applyBorder="true" applyFont="true" applyProtection="true" borderId="9" fillId="2" fontId="10" numFmtId="164" xfId="0">
      <protection hidden="false" locked="true"/>
    </xf>
    <xf applyAlignment="true" applyBorder="true" applyFont="true" applyProtection="true" borderId="4" fillId="2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6" fillId="2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8" fillId="2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7" fillId="2" fontId="10" numFmtId="164" xfId="0">
      <alignment horizontal="general" indent="0" shrinkToFit="false" textRotation="0" vertical="center" wrapText="false"/>
      <protection hidden="false" locked="true"/>
    </xf>
    <xf applyAlignment="false" applyBorder="true" applyFont="true" applyProtection="true" borderId="7" fillId="2" fontId="10" numFmtId="164" xfId="0">
      <protection hidden="false" locked="false"/>
    </xf>
    <xf applyAlignment="true" applyBorder="true" applyFont="true" applyProtection="true" borderId="9" fillId="2" fontId="10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true" borderId="1" fillId="2" fontId="10" numFmtId="164" xfId="0">
      <protection hidden="false" locked="false"/>
    </xf>
    <xf applyAlignment="true" applyBorder="true" applyFont="true" applyProtection="true" borderId="7" fillId="2" fontId="8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true" borderId="4" fillId="2" fontId="10" numFmtId="170" xfId="0">
      <protection hidden="false" locked="false"/>
    </xf>
    <xf applyAlignment="false" applyBorder="true" applyFont="true" applyProtection="true" borderId="2" fillId="2" fontId="10" numFmtId="170" xfId="0">
      <protection hidden="false" locked="false"/>
    </xf>
    <xf applyAlignment="false" applyBorder="true" applyFont="true" applyProtection="true" borderId="9" fillId="2" fontId="10" numFmtId="166" xfId="0">
      <protection hidden="false" locked="false"/>
    </xf>
    <xf applyAlignment="false" applyBorder="true" applyFont="true" applyProtection="true" borderId="4" fillId="2" fontId="10" numFmtId="166" xfId="0">
      <protection hidden="false" locked="false"/>
    </xf>
    <xf applyAlignment="false" applyBorder="true" applyFont="true" applyProtection="true" borderId="2" fillId="2" fontId="10" numFmtId="166" xfId="0">
      <protection hidden="false" locked="false"/>
    </xf>
    <xf applyAlignment="false" applyBorder="true" applyFont="true" applyProtection="true" borderId="6" fillId="2" fontId="10" numFmtId="166" xfId="0">
      <protection hidden="false" locked="false"/>
    </xf>
    <xf applyAlignment="true" applyBorder="true" applyFont="true" applyProtection="true" borderId="7" fillId="2" fontId="21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5" fillId="2" fontId="21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true" borderId="3" fillId="2" fontId="10" numFmtId="170" xfId="0">
      <protection hidden="false" locked="false"/>
    </xf>
    <xf applyAlignment="false" applyBorder="true" applyFont="true" applyProtection="true" borderId="13" fillId="2" fontId="10" numFmtId="166" xfId="0">
      <protection hidden="false" locked="false"/>
    </xf>
    <xf applyAlignment="true" applyBorder="true" applyFont="true" applyProtection="true" borderId="11" fillId="2" fontId="22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2" fillId="2" fontId="10" numFmtId="170" xfId="0">
      <alignment horizontal="general" indent="0" shrinkToFit="true" textRotation="0" vertical="bottom" wrapText="false"/>
      <protection hidden="false" locked="true"/>
    </xf>
    <xf applyAlignment="true" applyBorder="true" applyFont="true" applyProtection="true" borderId="6" fillId="2" fontId="10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2" fontId="10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8" fillId="2" fontId="10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2" fontId="10" numFmtId="170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6" fillId="2" fontId="10" numFmtId="170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2" fillId="3" fontId="1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6" fillId="3" fontId="1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2" fontId="1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3" fontId="10" numFmtId="164" xfId="0">
      <alignment horizontal="general" indent="0" shrinkToFit="false" textRotation="0" vertical="bottom" wrapText="true"/>
      <protection hidden="false" locked="false"/>
    </xf>
    <xf applyAlignment="true" applyBorder="true" applyFont="true" applyProtection="true" borderId="7" fillId="2" fontId="22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2" fillId="3" fontId="10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6" fillId="3" fontId="10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8" fillId="2" fontId="1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2" fontId="20" numFmtId="171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2" fillId="2" fontId="20" numFmtId="171" xfId="0">
      <alignment horizontal="right" indent="0" shrinkToFit="false" textRotation="0" vertical="bottom" wrapText="false"/>
      <protection hidden="false" locked="false"/>
    </xf>
    <xf applyAlignment="true" applyBorder="true" applyFont="true" applyProtection="true" borderId="2" fillId="2" fontId="20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1" fillId="2" fontId="20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2" fillId="2" fontId="2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2" fontId="20" numFmtId="173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true" borderId="0" fillId="2" fontId="23" numFmtId="164" xfId="0">
      <protection hidden="false" locked="true"/>
    </xf>
    <xf applyAlignment="false" applyBorder="true" applyFont="true" applyProtection="false" borderId="2" fillId="0" fontId="24" numFmtId="164" xfId="0"/>
    <xf applyAlignment="false" applyBorder="true" applyFont="true" applyProtection="false" borderId="6" fillId="4" fontId="24" numFmtId="166" xfId="0"/>
    <xf applyAlignment="false" applyBorder="false" applyFont="false" applyProtection="false" borderId="0" fillId="0" fontId="0" numFmtId="166" xfId="0"/>
    <xf applyAlignment="false" applyBorder="true" applyFont="true" applyProtection="false" borderId="2" fillId="0" fontId="24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1</xdr:col>
      <xdr:colOff>1800</xdr:colOff>
      <xdr:row>0</xdr:row>
      <xdr:rowOff>0</xdr:rowOff>
    </xdr:from>
    <xdr:to>
      <xdr:col>4</xdr:col>
      <xdr:colOff>123840</xdr:colOff>
      <xdr:row>3</xdr:row>
      <xdr:rowOff>27720</xdr:rowOff>
    </xdr:to>
    <xdr:pic>
      <xdr:nvPicPr>
        <xdr:cNvPr descr="" id="0" name="Picture 74"/>
        <xdr:cNvPicPr/>
      </xdr:nvPicPr>
      <xdr:blipFill>
        <a:blip r:embed="rId1"/>
        <a:stretch>
          <a:fillRect/>
        </a:stretch>
      </xdr:blipFill>
      <xdr:spPr>
        <a:xfrm>
          <a:off x="214920" y="0"/>
          <a:ext cx="1067040" cy="51336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I42"/>
  <sheetViews>
    <sheetView colorId="64" defaultGridColor="true" rightToLeft="false" showFormulas="false" showGridLines="true" showOutlineSymbols="true" showRowColHeaders="true" showZeros="true" tabSelected="true" topLeftCell="A1" view="pageBreakPreview" windowProtection="false" workbookViewId="0" zoomScale="100" zoomScaleNormal="75" zoomScalePageLayoutView="100">
      <selection activeCell="K5" activeCellId="0" pane="topLeft" sqref="K5"/>
    </sheetView>
  </sheetViews>
  <cols>
    <col collapsed="false" hidden="false" max="1" min="1" style="1" width="3.03921568627451"/>
    <col collapsed="false" hidden="false" max="2" min="2" style="1" width="7.96078431372549"/>
    <col collapsed="false" hidden="false" max="4" min="3" style="1" width="2.74901960784314"/>
    <col collapsed="false" hidden="false" max="5" min="5" style="1" width="2.59607843137255"/>
    <col collapsed="false" hidden="false" max="6" min="6" style="1" width="2.45882352941176"/>
    <col collapsed="false" hidden="false" max="7" min="7" style="1" width="2.74901960784314"/>
    <col collapsed="false" hidden="false" max="8" min="8" style="1" width="6.22352941176471"/>
    <col collapsed="false" hidden="false" max="9" min="9" style="1" width="4.05098039215686"/>
    <col collapsed="false" hidden="false" max="10" min="10" style="1" width="3.76078431372549"/>
    <col collapsed="false" hidden="false" max="11" min="11" style="1" width="9.85098039215686"/>
    <col collapsed="false" hidden="false" max="12" min="12" style="1" width="9.54901960784314"/>
    <col collapsed="false" hidden="false" max="13" min="13" style="1" width="6.8"/>
    <col collapsed="false" hidden="false" max="14" min="14" style="1" width="7.24313725490196"/>
    <col collapsed="false" hidden="false" max="15" min="15" style="1" width="3.61960784313725"/>
    <col collapsed="false" hidden="false" max="30" min="16" style="1" width="4.47843137254902"/>
    <col collapsed="false" hidden="false" max="31" min="31" style="1" width="4.92156862745098"/>
    <col collapsed="false" hidden="false" max="32" min="32" style="1" width="5.36470588235294"/>
    <col collapsed="false" hidden="false" max="34" min="33" style="1" width="6.64705882352941"/>
    <col collapsed="false" hidden="false" max="35" min="35" style="1" width="21.5882352941176"/>
    <col collapsed="false" hidden="false" max="257" min="36" style="2" width="8.98039215686275"/>
    <col collapsed="false" hidden="false" max="1025" min="258" style="0" width="8.98039215686275"/>
  </cols>
  <sheetData>
    <row collapsed="false" customFormat="false" customHeight="true" hidden="false" ht="12.75" outlineLevel="0" r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4"/>
      <c r="P1" s="5"/>
      <c r="Q1" s="5"/>
      <c r="R1" s="6" t="s">
        <v>0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4"/>
      <c r="AG1" s="4"/>
      <c r="AH1" s="4"/>
      <c r="AI1" s="7" t="s">
        <v>1</v>
      </c>
    </row>
    <row collapsed="false" customFormat="false" customHeight="true" hidden="false" ht="12.75" outlineLevel="0"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4"/>
      <c r="R2" s="6" t="s">
        <v>2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4"/>
      <c r="AG2" s="4"/>
      <c r="AH2" s="4"/>
      <c r="AI2" s="4"/>
    </row>
    <row collapsed="false" customFormat="false" customHeight="true" hidden="false" ht="12.75" outlineLevel="0"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8"/>
      <c r="O3" s="5"/>
      <c r="P3" s="5"/>
      <c r="Q3" s="5"/>
      <c r="R3" s="6" t="s">
        <v>3</v>
      </c>
      <c r="S3" s="5"/>
      <c r="T3" s="4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9"/>
      <c r="AG3" s="9"/>
      <c r="AH3" s="9" t="s">
        <v>4</v>
      </c>
      <c r="AI3" s="10"/>
    </row>
    <row collapsed="false" customFormat="false" customHeight="true" hidden="false" ht="12.75" outlineLevel="0"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8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9"/>
      <c r="AG4" s="9"/>
      <c r="AH4" s="9" t="s">
        <v>5</v>
      </c>
      <c r="AI4" s="10"/>
    </row>
    <row collapsed="false" customFormat="false" customHeight="true" hidden="false" ht="12.75" outlineLevel="0" r="5">
      <c r="A5" s="4"/>
      <c r="B5" s="11"/>
      <c r="C5" s="11"/>
      <c r="D5" s="11"/>
      <c r="E5" s="11"/>
      <c r="F5" s="11"/>
      <c r="G5" s="11"/>
      <c r="H5" s="11"/>
      <c r="I5" s="12"/>
      <c r="J5" s="12"/>
      <c r="K5" s="11"/>
      <c r="L5" s="11"/>
      <c r="M5" s="11"/>
      <c r="N5" s="11"/>
      <c r="O5" s="11"/>
      <c r="P5" s="13"/>
      <c r="Q5" s="13"/>
      <c r="R5" s="14"/>
      <c r="S5" s="14"/>
      <c r="T5" s="14"/>
      <c r="U5" s="14"/>
      <c r="V5" s="14"/>
      <c r="W5" s="14"/>
      <c r="X5" s="13"/>
      <c r="Y5" s="13"/>
      <c r="Z5" s="14"/>
      <c r="AA5" s="14"/>
      <c r="AB5" s="14"/>
      <c r="AC5" s="14"/>
      <c r="AD5" s="15"/>
      <c r="AE5" s="16"/>
      <c r="AF5" s="9"/>
      <c r="AG5" s="9"/>
      <c r="AH5" s="9" t="s">
        <v>6</v>
      </c>
      <c r="AI5" s="10"/>
    </row>
    <row collapsed="false" customFormat="false" customHeight="true" hidden="false" ht="13.9" outlineLevel="0" r="6">
      <c r="A6" s="4"/>
      <c r="B6" s="17" t="s">
        <v>7</v>
      </c>
      <c r="C6" s="18"/>
      <c r="D6" s="18"/>
      <c r="E6" s="18"/>
      <c r="F6" s="18"/>
      <c r="G6" s="18"/>
      <c r="H6" s="18"/>
      <c r="I6" s="18"/>
      <c r="J6" s="18"/>
      <c r="K6" s="17" t="s">
        <v>8</v>
      </c>
      <c r="L6" s="18"/>
      <c r="M6" s="18"/>
      <c r="N6" s="18"/>
      <c r="O6" s="18"/>
      <c r="P6" s="17"/>
      <c r="Q6" s="17"/>
      <c r="R6" s="17" t="s">
        <v>9</v>
      </c>
      <c r="S6" s="18"/>
      <c r="T6" s="17"/>
      <c r="U6" s="17"/>
      <c r="V6" s="18"/>
      <c r="W6" s="18"/>
      <c r="X6" s="17"/>
      <c r="Y6" s="17"/>
      <c r="Z6" s="17" t="s">
        <v>10</v>
      </c>
      <c r="AA6" s="17"/>
      <c r="AB6" s="19"/>
      <c r="AC6" s="19"/>
      <c r="AD6" s="4"/>
      <c r="AE6" s="4"/>
      <c r="AF6" s="9"/>
      <c r="AG6" s="9"/>
      <c r="AH6" s="9"/>
      <c r="AI6" s="20"/>
    </row>
    <row collapsed="false" customFormat="false" customHeight="true" hidden="false" ht="13.5" outlineLevel="0" r="7">
      <c r="A7" s="4"/>
      <c r="B7" s="19"/>
      <c r="C7" s="4"/>
      <c r="D7" s="4"/>
      <c r="E7" s="4"/>
      <c r="F7" s="4"/>
      <c r="G7" s="4"/>
      <c r="H7" s="4"/>
      <c r="I7" s="4"/>
      <c r="J7" s="4"/>
      <c r="K7" s="21"/>
      <c r="L7" s="22"/>
      <c r="M7" s="4"/>
      <c r="N7" s="4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4"/>
    </row>
    <row collapsed="false" customFormat="false" customHeight="true" hidden="false" ht="13.5" outlineLevel="0" r="8">
      <c r="A8" s="25" t="s">
        <v>11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6"/>
      <c r="M8" s="4"/>
      <c r="N8" s="27"/>
      <c r="O8" s="28"/>
      <c r="P8" s="29" t="s">
        <v>12</v>
      </c>
      <c r="Q8" s="29"/>
      <c r="R8" s="29"/>
      <c r="S8" s="29"/>
      <c r="T8" s="29"/>
      <c r="U8" s="29"/>
      <c r="V8" s="29"/>
      <c r="W8" s="29"/>
      <c r="X8" s="29"/>
      <c r="Y8" s="29" t="s">
        <v>13</v>
      </c>
      <c r="Z8" s="29"/>
      <c r="AA8" s="29"/>
      <c r="AB8" s="29"/>
      <c r="AC8" s="29"/>
      <c r="AD8" s="29"/>
      <c r="AE8" s="29"/>
      <c r="AF8" s="29"/>
      <c r="AG8" s="30" t="s">
        <v>14</v>
      </c>
      <c r="AH8" s="30"/>
      <c r="AI8" s="30" t="s">
        <v>15</v>
      </c>
    </row>
    <row collapsed="false" customFormat="false" customHeight="true" hidden="false" ht="13.5" outlineLevel="0" r="9">
      <c r="A9" s="31" t="s">
        <v>16</v>
      </c>
      <c r="B9" s="31"/>
      <c r="C9" s="31"/>
      <c r="D9" s="31"/>
      <c r="E9" s="31"/>
      <c r="F9" s="31"/>
      <c r="G9" s="31"/>
      <c r="H9" s="31"/>
      <c r="I9" s="31"/>
      <c r="J9" s="31"/>
      <c r="K9" s="32" t="str">
        <f aca="false">IF(SUM(S11:X41)=0," ",COUNTIF(S11:X41,"&gt;0"))</f>
        <v> </v>
      </c>
      <c r="L9" s="26"/>
      <c r="M9" s="22"/>
      <c r="N9" s="27"/>
      <c r="O9" s="33" t="s">
        <v>17</v>
      </c>
      <c r="P9" s="33" t="s">
        <v>18</v>
      </c>
      <c r="Q9" s="33" t="s">
        <v>19</v>
      </c>
      <c r="R9" s="33" t="s">
        <v>19</v>
      </c>
      <c r="S9" s="34" t="s">
        <v>20</v>
      </c>
      <c r="T9" s="34" t="s">
        <v>21</v>
      </c>
      <c r="U9" s="34" t="s">
        <v>22</v>
      </c>
      <c r="V9" s="34" t="s">
        <v>23</v>
      </c>
      <c r="W9" s="34" t="s">
        <v>24</v>
      </c>
      <c r="X9" s="34" t="s">
        <v>25</v>
      </c>
      <c r="Y9" s="35" t="s">
        <v>26</v>
      </c>
      <c r="Z9" s="35"/>
      <c r="AA9" s="35"/>
      <c r="AB9" s="35"/>
      <c r="AC9" s="35"/>
      <c r="AD9" s="35"/>
      <c r="AE9" s="35" t="s">
        <v>27</v>
      </c>
      <c r="AF9" s="35"/>
      <c r="AG9" s="36" t="s">
        <v>28</v>
      </c>
      <c r="AH9" s="36"/>
      <c r="AI9" s="37"/>
    </row>
    <row collapsed="false" customFormat="false" customHeight="true" hidden="false" ht="13.5" outlineLevel="0" r="10">
      <c r="A10" s="38" t="s">
        <v>29</v>
      </c>
      <c r="B10" s="38"/>
      <c r="C10" s="38"/>
      <c r="D10" s="38"/>
      <c r="E10" s="38"/>
      <c r="F10" s="38"/>
      <c r="G10" s="38"/>
      <c r="H10" s="38"/>
      <c r="I10" s="38"/>
      <c r="J10" s="38"/>
      <c r="K10" s="39" t="str">
        <f aca="false">IF(SUM(S11:X41)=0," ",COUNTIF(S11:X41,"&gt; 1.49"))</f>
        <v> </v>
      </c>
      <c r="L10" s="26"/>
      <c r="M10" s="21"/>
      <c r="N10" s="27"/>
      <c r="O10" s="33"/>
      <c r="P10" s="33"/>
      <c r="Q10" s="33"/>
      <c r="R10" s="33"/>
      <c r="S10" s="34"/>
      <c r="T10" s="34"/>
      <c r="U10" s="34"/>
      <c r="V10" s="34"/>
      <c r="W10" s="34"/>
      <c r="X10" s="34"/>
      <c r="Y10" s="33" t="s">
        <v>30</v>
      </c>
      <c r="Z10" s="40" t="s">
        <v>31</v>
      </c>
      <c r="AA10" s="40" t="s">
        <v>32</v>
      </c>
      <c r="AB10" s="33" t="s">
        <v>33</v>
      </c>
      <c r="AC10" s="40" t="s">
        <v>34</v>
      </c>
      <c r="AD10" s="40" t="s">
        <v>35</v>
      </c>
      <c r="AE10" s="41" t="s">
        <v>36</v>
      </c>
      <c r="AF10" s="41"/>
      <c r="AG10" s="35" t="s">
        <v>37</v>
      </c>
      <c r="AH10" s="42" t="s">
        <v>38</v>
      </c>
      <c r="AI10" s="43"/>
    </row>
    <row collapsed="false" customFormat="false" customHeight="true" hidden="false" ht="12.75" outlineLevel="0" r="11">
      <c r="A11" s="38" t="s">
        <v>39</v>
      </c>
      <c r="B11" s="38"/>
      <c r="C11" s="38"/>
      <c r="D11" s="38"/>
      <c r="E11" s="38"/>
      <c r="F11" s="38"/>
      <c r="G11" s="38"/>
      <c r="H11" s="38"/>
      <c r="I11" s="38"/>
      <c r="J11" s="38"/>
      <c r="K11" s="44" t="str">
        <f aca="false">IF(SUM(S11:X41)=0," ",MAX(S11:X41))</f>
        <v> </v>
      </c>
      <c r="L11" s="45" t="s">
        <v>40</v>
      </c>
      <c r="M11" s="21"/>
      <c r="N11" s="4"/>
      <c r="O11" s="46" t="n">
        <v>1</v>
      </c>
      <c r="P11" s="47"/>
      <c r="Q11" s="47"/>
      <c r="R11" s="47"/>
      <c r="S11" s="48"/>
      <c r="T11" s="48"/>
      <c r="U11" s="48"/>
      <c r="V11" s="48"/>
      <c r="W11" s="48"/>
      <c r="X11" s="47"/>
      <c r="Y11" s="48"/>
      <c r="Z11" s="49"/>
      <c r="AA11" s="49"/>
      <c r="AB11" s="49"/>
      <c r="AC11" s="50"/>
      <c r="AD11" s="51"/>
      <c r="AE11" s="48"/>
      <c r="AF11" s="49"/>
      <c r="AG11" s="50"/>
      <c r="AH11" s="50"/>
      <c r="AI11" s="52"/>
    </row>
    <row collapsed="false" customFormat="false" customHeight="true" hidden="false" ht="15.75" outlineLevel="0" r="12">
      <c r="A12" s="53" t="s">
        <v>41</v>
      </c>
      <c r="B12" s="53"/>
      <c r="C12" s="53"/>
      <c r="D12" s="53"/>
      <c r="E12" s="53"/>
      <c r="F12" s="53"/>
      <c r="G12" s="53"/>
      <c r="H12" s="53"/>
      <c r="I12" s="53"/>
      <c r="J12" s="53"/>
      <c r="K12" s="54" t="str">
        <f aca="false">IF(SUM(S11:X41)=0," ",COUNTIF(S11:X41,"&gt; 0.349"))</f>
        <v> </v>
      </c>
      <c r="L12" s="55" t="str">
        <f aca="false">IF(SUM(S11:X41)=0," ",IF(K9=0,"",K12/K9))</f>
        <v> </v>
      </c>
      <c r="M12" s="21"/>
      <c r="N12" s="4"/>
      <c r="O12" s="46" t="n">
        <v>2</v>
      </c>
      <c r="P12" s="47"/>
      <c r="Q12" s="47"/>
      <c r="R12" s="47"/>
      <c r="S12" s="48"/>
      <c r="T12" s="48"/>
      <c r="U12" s="48"/>
      <c r="V12" s="48"/>
      <c r="W12" s="48"/>
      <c r="X12" s="47"/>
      <c r="Y12" s="48"/>
      <c r="Z12" s="48"/>
      <c r="AA12" s="48"/>
      <c r="AB12" s="48"/>
      <c r="AC12" s="56"/>
      <c r="AD12" s="57"/>
      <c r="AE12" s="48"/>
      <c r="AF12" s="49"/>
      <c r="AG12" s="56"/>
      <c r="AH12" s="56"/>
      <c r="AI12" s="52"/>
    </row>
    <row collapsed="false" customFormat="false" customHeight="true" hidden="false" ht="13.5" outlineLevel="0" r="13">
      <c r="A13" s="25" t="s">
        <v>42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58"/>
      <c r="M13" s="59"/>
      <c r="N13" s="4"/>
      <c r="O13" s="46" t="n">
        <v>3</v>
      </c>
      <c r="P13" s="47"/>
      <c r="Q13" s="47"/>
      <c r="R13" s="47"/>
      <c r="S13" s="48"/>
      <c r="T13" s="48"/>
      <c r="U13" s="48"/>
      <c r="V13" s="48"/>
      <c r="W13" s="48"/>
      <c r="X13" s="47"/>
      <c r="Y13" s="48"/>
      <c r="Z13" s="48"/>
      <c r="AA13" s="48"/>
      <c r="AB13" s="48"/>
      <c r="AC13" s="56"/>
      <c r="AD13" s="57"/>
      <c r="AE13" s="48"/>
      <c r="AF13" s="49"/>
      <c r="AG13" s="56"/>
      <c r="AH13" s="56"/>
      <c r="AI13" s="52"/>
    </row>
    <row collapsed="false" customFormat="false" customHeight="true" hidden="false" ht="15" outlineLevel="0" r="14">
      <c r="A14" s="60" t="s">
        <v>43</v>
      </c>
      <c r="B14" s="60"/>
      <c r="C14" s="60"/>
      <c r="D14" s="60"/>
      <c r="E14" s="60"/>
      <c r="F14" s="60"/>
      <c r="G14" s="60"/>
      <c r="H14" s="60"/>
      <c r="I14" s="60"/>
      <c r="J14" s="60"/>
      <c r="K14" s="32" t="str">
        <f aca="false">IF(SUM(Y11:AD41)=0," ",COUNTIF(Y11:AD41,"&gt;0"))</f>
        <v> </v>
      </c>
      <c r="L14" s="61"/>
      <c r="M14" s="62"/>
      <c r="N14" s="4"/>
      <c r="O14" s="46" t="n">
        <v>4</v>
      </c>
      <c r="P14" s="47"/>
      <c r="Q14" s="47"/>
      <c r="R14" s="47"/>
      <c r="S14" s="48"/>
      <c r="T14" s="48"/>
      <c r="U14" s="48"/>
      <c r="V14" s="48"/>
      <c r="W14" s="48"/>
      <c r="X14" s="47"/>
      <c r="Y14" s="48"/>
      <c r="Z14" s="48"/>
      <c r="AA14" s="48"/>
      <c r="AB14" s="48"/>
      <c r="AC14" s="56"/>
      <c r="AD14" s="57"/>
      <c r="AE14" s="48"/>
      <c r="AF14" s="49"/>
      <c r="AG14" s="56"/>
      <c r="AH14" s="56"/>
      <c r="AI14" s="52"/>
    </row>
    <row collapsed="false" customFormat="false" customHeight="true" hidden="false" ht="15" outlineLevel="0" r="15">
      <c r="A15" s="38" t="s">
        <v>44</v>
      </c>
      <c r="B15" s="38"/>
      <c r="C15" s="38"/>
      <c r="D15" s="38"/>
      <c r="E15" s="38"/>
      <c r="F15" s="38"/>
      <c r="G15" s="38"/>
      <c r="H15" s="38"/>
      <c r="I15" s="38"/>
      <c r="J15" s="38"/>
      <c r="K15" s="39" t="str">
        <f aca="false">IF(SUM(Y11:AD41)=0," ",COUNTIF(Y11:AD41,"&lt;1.0"))</f>
        <v> </v>
      </c>
      <c r="L15" s="63"/>
      <c r="M15" s="62"/>
      <c r="N15" s="21"/>
      <c r="O15" s="46" t="n">
        <v>5</v>
      </c>
      <c r="P15" s="47"/>
      <c r="Q15" s="47"/>
      <c r="R15" s="47"/>
      <c r="S15" s="48"/>
      <c r="T15" s="48"/>
      <c r="U15" s="48"/>
      <c r="V15" s="48"/>
      <c r="W15" s="48"/>
      <c r="X15" s="47"/>
      <c r="Y15" s="48"/>
      <c r="Z15" s="48"/>
      <c r="AA15" s="48"/>
      <c r="AB15" s="48"/>
      <c r="AC15" s="56"/>
      <c r="AD15" s="57"/>
      <c r="AE15" s="48"/>
      <c r="AF15" s="49"/>
      <c r="AG15" s="56"/>
      <c r="AH15" s="56"/>
      <c r="AI15" s="52"/>
    </row>
    <row collapsed="false" customFormat="false" customHeight="true" hidden="false" ht="13.5" outlineLevel="0" r="16">
      <c r="A16" s="64" t="s">
        <v>45</v>
      </c>
      <c r="B16" s="65"/>
      <c r="C16" s="65"/>
      <c r="D16" s="65"/>
      <c r="E16" s="65"/>
      <c r="F16" s="65"/>
      <c r="G16" s="65"/>
      <c r="H16" s="65"/>
      <c r="I16" s="65"/>
      <c r="J16" s="66"/>
      <c r="K16" s="67" t="str">
        <f aca="false">IF(SUM(Y11:AD41)=0," ",MIN(Y11:AD41))</f>
        <v> </v>
      </c>
      <c r="L16" s="58"/>
      <c r="M16" s="62"/>
      <c r="N16" s="68"/>
      <c r="O16" s="46" t="n">
        <v>6</v>
      </c>
      <c r="P16" s="47"/>
      <c r="Q16" s="47"/>
      <c r="R16" s="47"/>
      <c r="S16" s="48"/>
      <c r="T16" s="48"/>
      <c r="U16" s="48"/>
      <c r="V16" s="48"/>
      <c r="W16" s="48"/>
      <c r="X16" s="47"/>
      <c r="Y16" s="48"/>
      <c r="Z16" s="48"/>
      <c r="AA16" s="48"/>
      <c r="AB16" s="48"/>
      <c r="AC16" s="56"/>
      <c r="AD16" s="57"/>
      <c r="AE16" s="48"/>
      <c r="AF16" s="49"/>
      <c r="AG16" s="56"/>
      <c r="AH16" s="56"/>
      <c r="AI16" s="52"/>
    </row>
    <row collapsed="false" customFormat="false" customHeight="true" hidden="false" ht="13.5" outlineLevel="0" r="17">
      <c r="A17" s="25" t="s">
        <v>46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58"/>
      <c r="M17" s="21"/>
      <c r="N17" s="27"/>
      <c r="O17" s="46" t="n">
        <v>7</v>
      </c>
      <c r="P17" s="47"/>
      <c r="Q17" s="47"/>
      <c r="R17" s="47"/>
      <c r="S17" s="48"/>
      <c r="T17" s="48"/>
      <c r="U17" s="48"/>
      <c r="V17" s="48"/>
      <c r="W17" s="48"/>
      <c r="X17" s="47"/>
      <c r="Y17" s="48"/>
      <c r="Z17" s="48"/>
      <c r="AA17" s="48"/>
      <c r="AB17" s="48"/>
      <c r="AC17" s="56"/>
      <c r="AD17" s="57"/>
      <c r="AE17" s="48"/>
      <c r="AF17" s="49"/>
      <c r="AG17" s="56"/>
      <c r="AH17" s="56"/>
      <c r="AI17" s="52"/>
    </row>
    <row collapsed="false" customFormat="false" customHeight="true" hidden="false" ht="12.75" outlineLevel="0" r="18">
      <c r="A18" s="69" t="s">
        <v>43</v>
      </c>
      <c r="B18" s="70"/>
      <c r="C18" s="70"/>
      <c r="D18" s="70"/>
      <c r="E18" s="70"/>
      <c r="F18" s="70"/>
      <c r="G18" s="70"/>
      <c r="H18" s="70"/>
      <c r="I18" s="70"/>
      <c r="J18" s="71"/>
      <c r="K18" s="32" t="str">
        <f aca="false">IF(SUM(AE11:AF41)=0," ",COUNT(AE11:AF41))</f>
        <v> </v>
      </c>
      <c r="L18" s="72"/>
      <c r="M18" s="68"/>
      <c r="N18" s="27"/>
      <c r="O18" s="46" t="n">
        <v>8</v>
      </c>
      <c r="P18" s="47"/>
      <c r="Q18" s="47"/>
      <c r="R18" s="47"/>
      <c r="S18" s="48"/>
      <c r="T18" s="48"/>
      <c r="U18" s="48"/>
      <c r="V18" s="48"/>
      <c r="W18" s="48"/>
      <c r="X18" s="47"/>
      <c r="Y18" s="48"/>
      <c r="Z18" s="48"/>
      <c r="AA18" s="48"/>
      <c r="AB18" s="48"/>
      <c r="AC18" s="56"/>
      <c r="AD18" s="57"/>
      <c r="AE18" s="48"/>
      <c r="AF18" s="49"/>
      <c r="AG18" s="56"/>
      <c r="AH18" s="56"/>
      <c r="AI18" s="52"/>
    </row>
    <row collapsed="false" customFormat="false" customHeight="true" hidden="false" ht="12.75" outlineLevel="0" r="19">
      <c r="A19" s="73" t="s">
        <v>47</v>
      </c>
      <c r="B19" s="74"/>
      <c r="C19" s="74"/>
      <c r="D19" s="74"/>
      <c r="E19" s="74"/>
      <c r="F19" s="74"/>
      <c r="G19" s="74"/>
      <c r="H19" s="74"/>
      <c r="I19" s="74"/>
      <c r="J19" s="75"/>
      <c r="K19" s="39" t="str">
        <f aca="false">IF(SUM(AE11:AF41)=0," ",COUNTIF(AE11:AF41,"&lt;.2"))</f>
        <v> </v>
      </c>
      <c r="L19" s="72"/>
      <c r="M19" s="62"/>
      <c r="N19" s="27"/>
      <c r="O19" s="46" t="n">
        <v>9</v>
      </c>
      <c r="P19" s="47"/>
      <c r="Q19" s="47"/>
      <c r="R19" s="47"/>
      <c r="S19" s="48"/>
      <c r="T19" s="48"/>
      <c r="U19" s="48"/>
      <c r="V19" s="48"/>
      <c r="W19" s="48"/>
      <c r="X19" s="47"/>
      <c r="Y19" s="48"/>
      <c r="Z19" s="48"/>
      <c r="AA19" s="48"/>
      <c r="AB19" s="48"/>
      <c r="AC19" s="56"/>
      <c r="AD19" s="57"/>
      <c r="AE19" s="48"/>
      <c r="AF19" s="49"/>
      <c r="AG19" s="56"/>
      <c r="AH19" s="56"/>
      <c r="AI19" s="52"/>
    </row>
    <row collapsed="false" customFormat="false" customHeight="true" hidden="false" ht="12.75" outlineLevel="0" r="20">
      <c r="A20" s="76" t="s">
        <v>45</v>
      </c>
      <c r="B20" s="77"/>
      <c r="C20" s="77"/>
      <c r="D20" s="77"/>
      <c r="E20" s="77"/>
      <c r="F20" s="77"/>
      <c r="G20" s="77"/>
      <c r="H20" s="77"/>
      <c r="I20" s="77"/>
      <c r="J20" s="78"/>
      <c r="K20" s="44" t="str">
        <f aca="false">IF(SUM(AE11:AF41)=0," ",MIN(AE11:AF41))</f>
        <v> </v>
      </c>
      <c r="L20" s="79"/>
      <c r="M20" s="21"/>
      <c r="N20" s="27"/>
      <c r="O20" s="46" t="n">
        <v>10</v>
      </c>
      <c r="P20" s="47"/>
      <c r="Q20" s="47"/>
      <c r="R20" s="47"/>
      <c r="S20" s="48"/>
      <c r="T20" s="48"/>
      <c r="U20" s="48"/>
      <c r="V20" s="48"/>
      <c r="W20" s="48"/>
      <c r="X20" s="47"/>
      <c r="Y20" s="48"/>
      <c r="Z20" s="48"/>
      <c r="AA20" s="48"/>
      <c r="AB20" s="48"/>
      <c r="AC20" s="56"/>
      <c r="AD20" s="57"/>
      <c r="AE20" s="48"/>
      <c r="AF20" s="49"/>
      <c r="AG20" s="56"/>
      <c r="AH20" s="56"/>
      <c r="AI20" s="52"/>
    </row>
    <row collapsed="false" customFormat="false" customHeight="true" hidden="false" ht="12.75" outlineLevel="0" r="21">
      <c r="B21" s="4"/>
      <c r="C21" s="4"/>
      <c r="D21" s="4"/>
      <c r="E21" s="4"/>
      <c r="F21" s="4"/>
      <c r="G21" s="4"/>
      <c r="H21" s="4"/>
      <c r="I21" s="4"/>
      <c r="J21" s="80"/>
      <c r="K21" s="21"/>
      <c r="L21" s="4"/>
      <c r="M21" s="4"/>
      <c r="N21" s="68"/>
      <c r="O21" s="46" t="n">
        <v>11</v>
      </c>
      <c r="P21" s="47"/>
      <c r="Q21" s="47"/>
      <c r="R21" s="47"/>
      <c r="S21" s="48"/>
      <c r="T21" s="48"/>
      <c r="U21" s="48"/>
      <c r="V21" s="48"/>
      <c r="W21" s="48"/>
      <c r="X21" s="47"/>
      <c r="Y21" s="48"/>
      <c r="Z21" s="48"/>
      <c r="AA21" s="48"/>
      <c r="AB21" s="48"/>
      <c r="AC21" s="56"/>
      <c r="AD21" s="57"/>
      <c r="AE21" s="48"/>
      <c r="AF21" s="49"/>
      <c r="AG21" s="56"/>
      <c r="AH21" s="56"/>
      <c r="AI21" s="52"/>
    </row>
    <row collapsed="false" customFormat="false" customHeight="true" hidden="false" ht="12.75" outlineLevel="0" r="22">
      <c r="A22" s="81" t="s">
        <v>48</v>
      </c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3"/>
      <c r="O22" s="46" t="n">
        <v>12</v>
      </c>
      <c r="P22" s="47"/>
      <c r="Q22" s="47"/>
      <c r="R22" s="47"/>
      <c r="S22" s="48"/>
      <c r="T22" s="48"/>
      <c r="U22" s="48"/>
      <c r="V22" s="48"/>
      <c r="W22" s="48"/>
      <c r="X22" s="47"/>
      <c r="Y22" s="48"/>
      <c r="Z22" s="48"/>
      <c r="AA22" s="48"/>
      <c r="AB22" s="48"/>
      <c r="AC22" s="56"/>
      <c r="AD22" s="57"/>
      <c r="AE22" s="48"/>
      <c r="AF22" s="49"/>
      <c r="AG22" s="56"/>
      <c r="AH22" s="56"/>
      <c r="AI22" s="52"/>
    </row>
    <row collapsed="false" customFormat="false" customHeight="true" hidden="false" ht="12.75" outlineLevel="0" r="23">
      <c r="A23" s="82" t="s">
        <v>49</v>
      </c>
      <c r="B23" s="84"/>
      <c r="C23" s="82"/>
      <c r="D23" s="82"/>
      <c r="E23" s="82"/>
      <c r="F23" s="82"/>
      <c r="G23" s="82"/>
      <c r="H23" s="82"/>
      <c r="I23" s="16"/>
      <c r="J23" s="16"/>
      <c r="K23" s="16"/>
      <c r="L23" s="16"/>
      <c r="M23" s="16"/>
      <c r="N23" s="83"/>
      <c r="O23" s="46" t="n">
        <v>13</v>
      </c>
      <c r="P23" s="47"/>
      <c r="Q23" s="47"/>
      <c r="R23" s="47"/>
      <c r="S23" s="48"/>
      <c r="T23" s="48"/>
      <c r="U23" s="48"/>
      <c r="V23" s="48"/>
      <c r="W23" s="48"/>
      <c r="X23" s="47"/>
      <c r="Y23" s="48"/>
      <c r="Z23" s="48"/>
      <c r="AA23" s="48"/>
      <c r="AB23" s="48"/>
      <c r="AC23" s="56"/>
      <c r="AD23" s="57"/>
      <c r="AE23" s="48"/>
      <c r="AF23" s="49"/>
      <c r="AG23" s="56"/>
      <c r="AH23" s="56"/>
      <c r="AI23" s="52"/>
    </row>
    <row collapsed="false" customFormat="false" customHeight="true" hidden="false" ht="12.75" outlineLevel="0" r="24">
      <c r="A24" s="82" t="s">
        <v>50</v>
      </c>
      <c r="B24" s="84"/>
      <c r="C24" s="84"/>
      <c r="D24" s="84"/>
      <c r="E24" s="84"/>
      <c r="F24" s="84"/>
      <c r="G24" s="84"/>
      <c r="H24" s="84"/>
      <c r="I24" s="85"/>
      <c r="J24" s="85"/>
      <c r="K24" s="85"/>
      <c r="L24" s="85"/>
      <c r="M24" s="85"/>
      <c r="N24" s="86"/>
      <c r="O24" s="46" t="n">
        <v>14</v>
      </c>
      <c r="P24" s="47"/>
      <c r="Q24" s="47"/>
      <c r="R24" s="47"/>
      <c r="S24" s="48"/>
      <c r="T24" s="48"/>
      <c r="U24" s="48"/>
      <c r="V24" s="48"/>
      <c r="W24" s="48"/>
      <c r="X24" s="47"/>
      <c r="Y24" s="48"/>
      <c r="Z24" s="48"/>
      <c r="AA24" s="48"/>
      <c r="AB24" s="48"/>
      <c r="AC24" s="56"/>
      <c r="AD24" s="57"/>
      <c r="AE24" s="48"/>
      <c r="AF24" s="49"/>
      <c r="AG24" s="56"/>
      <c r="AH24" s="56"/>
      <c r="AI24" s="52"/>
    </row>
    <row collapsed="false" customFormat="false" customHeight="true" hidden="false" ht="12.75" outlineLevel="0" r="25">
      <c r="A25" s="84" t="s">
        <v>51</v>
      </c>
      <c r="B25" s="84"/>
      <c r="C25" s="84"/>
      <c r="D25" s="84"/>
      <c r="E25" s="84"/>
      <c r="F25" s="84"/>
      <c r="G25" s="84"/>
      <c r="H25" s="84"/>
      <c r="I25" s="85"/>
      <c r="J25" s="85"/>
      <c r="K25" s="85"/>
      <c r="L25" s="85"/>
      <c r="M25" s="85"/>
      <c r="N25" s="86"/>
      <c r="O25" s="46" t="n">
        <v>15</v>
      </c>
      <c r="P25" s="47"/>
      <c r="Q25" s="47"/>
      <c r="R25" s="47"/>
      <c r="S25" s="48"/>
      <c r="T25" s="48"/>
      <c r="U25" s="48"/>
      <c r="V25" s="48"/>
      <c r="W25" s="48"/>
      <c r="X25" s="47"/>
      <c r="Y25" s="48"/>
      <c r="Z25" s="48"/>
      <c r="AA25" s="48"/>
      <c r="AB25" s="48"/>
      <c r="AC25" s="56"/>
      <c r="AD25" s="57"/>
      <c r="AE25" s="48"/>
      <c r="AF25" s="49"/>
      <c r="AG25" s="56"/>
      <c r="AH25" s="56"/>
      <c r="AI25" s="52"/>
    </row>
    <row collapsed="false" customFormat="false" customHeight="true" hidden="false" ht="12.75" outlineLevel="0" r="26">
      <c r="A26" s="84" t="s">
        <v>52</v>
      </c>
      <c r="B26" s="84"/>
      <c r="C26" s="84"/>
      <c r="D26" s="84"/>
      <c r="E26" s="84"/>
      <c r="F26" s="84"/>
      <c r="G26" s="84"/>
      <c r="H26" s="84"/>
      <c r="I26" s="84"/>
      <c r="J26" s="84"/>
      <c r="K26" s="85"/>
      <c r="L26" s="85"/>
      <c r="M26" s="85"/>
      <c r="N26" s="86"/>
      <c r="O26" s="46" t="n">
        <v>16</v>
      </c>
      <c r="P26" s="47"/>
      <c r="Q26" s="47"/>
      <c r="R26" s="47"/>
      <c r="S26" s="48"/>
      <c r="T26" s="48"/>
      <c r="U26" s="48"/>
      <c r="V26" s="48"/>
      <c r="W26" s="48"/>
      <c r="X26" s="47"/>
      <c r="Y26" s="48"/>
      <c r="Z26" s="48"/>
      <c r="AA26" s="48"/>
      <c r="AB26" s="48"/>
      <c r="AC26" s="56"/>
      <c r="AD26" s="57"/>
      <c r="AE26" s="48"/>
      <c r="AF26" s="49"/>
      <c r="AG26" s="56"/>
      <c r="AH26" s="56"/>
      <c r="AI26" s="52"/>
    </row>
    <row collapsed="false" customFormat="false" customHeight="true" hidden="false" ht="12.75" outlineLevel="0" r="27">
      <c r="A27" s="84" t="s">
        <v>53</v>
      </c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5"/>
      <c r="O27" s="46" t="n">
        <v>17</v>
      </c>
      <c r="P27" s="47"/>
      <c r="Q27" s="47"/>
      <c r="R27" s="47"/>
      <c r="S27" s="48"/>
      <c r="T27" s="48"/>
      <c r="U27" s="48"/>
      <c r="V27" s="48"/>
      <c r="W27" s="48"/>
      <c r="X27" s="47"/>
      <c r="Y27" s="48"/>
      <c r="Z27" s="48"/>
      <c r="AA27" s="48"/>
      <c r="AB27" s="48"/>
      <c r="AC27" s="56"/>
      <c r="AD27" s="57"/>
      <c r="AE27" s="48"/>
      <c r="AF27" s="49"/>
      <c r="AG27" s="56"/>
      <c r="AH27" s="56"/>
      <c r="AI27" s="52"/>
    </row>
    <row collapsed="false" customFormat="false" customHeight="true" hidden="false" ht="12.75" outlineLevel="0" r="28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46" t="n">
        <v>18</v>
      </c>
      <c r="P28" s="47"/>
      <c r="Q28" s="47"/>
      <c r="R28" s="47"/>
      <c r="S28" s="48"/>
      <c r="T28" s="48"/>
      <c r="U28" s="48"/>
      <c r="V28" s="48"/>
      <c r="W28" s="48"/>
      <c r="X28" s="47"/>
      <c r="Y28" s="48"/>
      <c r="Z28" s="48"/>
      <c r="AA28" s="48"/>
      <c r="AB28" s="48"/>
      <c r="AC28" s="56"/>
      <c r="AD28" s="57"/>
      <c r="AE28" s="48"/>
      <c r="AF28" s="49"/>
      <c r="AG28" s="56"/>
      <c r="AH28" s="56"/>
      <c r="AI28" s="52"/>
    </row>
    <row collapsed="false" customFormat="false" customHeight="true" hidden="false" ht="12.75" outlineLevel="0" r="29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46" t="n">
        <v>19</v>
      </c>
      <c r="P29" s="47"/>
      <c r="Q29" s="47"/>
      <c r="R29" s="47"/>
      <c r="S29" s="48"/>
      <c r="T29" s="48"/>
      <c r="U29" s="48"/>
      <c r="V29" s="48"/>
      <c r="W29" s="48"/>
      <c r="X29" s="47"/>
      <c r="Y29" s="48"/>
      <c r="Z29" s="48"/>
      <c r="AA29" s="48"/>
      <c r="AB29" s="48"/>
      <c r="AC29" s="56"/>
      <c r="AD29" s="57"/>
      <c r="AE29" s="48"/>
      <c r="AF29" s="49"/>
      <c r="AG29" s="56"/>
      <c r="AH29" s="56"/>
      <c r="AI29" s="52"/>
    </row>
    <row collapsed="false" customFormat="false" customHeight="true" hidden="false" ht="12.75" outlineLevel="0" r="30">
      <c r="A30" s="84" t="s">
        <v>54</v>
      </c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46" t="n">
        <v>20</v>
      </c>
      <c r="P30" s="47"/>
      <c r="Q30" s="47"/>
      <c r="R30" s="47"/>
      <c r="S30" s="48"/>
      <c r="T30" s="48"/>
      <c r="U30" s="48"/>
      <c r="V30" s="48"/>
      <c r="W30" s="48"/>
      <c r="X30" s="47"/>
      <c r="Y30" s="48"/>
      <c r="Z30" s="48"/>
      <c r="AA30" s="48"/>
      <c r="AB30" s="48"/>
      <c r="AC30" s="56"/>
      <c r="AD30" s="57"/>
      <c r="AE30" s="48"/>
      <c r="AF30" s="49"/>
      <c r="AG30" s="56"/>
      <c r="AH30" s="56"/>
      <c r="AI30" s="52"/>
    </row>
    <row collapsed="false" customFormat="false" customHeight="true" hidden="false" ht="12.75" outlineLevel="0" r="31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46" t="n">
        <v>21</v>
      </c>
      <c r="P31" s="47"/>
      <c r="Q31" s="47"/>
      <c r="R31" s="47"/>
      <c r="S31" s="48"/>
      <c r="T31" s="48"/>
      <c r="U31" s="48"/>
      <c r="V31" s="48"/>
      <c r="W31" s="48"/>
      <c r="X31" s="47"/>
      <c r="Y31" s="48"/>
      <c r="Z31" s="48"/>
      <c r="AA31" s="48"/>
      <c r="AB31" s="48"/>
      <c r="AC31" s="56"/>
      <c r="AD31" s="57"/>
      <c r="AE31" s="48"/>
      <c r="AF31" s="49"/>
      <c r="AG31" s="56"/>
      <c r="AH31" s="56"/>
      <c r="AI31" s="52"/>
    </row>
    <row collapsed="false" customFormat="false" customHeight="true" hidden="false" ht="12" outlineLevel="0" r="32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5"/>
      <c r="O32" s="46" t="n">
        <v>22</v>
      </c>
      <c r="P32" s="47"/>
      <c r="Q32" s="47"/>
      <c r="R32" s="47"/>
      <c r="S32" s="48"/>
      <c r="T32" s="48"/>
      <c r="U32" s="48"/>
      <c r="V32" s="48"/>
      <c r="W32" s="48"/>
      <c r="X32" s="47"/>
      <c r="Y32" s="48"/>
      <c r="Z32" s="48"/>
      <c r="AA32" s="48"/>
      <c r="AB32" s="48"/>
      <c r="AC32" s="56"/>
      <c r="AD32" s="57"/>
      <c r="AE32" s="48"/>
      <c r="AF32" s="49"/>
      <c r="AG32" s="56"/>
      <c r="AH32" s="56"/>
      <c r="AI32" s="52"/>
    </row>
    <row collapsed="false" customFormat="false" customHeight="true" hidden="false" ht="12.75" outlineLevel="0" r="33">
      <c r="A33" s="84" t="s">
        <v>55</v>
      </c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46" t="n">
        <v>23</v>
      </c>
      <c r="P33" s="47"/>
      <c r="Q33" s="47"/>
      <c r="R33" s="47"/>
      <c r="S33" s="48"/>
      <c r="T33" s="48"/>
      <c r="U33" s="48"/>
      <c r="V33" s="48"/>
      <c r="W33" s="48"/>
      <c r="X33" s="47"/>
      <c r="Y33" s="48"/>
      <c r="Z33" s="48"/>
      <c r="AA33" s="48"/>
      <c r="AB33" s="48"/>
      <c r="AC33" s="56"/>
      <c r="AD33" s="57"/>
      <c r="AE33" s="48"/>
      <c r="AF33" s="49"/>
      <c r="AG33" s="56"/>
      <c r="AH33" s="56"/>
      <c r="AI33" s="52"/>
    </row>
    <row collapsed="false" customFormat="false" customHeight="true" hidden="false" ht="12.75" outlineLevel="0" r="34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7"/>
      <c r="O34" s="46" t="n">
        <v>24</v>
      </c>
      <c r="P34" s="47"/>
      <c r="Q34" s="47"/>
      <c r="R34" s="47"/>
      <c r="S34" s="48"/>
      <c r="T34" s="48"/>
      <c r="U34" s="48"/>
      <c r="V34" s="48"/>
      <c r="W34" s="48"/>
      <c r="X34" s="47"/>
      <c r="Y34" s="48"/>
      <c r="Z34" s="48"/>
      <c r="AA34" s="48"/>
      <c r="AB34" s="48"/>
      <c r="AC34" s="56"/>
      <c r="AD34" s="57"/>
      <c r="AE34" s="48"/>
      <c r="AF34" s="49"/>
      <c r="AG34" s="56"/>
      <c r="AH34" s="56"/>
      <c r="AI34" s="52"/>
    </row>
    <row collapsed="false" customFormat="false" customHeight="true" hidden="false" ht="12.75" outlineLevel="0" r="35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5"/>
      <c r="O35" s="46" t="n">
        <v>25</v>
      </c>
      <c r="P35" s="47"/>
      <c r="Q35" s="47"/>
      <c r="R35" s="47"/>
      <c r="S35" s="48"/>
      <c r="T35" s="48"/>
      <c r="U35" s="48"/>
      <c r="V35" s="48"/>
      <c r="W35" s="48"/>
      <c r="X35" s="47"/>
      <c r="Y35" s="48"/>
      <c r="Z35" s="48"/>
      <c r="AA35" s="48"/>
      <c r="AB35" s="48"/>
      <c r="AC35" s="56"/>
      <c r="AD35" s="57"/>
      <c r="AE35" s="48"/>
      <c r="AF35" s="49"/>
      <c r="AG35" s="56"/>
      <c r="AH35" s="56"/>
      <c r="AI35" s="52"/>
    </row>
    <row collapsed="false" customFormat="false" customHeight="true" hidden="false" ht="12.75" outlineLevel="0" r="36">
      <c r="A36" s="84" t="s">
        <v>56</v>
      </c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46" t="n">
        <v>26</v>
      </c>
      <c r="P36" s="47"/>
      <c r="Q36" s="47"/>
      <c r="R36" s="47"/>
      <c r="S36" s="48"/>
      <c r="T36" s="48"/>
      <c r="U36" s="48"/>
      <c r="V36" s="48"/>
      <c r="W36" s="48"/>
      <c r="X36" s="47"/>
      <c r="Y36" s="48"/>
      <c r="Z36" s="48"/>
      <c r="AA36" s="48"/>
      <c r="AB36" s="48"/>
      <c r="AC36" s="56"/>
      <c r="AD36" s="57"/>
      <c r="AE36" s="48"/>
      <c r="AF36" s="49"/>
      <c r="AG36" s="56"/>
      <c r="AH36" s="56"/>
      <c r="AI36" s="52"/>
    </row>
    <row collapsed="false" customFormat="false" customHeight="true" hidden="false" ht="12.75" outlineLevel="0" r="37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46" t="n">
        <v>27</v>
      </c>
      <c r="P37" s="47"/>
      <c r="Q37" s="47"/>
      <c r="R37" s="47"/>
      <c r="S37" s="48"/>
      <c r="T37" s="48"/>
      <c r="U37" s="48"/>
      <c r="V37" s="48"/>
      <c r="W37" s="48"/>
      <c r="X37" s="47"/>
      <c r="Y37" s="48"/>
      <c r="Z37" s="48"/>
      <c r="AA37" s="48"/>
      <c r="AB37" s="48"/>
      <c r="AC37" s="56"/>
      <c r="AD37" s="57"/>
      <c r="AE37" s="48"/>
      <c r="AF37" s="49"/>
      <c r="AG37" s="56"/>
      <c r="AH37" s="56"/>
      <c r="AI37" s="52"/>
    </row>
    <row collapsed="false" customFormat="false" customHeight="true" hidden="false" ht="12.75" outlineLevel="0" r="38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46" t="n">
        <v>28</v>
      </c>
      <c r="P38" s="47"/>
      <c r="Q38" s="47"/>
      <c r="R38" s="47"/>
      <c r="S38" s="48"/>
      <c r="T38" s="48"/>
      <c r="U38" s="48"/>
      <c r="V38" s="48"/>
      <c r="W38" s="48"/>
      <c r="X38" s="47"/>
      <c r="Y38" s="48"/>
      <c r="Z38" s="48"/>
      <c r="AA38" s="48"/>
      <c r="AB38" s="48"/>
      <c r="AC38" s="56"/>
      <c r="AD38" s="57"/>
      <c r="AE38" s="48"/>
      <c r="AF38" s="49"/>
      <c r="AG38" s="56"/>
      <c r="AH38" s="56"/>
      <c r="AI38" s="52"/>
    </row>
    <row collapsed="false" customFormat="false" customHeight="true" hidden="false" ht="12.75" outlineLevel="0" r="39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46" t="n">
        <v>29</v>
      </c>
      <c r="P39" s="47"/>
      <c r="Q39" s="47"/>
      <c r="R39" s="47"/>
      <c r="S39" s="48"/>
      <c r="T39" s="48"/>
      <c r="U39" s="48"/>
      <c r="V39" s="48"/>
      <c r="W39" s="48"/>
      <c r="X39" s="47"/>
      <c r="Y39" s="48"/>
      <c r="Z39" s="48"/>
      <c r="AA39" s="48"/>
      <c r="AB39" s="48"/>
      <c r="AC39" s="56"/>
      <c r="AD39" s="57"/>
      <c r="AE39" s="48"/>
      <c r="AF39" s="49"/>
      <c r="AG39" s="56"/>
      <c r="AH39" s="56"/>
      <c r="AI39" s="52"/>
    </row>
    <row collapsed="false" customFormat="false" customHeight="true" hidden="false" ht="12.75" outlineLevel="0" r="40">
      <c r="A40" s="4"/>
      <c r="B40" s="88" t="s">
        <v>57</v>
      </c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4"/>
      <c r="N40" s="21"/>
      <c r="O40" s="89" t="n">
        <v>30</v>
      </c>
      <c r="P40" s="47"/>
      <c r="Q40" s="47"/>
      <c r="R40" s="47"/>
      <c r="S40" s="48"/>
      <c r="T40" s="48"/>
      <c r="U40" s="48"/>
      <c r="V40" s="48"/>
      <c r="W40" s="48"/>
      <c r="X40" s="47"/>
      <c r="Y40" s="90"/>
      <c r="Z40" s="90"/>
      <c r="AA40" s="90"/>
      <c r="AB40" s="90"/>
      <c r="AC40" s="91"/>
      <c r="AD40" s="92"/>
      <c r="AE40" s="90"/>
      <c r="AF40" s="49"/>
      <c r="AG40" s="56"/>
      <c r="AH40" s="56"/>
      <c r="AI40" s="52"/>
    </row>
    <row collapsed="false" customFormat="false" customHeight="true" hidden="false" ht="13.5" outlineLevel="0" r="41">
      <c r="A41" s="4"/>
      <c r="B41" s="88" t="s">
        <v>58</v>
      </c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93"/>
      <c r="N41" s="4"/>
      <c r="O41" s="94" t="n">
        <v>31</v>
      </c>
      <c r="P41" s="47"/>
      <c r="Q41" s="47"/>
      <c r="R41" s="47"/>
      <c r="S41" s="48"/>
      <c r="T41" s="48"/>
      <c r="U41" s="48"/>
      <c r="V41" s="48"/>
      <c r="W41" s="48"/>
      <c r="X41" s="47"/>
      <c r="Y41" s="48"/>
      <c r="Z41" s="48"/>
      <c r="AA41" s="48"/>
      <c r="AB41" s="48"/>
      <c r="AC41" s="56"/>
      <c r="AD41" s="57"/>
      <c r="AE41" s="48"/>
      <c r="AF41" s="48"/>
      <c r="AG41" s="56"/>
      <c r="AH41" s="56"/>
      <c r="AI41" s="52"/>
    </row>
    <row collapsed="false" customFormat="false" customHeight="true" hidden="false" ht="12.75" outlineLevel="0" r="42">
      <c r="A42" s="4"/>
      <c r="B42" s="88" t="s">
        <v>59</v>
      </c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93"/>
      <c r="N42" s="8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</sheetData>
  <mergeCells count="30">
    <mergeCell ref="B5:H5"/>
    <mergeCell ref="K5:O5"/>
    <mergeCell ref="R5:W5"/>
    <mergeCell ref="Z5:AC5"/>
    <mergeCell ref="A8:K8"/>
    <mergeCell ref="P8:X8"/>
    <mergeCell ref="Y8:AF8"/>
    <mergeCell ref="AG8:AH8"/>
    <mergeCell ref="A9:J9"/>
    <mergeCell ref="O9:O10"/>
    <mergeCell ref="P9:P10"/>
    <mergeCell ref="Q9:Q10"/>
    <mergeCell ref="R9:R10"/>
    <mergeCell ref="S9:S10"/>
    <mergeCell ref="T9:T10"/>
    <mergeCell ref="U9:U10"/>
    <mergeCell ref="V9:V10"/>
    <mergeCell ref="W9:W10"/>
    <mergeCell ref="X9:X10"/>
    <mergeCell ref="Y9:AD9"/>
    <mergeCell ref="AE9:AF9"/>
    <mergeCell ref="AG9:AH9"/>
    <mergeCell ref="A10:J10"/>
    <mergeCell ref="AE10:AF10"/>
    <mergeCell ref="A11:J11"/>
    <mergeCell ref="A12:J12"/>
    <mergeCell ref="A13:K13"/>
    <mergeCell ref="A14:J14"/>
    <mergeCell ref="A15:J15"/>
    <mergeCell ref="A17:K17"/>
  </mergeCells>
  <printOptions headings="false" gridLines="false" gridLinesSet="true" horizontalCentered="false" verticalCentered="false"/>
  <pageMargins left="0.3" right="0.2" top="0.479861111111111" bottom="0" header="0.511805555555555" footer="0.511805555555555"/>
  <pageSetup blackAndWhite="false" cellComments="none" copies="1" draft="false" firstPageNumber="0" fitToHeight="1" fitToWidth="1" horizontalDpi="300" orientation="portrait" pageOrder="downThenOver" paperSize="5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55"/>
  <sheetViews>
    <sheetView colorId="64" defaultGridColor="true" rightToLeft="false" showFormulas="false" showGridLines="true" showOutlineSymbols="true" showRowColHeaders="true" showZeros="true" tabSelected="false" topLeftCell="A1" view="pageBreakPreview" windowProtection="false" workbookViewId="0" zoomScale="85" zoomScaleNormal="100" zoomScalePageLayoutView="85">
      <selection activeCell="J5" activeCellId="0" pane="topLeft" sqref="J5"/>
    </sheetView>
  </sheetViews>
  <cols>
    <col collapsed="false" hidden="false" max="1" min="1" style="26" width="3.1921568627451"/>
    <col collapsed="false" hidden="false" max="2" min="2" style="26" width="7.38823529411765"/>
    <col collapsed="false" hidden="false" max="8" min="3" style="26" width="3.33725490196078"/>
    <col collapsed="false" hidden="false" max="9" min="9" style="26" width="5.78823529411765"/>
    <col collapsed="false" hidden="false" max="17" min="10" style="26" width="5.07450980392157"/>
    <col collapsed="false" hidden="false" max="35" min="18" style="26" width="5.64313725490196"/>
    <col collapsed="false" hidden="false" max="36" min="36" style="26" width="4.77647058823529"/>
    <col collapsed="false" hidden="false" max="37" min="37" style="26" width="8.98039215686275"/>
    <col collapsed="false" hidden="false" max="38" min="38" style="26" width="4.47843137254902"/>
    <col collapsed="false" hidden="false" max="257" min="39" style="26" width="8.98039215686275"/>
    <col collapsed="false" hidden="false" max="1025" min="258" style="0" width="8.98039215686275"/>
  </cols>
  <sheetData>
    <row collapsed="false" customFormat="true" customHeight="true" hidden="false" ht="12.75" outlineLevel="0" r="1" s="58">
      <c r="A1" s="95" t="s">
        <v>60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65"/>
      <c r="M1" s="66"/>
      <c r="R1" s="97"/>
      <c r="T1" s="97"/>
      <c r="U1" s="98" t="s">
        <v>0</v>
      </c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58" t="s">
        <v>61</v>
      </c>
    </row>
    <row collapsed="false" customFormat="true" customHeight="true" hidden="false" ht="12.75" outlineLevel="0" r="2" s="58">
      <c r="A2" s="99" t="s">
        <v>62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1"/>
      <c r="M2" s="102"/>
      <c r="Q2" s="97"/>
      <c r="R2" s="103"/>
      <c r="T2" s="97"/>
      <c r="U2" s="98" t="s">
        <v>2</v>
      </c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</row>
    <row collapsed="false" customFormat="true" customHeight="true" hidden="false" ht="13.5" outlineLevel="0" r="3" s="58">
      <c r="A3" s="104" t="s">
        <v>63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6"/>
      <c r="M3" s="107"/>
      <c r="R3" s="103"/>
      <c r="U3" s="98" t="s">
        <v>3</v>
      </c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108" t="s">
        <v>4</v>
      </c>
      <c r="AK3" s="109"/>
      <c r="AL3" s="109"/>
      <c r="AM3" s="110"/>
    </row>
    <row collapsed="false" customFormat="true" customHeight="true" hidden="false" ht="12.75" outlineLevel="0" r="4" s="58">
      <c r="R4" s="103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108" t="s">
        <v>5</v>
      </c>
      <c r="AK4" s="111"/>
      <c r="AL4" s="111"/>
      <c r="AM4" s="110"/>
    </row>
    <row collapsed="false" customFormat="true" customHeight="true" hidden="false" ht="12.75" outlineLevel="0" r="5" s="58">
      <c r="B5" s="112"/>
      <c r="C5" s="112"/>
      <c r="D5" s="112"/>
      <c r="E5" s="112"/>
      <c r="F5" s="112"/>
      <c r="G5" s="112"/>
      <c r="H5" s="112"/>
      <c r="I5" s="113"/>
      <c r="J5" s="112"/>
      <c r="K5" s="112"/>
      <c r="L5" s="112"/>
      <c r="M5" s="112"/>
      <c r="N5" s="112"/>
      <c r="O5" s="112"/>
      <c r="Q5" s="112"/>
      <c r="R5" s="112"/>
      <c r="S5" s="112"/>
      <c r="T5" s="112"/>
      <c r="U5" s="112"/>
      <c r="V5" s="112"/>
      <c r="X5" s="11"/>
      <c r="Y5" s="11"/>
      <c r="AH5" s="113"/>
      <c r="AI5" s="113"/>
      <c r="AJ5" s="108" t="s">
        <v>6</v>
      </c>
      <c r="AK5" s="111"/>
      <c r="AL5" s="111"/>
      <c r="AM5" s="114"/>
    </row>
    <row collapsed="false" customFormat="true" customHeight="true" hidden="false" ht="12.75" outlineLevel="0" r="6" s="58">
      <c r="B6" s="115" t="s">
        <v>7</v>
      </c>
      <c r="J6" s="115" t="s">
        <v>8</v>
      </c>
      <c r="K6" s="115"/>
      <c r="L6" s="115"/>
      <c r="M6" s="115"/>
      <c r="O6" s="115"/>
      <c r="Q6" s="115" t="s">
        <v>9</v>
      </c>
      <c r="R6" s="115"/>
      <c r="S6" s="115"/>
      <c r="U6" s="115"/>
      <c r="V6" s="115"/>
      <c r="X6" s="115" t="s">
        <v>10</v>
      </c>
      <c r="AH6" s="115"/>
      <c r="AJ6" s="108"/>
      <c r="AK6" s="116"/>
      <c r="AL6" s="116"/>
      <c r="AM6" s="110"/>
    </row>
    <row collapsed="false" customFormat="true" customHeight="true" hidden="false" ht="13.5" outlineLevel="0" r="7" s="58">
      <c r="J7" s="115"/>
      <c r="Q7" s="115"/>
      <c r="S7" s="117"/>
      <c r="T7" s="117"/>
      <c r="U7" s="117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5"/>
      <c r="AH7" s="115"/>
      <c r="AJ7" s="108"/>
      <c r="AK7" s="119"/>
      <c r="AL7" s="120"/>
      <c r="AM7" s="110"/>
    </row>
    <row collapsed="false" customFormat="true" customHeight="true" hidden="false" ht="12.6" outlineLevel="0" r="8" s="128">
      <c r="A8" s="121" t="s">
        <v>17</v>
      </c>
      <c r="B8" s="122" t="s">
        <v>64</v>
      </c>
      <c r="C8" s="123" t="s">
        <v>65</v>
      </c>
      <c r="D8" s="123"/>
      <c r="E8" s="123"/>
      <c r="F8" s="123"/>
      <c r="G8" s="123"/>
      <c r="H8" s="123"/>
      <c r="I8" s="122" t="s">
        <v>66</v>
      </c>
      <c r="J8" s="124" t="s">
        <v>67</v>
      </c>
      <c r="K8" s="124"/>
      <c r="L8" s="124"/>
      <c r="M8" s="124"/>
      <c r="N8" s="124"/>
      <c r="O8" s="124"/>
      <c r="P8" s="124"/>
      <c r="Q8" s="124"/>
      <c r="R8" s="123" t="s">
        <v>68</v>
      </c>
      <c r="S8" s="123"/>
      <c r="T8" s="123"/>
      <c r="U8" s="123"/>
      <c r="V8" s="123" t="s">
        <v>69</v>
      </c>
      <c r="W8" s="123"/>
      <c r="X8" s="123"/>
      <c r="Y8" s="123"/>
      <c r="Z8" s="123" t="s">
        <v>70</v>
      </c>
      <c r="AA8" s="123"/>
      <c r="AB8" s="123"/>
      <c r="AC8" s="125" t="s">
        <v>71</v>
      </c>
      <c r="AD8" s="122" t="s">
        <v>72</v>
      </c>
      <c r="AE8" s="122"/>
      <c r="AF8" s="122" t="s">
        <v>73</v>
      </c>
      <c r="AG8" s="122"/>
      <c r="AH8" s="122" t="s">
        <v>73</v>
      </c>
      <c r="AI8" s="122"/>
      <c r="AJ8" s="126" t="s">
        <v>74</v>
      </c>
      <c r="AK8" s="126"/>
      <c r="AL8" s="126"/>
      <c r="AM8" s="127"/>
    </row>
    <row collapsed="false" customFormat="true" customHeight="true" hidden="false" ht="12.6" outlineLevel="0" r="9" s="140">
      <c r="A9" s="129"/>
      <c r="B9" s="130" t="s">
        <v>75</v>
      </c>
      <c r="C9" s="131" t="s">
        <v>76</v>
      </c>
      <c r="D9" s="131"/>
      <c r="E9" s="131"/>
      <c r="F9" s="131"/>
      <c r="G9" s="131"/>
      <c r="H9" s="131"/>
      <c r="I9" s="130" t="s">
        <v>64</v>
      </c>
      <c r="J9" s="132" t="s">
        <v>77</v>
      </c>
      <c r="K9" s="132" t="s">
        <v>78</v>
      </c>
      <c r="L9" s="133" t="s">
        <v>79</v>
      </c>
      <c r="M9" s="132" t="s">
        <v>80</v>
      </c>
      <c r="N9" s="132" t="s">
        <v>81</v>
      </c>
      <c r="O9" s="132" t="s">
        <v>82</v>
      </c>
      <c r="P9" s="134" t="s">
        <v>83</v>
      </c>
      <c r="Q9" s="134"/>
      <c r="R9" s="135"/>
      <c r="S9" s="135"/>
      <c r="T9" s="136"/>
      <c r="U9" s="136"/>
      <c r="V9" s="135"/>
      <c r="W9" s="135"/>
      <c r="X9" s="136"/>
      <c r="Y9" s="136"/>
      <c r="Z9" s="129"/>
      <c r="AA9" s="137"/>
      <c r="AB9" s="138"/>
      <c r="AC9" s="139" t="s">
        <v>84</v>
      </c>
      <c r="AD9" s="130" t="s">
        <v>85</v>
      </c>
      <c r="AE9" s="130"/>
      <c r="AF9" s="122"/>
      <c r="AG9" s="122"/>
      <c r="AH9" s="122"/>
      <c r="AI9" s="122"/>
      <c r="AJ9" s="126"/>
      <c r="AK9" s="126"/>
      <c r="AL9" s="126"/>
    </row>
    <row collapsed="false" customFormat="true" customHeight="true" hidden="false" ht="12.6" outlineLevel="0" r="10" s="140">
      <c r="A10" s="129"/>
      <c r="B10" s="130" t="s">
        <v>86</v>
      </c>
      <c r="C10" s="137"/>
      <c r="D10" s="137"/>
      <c r="E10" s="137"/>
      <c r="F10" s="137"/>
      <c r="G10" s="137"/>
      <c r="H10" s="137"/>
      <c r="I10" s="130" t="s">
        <v>87</v>
      </c>
      <c r="J10" s="141"/>
      <c r="K10" s="142"/>
      <c r="L10" s="142" t="s">
        <v>88</v>
      </c>
      <c r="M10" s="143" t="s">
        <v>89</v>
      </c>
      <c r="N10" s="142"/>
      <c r="O10" s="142" t="s">
        <v>88</v>
      </c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5"/>
      <c r="AA10" s="146"/>
      <c r="AB10" s="147"/>
      <c r="AC10" s="72" t="s">
        <v>90</v>
      </c>
      <c r="AD10" s="129"/>
      <c r="AE10" s="138"/>
      <c r="AF10" s="130" t="s">
        <v>91</v>
      </c>
      <c r="AG10" s="130"/>
      <c r="AH10" s="130" t="s">
        <v>91</v>
      </c>
      <c r="AI10" s="130"/>
      <c r="AJ10" s="126"/>
      <c r="AK10" s="126"/>
      <c r="AL10" s="126"/>
    </row>
    <row collapsed="false" customFormat="true" customHeight="true" hidden="false" ht="12.6" outlineLevel="0" r="11" s="140">
      <c r="A11" s="145"/>
      <c r="B11" s="148"/>
      <c r="C11" s="149" t="n">
        <v>1</v>
      </c>
      <c r="D11" s="126" t="n">
        <v>2</v>
      </c>
      <c r="E11" s="126" t="n">
        <v>3</v>
      </c>
      <c r="F11" s="126" t="n">
        <v>4</v>
      </c>
      <c r="G11" s="126" t="n">
        <v>5</v>
      </c>
      <c r="H11" s="150" t="n">
        <v>6</v>
      </c>
      <c r="I11" s="148" t="s">
        <v>92</v>
      </c>
      <c r="J11" s="151"/>
      <c r="K11" s="145"/>
      <c r="L11" s="152"/>
      <c r="M11" s="145"/>
      <c r="N11" s="145"/>
      <c r="O11" s="152"/>
      <c r="P11" s="148" t="s">
        <v>93</v>
      </c>
      <c r="Q11" s="148" t="s">
        <v>94</v>
      </c>
      <c r="R11" s="148" t="s">
        <v>95</v>
      </c>
      <c r="S11" s="148" t="s">
        <v>95</v>
      </c>
      <c r="T11" s="148" t="s">
        <v>96</v>
      </c>
      <c r="U11" s="148" t="s">
        <v>96</v>
      </c>
      <c r="V11" s="148" t="s">
        <v>95</v>
      </c>
      <c r="W11" s="148" t="s">
        <v>95</v>
      </c>
      <c r="X11" s="148" t="s">
        <v>96</v>
      </c>
      <c r="Y11" s="148" t="s">
        <v>96</v>
      </c>
      <c r="Z11" s="148" t="s">
        <v>18</v>
      </c>
      <c r="AA11" s="153" t="s">
        <v>97</v>
      </c>
      <c r="AB11" s="153" t="s">
        <v>97</v>
      </c>
      <c r="AC11" s="154"/>
      <c r="AD11" s="126" t="s">
        <v>18</v>
      </c>
      <c r="AE11" s="126" t="s">
        <v>97</v>
      </c>
      <c r="AF11" s="149" t="s">
        <v>18</v>
      </c>
      <c r="AG11" s="126" t="s">
        <v>97</v>
      </c>
      <c r="AH11" s="126" t="s">
        <v>18</v>
      </c>
      <c r="AI11" s="126" t="s">
        <v>97</v>
      </c>
      <c r="AJ11" s="126"/>
      <c r="AK11" s="126"/>
      <c r="AL11" s="126"/>
    </row>
    <row collapsed="false" customFormat="true" customHeight="true" hidden="false" ht="12.6" outlineLevel="0" r="12" s="58">
      <c r="A12" s="155" t="n">
        <v>1</v>
      </c>
      <c r="B12" s="156"/>
      <c r="C12" s="157"/>
      <c r="D12" s="157"/>
      <c r="E12" s="157"/>
      <c r="F12" s="157"/>
      <c r="G12" s="157"/>
      <c r="H12" s="157"/>
      <c r="I12" s="156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6"/>
      <c r="AD12" s="158"/>
      <c r="AE12" s="159"/>
      <c r="AF12" s="158"/>
      <c r="AG12" s="160"/>
      <c r="AH12" s="158"/>
      <c r="AI12" s="158"/>
      <c r="AJ12" s="34"/>
      <c r="AK12" s="34"/>
      <c r="AL12" s="34"/>
    </row>
    <row collapsed="false" customFormat="true" customHeight="true" hidden="false" ht="12.6" outlineLevel="0" r="13" s="58">
      <c r="A13" s="155" t="n">
        <v>2</v>
      </c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61"/>
      <c r="AE13" s="160"/>
      <c r="AF13" s="161"/>
      <c r="AG13" s="160"/>
      <c r="AH13" s="161"/>
      <c r="AI13" s="161"/>
      <c r="AJ13" s="34"/>
      <c r="AK13" s="34"/>
      <c r="AL13" s="34"/>
    </row>
    <row collapsed="false" customFormat="true" customHeight="true" hidden="false" ht="12.6" outlineLevel="0" r="14" s="58">
      <c r="A14" s="155" t="n">
        <v>3</v>
      </c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61"/>
      <c r="AE14" s="160"/>
      <c r="AF14" s="161"/>
      <c r="AG14" s="160"/>
      <c r="AH14" s="161"/>
      <c r="AI14" s="161"/>
      <c r="AJ14" s="34"/>
      <c r="AK14" s="34"/>
      <c r="AL14" s="34"/>
    </row>
    <row collapsed="false" customFormat="true" customHeight="true" hidden="false" ht="12.6" outlineLevel="0" r="15" s="58">
      <c r="A15" s="155" t="n">
        <v>4</v>
      </c>
      <c r="B15" s="157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61"/>
      <c r="AE15" s="160"/>
      <c r="AF15" s="161"/>
      <c r="AG15" s="160"/>
      <c r="AH15" s="161"/>
      <c r="AI15" s="161"/>
      <c r="AJ15" s="34"/>
      <c r="AK15" s="34"/>
      <c r="AL15" s="34"/>
    </row>
    <row collapsed="false" customFormat="true" customHeight="true" hidden="false" ht="12.6" outlineLevel="0" r="16" s="58">
      <c r="A16" s="155" t="n">
        <v>5</v>
      </c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61"/>
      <c r="AE16" s="160"/>
      <c r="AF16" s="161"/>
      <c r="AG16" s="160"/>
      <c r="AH16" s="161"/>
      <c r="AI16" s="161"/>
      <c r="AJ16" s="34"/>
      <c r="AK16" s="34"/>
      <c r="AL16" s="34"/>
    </row>
    <row collapsed="false" customFormat="true" customHeight="true" hidden="false" ht="12.6" outlineLevel="0" r="17" s="58">
      <c r="A17" s="155" t="n">
        <v>6</v>
      </c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61"/>
      <c r="AE17" s="160"/>
      <c r="AF17" s="161"/>
      <c r="AG17" s="160"/>
      <c r="AH17" s="161"/>
      <c r="AI17" s="161"/>
      <c r="AJ17" s="34"/>
      <c r="AK17" s="34"/>
      <c r="AL17" s="34"/>
    </row>
    <row collapsed="false" customFormat="true" customHeight="true" hidden="false" ht="12.6" outlineLevel="0" r="18" s="58">
      <c r="A18" s="155" t="n">
        <v>7</v>
      </c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61"/>
      <c r="AE18" s="160"/>
      <c r="AF18" s="161"/>
      <c r="AG18" s="160"/>
      <c r="AH18" s="161"/>
      <c r="AI18" s="161"/>
      <c r="AJ18" s="34"/>
      <c r="AK18" s="34"/>
      <c r="AL18" s="34"/>
    </row>
    <row collapsed="false" customFormat="true" customHeight="true" hidden="false" ht="12.6" outlineLevel="0" r="19" s="58">
      <c r="A19" s="155" t="n">
        <v>8</v>
      </c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61"/>
      <c r="AE19" s="160"/>
      <c r="AF19" s="161"/>
      <c r="AG19" s="160"/>
      <c r="AH19" s="161"/>
      <c r="AI19" s="161"/>
      <c r="AJ19" s="34"/>
      <c r="AK19" s="34"/>
      <c r="AL19" s="34"/>
    </row>
    <row collapsed="false" customFormat="true" customHeight="true" hidden="false" ht="12.6" outlineLevel="0" r="20" s="58">
      <c r="A20" s="155" t="n">
        <v>9</v>
      </c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61"/>
      <c r="AE20" s="160"/>
      <c r="AF20" s="161"/>
      <c r="AG20" s="160"/>
      <c r="AH20" s="161"/>
      <c r="AI20" s="161"/>
      <c r="AJ20" s="34"/>
      <c r="AK20" s="34"/>
      <c r="AL20" s="34"/>
    </row>
    <row collapsed="false" customFormat="true" customHeight="true" hidden="false" ht="12.6" outlineLevel="0" r="21" s="58">
      <c r="A21" s="155" t="n">
        <v>10</v>
      </c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61"/>
      <c r="AE21" s="160"/>
      <c r="AF21" s="161"/>
      <c r="AG21" s="160"/>
      <c r="AH21" s="161"/>
      <c r="AI21" s="161"/>
      <c r="AJ21" s="34"/>
      <c r="AK21" s="34"/>
      <c r="AL21" s="34"/>
    </row>
    <row collapsed="false" customFormat="false" customHeight="true" hidden="false" ht="12.6" outlineLevel="0" r="22">
      <c r="A22" s="162" t="n">
        <v>11</v>
      </c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61"/>
      <c r="AE22" s="160"/>
      <c r="AF22" s="161"/>
      <c r="AG22" s="160"/>
      <c r="AH22" s="161"/>
      <c r="AI22" s="161"/>
      <c r="AJ22" s="34"/>
      <c r="AK22" s="34"/>
      <c r="AL22" s="34"/>
    </row>
    <row collapsed="false" customFormat="false" customHeight="true" hidden="false" ht="12.6" outlineLevel="0" r="23">
      <c r="A23" s="162" t="n">
        <v>12</v>
      </c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61"/>
      <c r="AE23" s="160"/>
      <c r="AF23" s="161"/>
      <c r="AG23" s="160"/>
      <c r="AH23" s="161"/>
      <c r="AI23" s="161"/>
      <c r="AJ23" s="34"/>
      <c r="AK23" s="34"/>
      <c r="AL23" s="34"/>
    </row>
    <row collapsed="false" customFormat="false" customHeight="true" hidden="false" ht="12.6" outlineLevel="0" r="24">
      <c r="A24" s="162" t="n">
        <v>13</v>
      </c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61"/>
      <c r="AE24" s="160"/>
      <c r="AF24" s="161"/>
      <c r="AG24" s="160"/>
      <c r="AH24" s="161"/>
      <c r="AI24" s="161"/>
      <c r="AJ24" s="34"/>
      <c r="AK24" s="34"/>
      <c r="AL24" s="34"/>
    </row>
    <row collapsed="false" customFormat="false" customHeight="true" hidden="false" ht="12.6" outlineLevel="0" r="25">
      <c r="A25" s="162" t="n">
        <v>14</v>
      </c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61"/>
      <c r="AE25" s="160"/>
      <c r="AF25" s="161"/>
      <c r="AG25" s="160"/>
      <c r="AH25" s="161"/>
      <c r="AI25" s="161"/>
      <c r="AJ25" s="34"/>
      <c r="AK25" s="34"/>
      <c r="AL25" s="34"/>
    </row>
    <row collapsed="false" customFormat="false" customHeight="true" hidden="false" ht="12.6" outlineLevel="0" r="26">
      <c r="A26" s="162" t="n">
        <v>15</v>
      </c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61"/>
      <c r="AE26" s="160"/>
      <c r="AF26" s="161"/>
      <c r="AG26" s="160"/>
      <c r="AH26" s="161"/>
      <c r="AI26" s="161"/>
      <c r="AJ26" s="34"/>
      <c r="AK26" s="34"/>
      <c r="AL26" s="34"/>
    </row>
    <row collapsed="false" customFormat="false" customHeight="true" hidden="false" ht="12.6" outlineLevel="0" r="27">
      <c r="A27" s="162" t="n">
        <v>16</v>
      </c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61"/>
      <c r="AE27" s="160"/>
      <c r="AF27" s="161"/>
      <c r="AG27" s="160"/>
      <c r="AH27" s="161"/>
      <c r="AI27" s="161"/>
      <c r="AJ27" s="34"/>
      <c r="AK27" s="34"/>
      <c r="AL27" s="34"/>
    </row>
    <row collapsed="false" customFormat="false" customHeight="true" hidden="false" ht="12.6" outlineLevel="0" r="28">
      <c r="A28" s="162" t="n">
        <v>17</v>
      </c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61"/>
      <c r="AE28" s="160"/>
      <c r="AF28" s="161"/>
      <c r="AG28" s="160"/>
      <c r="AH28" s="161"/>
      <c r="AI28" s="161"/>
      <c r="AJ28" s="34"/>
      <c r="AK28" s="34"/>
      <c r="AL28" s="34"/>
    </row>
    <row collapsed="false" customFormat="false" customHeight="true" hidden="false" ht="12.6" outlineLevel="0" r="29">
      <c r="A29" s="162" t="n">
        <v>18</v>
      </c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61"/>
      <c r="AE29" s="160"/>
      <c r="AF29" s="161"/>
      <c r="AG29" s="160"/>
      <c r="AH29" s="161"/>
      <c r="AI29" s="161"/>
      <c r="AJ29" s="34"/>
      <c r="AK29" s="34"/>
      <c r="AL29" s="34"/>
    </row>
    <row collapsed="false" customFormat="false" customHeight="true" hidden="false" ht="12.6" outlineLevel="0" r="30">
      <c r="A30" s="162" t="n">
        <v>19</v>
      </c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61"/>
      <c r="AE30" s="160"/>
      <c r="AF30" s="161"/>
      <c r="AG30" s="160"/>
      <c r="AH30" s="161"/>
      <c r="AI30" s="161"/>
      <c r="AJ30" s="34"/>
      <c r="AK30" s="34"/>
      <c r="AL30" s="34"/>
    </row>
    <row collapsed="false" customFormat="false" customHeight="true" hidden="false" ht="12.6" outlineLevel="0" r="31">
      <c r="A31" s="162" t="n">
        <v>20</v>
      </c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61"/>
      <c r="AE31" s="160"/>
      <c r="AF31" s="161"/>
      <c r="AG31" s="160"/>
      <c r="AH31" s="161"/>
      <c r="AI31" s="161"/>
      <c r="AJ31" s="34"/>
      <c r="AK31" s="34"/>
      <c r="AL31" s="34"/>
    </row>
    <row collapsed="false" customFormat="false" customHeight="true" hidden="false" ht="12.6" outlineLevel="0" r="32">
      <c r="A32" s="162" t="n">
        <v>21</v>
      </c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61"/>
      <c r="AE32" s="160"/>
      <c r="AF32" s="161"/>
      <c r="AG32" s="160"/>
      <c r="AH32" s="161"/>
      <c r="AI32" s="161"/>
      <c r="AJ32" s="34"/>
      <c r="AK32" s="34"/>
      <c r="AL32" s="34"/>
    </row>
    <row collapsed="false" customFormat="false" customHeight="true" hidden="false" ht="12.6" outlineLevel="0" r="33">
      <c r="A33" s="162" t="n">
        <v>22</v>
      </c>
      <c r="B33" s="157"/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61"/>
      <c r="AE33" s="160"/>
      <c r="AF33" s="161"/>
      <c r="AG33" s="160"/>
      <c r="AH33" s="161"/>
      <c r="AI33" s="161"/>
      <c r="AJ33" s="34"/>
      <c r="AK33" s="34"/>
      <c r="AL33" s="34"/>
    </row>
    <row collapsed="false" customFormat="false" customHeight="true" hidden="false" ht="12.6" outlineLevel="0" r="34">
      <c r="A34" s="162" t="n">
        <v>23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61"/>
      <c r="AE34" s="160"/>
      <c r="AF34" s="161"/>
      <c r="AG34" s="160"/>
      <c r="AH34" s="161"/>
      <c r="AI34" s="161"/>
      <c r="AJ34" s="34"/>
      <c r="AK34" s="34"/>
      <c r="AL34" s="34"/>
    </row>
    <row collapsed="false" customFormat="false" customHeight="true" hidden="false" ht="12.6" outlineLevel="0" r="35">
      <c r="A35" s="162" t="n">
        <v>24</v>
      </c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61"/>
      <c r="AE35" s="160"/>
      <c r="AF35" s="161"/>
      <c r="AG35" s="160"/>
      <c r="AH35" s="161"/>
      <c r="AI35" s="161"/>
      <c r="AJ35" s="34"/>
      <c r="AK35" s="34"/>
      <c r="AL35" s="34"/>
    </row>
    <row collapsed="false" customFormat="false" customHeight="true" hidden="false" ht="12.6" outlineLevel="0" r="36">
      <c r="A36" s="162" t="n">
        <v>25</v>
      </c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61"/>
      <c r="AE36" s="160"/>
      <c r="AF36" s="161"/>
      <c r="AG36" s="160"/>
      <c r="AH36" s="161"/>
      <c r="AI36" s="161"/>
      <c r="AJ36" s="34"/>
      <c r="AK36" s="34"/>
      <c r="AL36" s="34"/>
    </row>
    <row collapsed="false" customFormat="false" customHeight="true" hidden="false" ht="12.6" outlineLevel="0" r="37">
      <c r="A37" s="162" t="n">
        <v>26</v>
      </c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61"/>
      <c r="AE37" s="160"/>
      <c r="AF37" s="161"/>
      <c r="AG37" s="160"/>
      <c r="AH37" s="161"/>
      <c r="AI37" s="161"/>
      <c r="AJ37" s="34"/>
      <c r="AK37" s="34"/>
      <c r="AL37" s="34"/>
    </row>
    <row collapsed="false" customFormat="false" customHeight="true" hidden="false" ht="12.6" outlineLevel="0" r="38">
      <c r="A38" s="162" t="n">
        <v>27</v>
      </c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61"/>
      <c r="AE38" s="160"/>
      <c r="AF38" s="161"/>
      <c r="AG38" s="160"/>
      <c r="AH38" s="161"/>
      <c r="AI38" s="161"/>
      <c r="AJ38" s="34"/>
      <c r="AK38" s="34"/>
      <c r="AL38" s="34"/>
    </row>
    <row collapsed="false" customFormat="false" customHeight="true" hidden="false" ht="12.6" outlineLevel="0" r="39">
      <c r="A39" s="162" t="n">
        <v>28</v>
      </c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61"/>
      <c r="AE39" s="160"/>
      <c r="AF39" s="161"/>
      <c r="AG39" s="160"/>
      <c r="AH39" s="161"/>
      <c r="AI39" s="161"/>
      <c r="AJ39" s="34"/>
      <c r="AK39" s="34"/>
      <c r="AL39" s="34"/>
    </row>
    <row collapsed="false" customFormat="false" customHeight="true" hidden="false" ht="12.6" outlineLevel="0" r="40">
      <c r="A40" s="162" t="n">
        <v>29</v>
      </c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61"/>
      <c r="AE40" s="160"/>
      <c r="AF40" s="161"/>
      <c r="AG40" s="160"/>
      <c r="AH40" s="161"/>
      <c r="AI40" s="161"/>
      <c r="AJ40" s="34"/>
      <c r="AK40" s="34"/>
      <c r="AL40" s="34"/>
    </row>
    <row collapsed="false" customFormat="false" customHeight="true" hidden="false" ht="12.6" outlineLevel="0" r="41">
      <c r="A41" s="162" t="n">
        <v>30</v>
      </c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61"/>
      <c r="AE41" s="160"/>
      <c r="AF41" s="161"/>
      <c r="AG41" s="160"/>
      <c r="AH41" s="161"/>
      <c r="AI41" s="161"/>
      <c r="AJ41" s="34"/>
      <c r="AK41" s="34"/>
      <c r="AL41" s="34"/>
    </row>
    <row collapsed="false" customFormat="false" customHeight="true" hidden="false" ht="12.6" outlineLevel="0" r="42">
      <c r="A42" s="163" t="n">
        <v>31</v>
      </c>
      <c r="B42" s="164"/>
      <c r="C42" s="157"/>
      <c r="D42" s="157"/>
      <c r="E42" s="157"/>
      <c r="F42" s="157"/>
      <c r="G42" s="157"/>
      <c r="H42" s="157"/>
      <c r="I42" s="164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64"/>
      <c r="AD42" s="165"/>
      <c r="AE42" s="160"/>
      <c r="AF42" s="165"/>
      <c r="AG42" s="160"/>
      <c r="AH42" s="165"/>
      <c r="AI42" s="165"/>
      <c r="AJ42" s="34"/>
      <c r="AK42" s="34"/>
      <c r="AL42" s="34"/>
    </row>
    <row collapsed="false" customFormat="false" customHeight="true" hidden="false" ht="12.6" outlineLevel="0" r="43">
      <c r="A43" s="166" t="s">
        <v>98</v>
      </c>
      <c r="B43" s="167" t="str">
        <f aca="false">IF(SUM(B12:B42)=0,"",SUM(B12:B42))</f>
        <v/>
      </c>
      <c r="C43" s="168" t="str">
        <f aca="false">IF(SUM(C12:C42)=0,"",SUM(C12:C42))</f>
        <v/>
      </c>
      <c r="D43" s="169" t="str">
        <f aca="false">IF(SUM(D12:D42)=0,"",SUM(D12:D42))</f>
        <v/>
      </c>
      <c r="E43" s="169" t="str">
        <f aca="false">IF(SUM(E12:E42)=0,"",SUM(E12:E42))</f>
        <v/>
      </c>
      <c r="F43" s="169" t="str">
        <f aca="false">IF(SUM(F12:F42)=0,"",SUM(F12:F42))</f>
        <v/>
      </c>
      <c r="G43" s="169" t="str">
        <f aca="false">IF(SUM(G12:G42)=0,"",SUM(G12:G42))</f>
        <v/>
      </c>
      <c r="H43" s="170" t="str">
        <f aca="false">IF(SUM(H12:H42)=0,"",SUM(H12:H42))</f>
        <v/>
      </c>
      <c r="I43" s="169" t="str">
        <f aca="false">IF(SUM(I12:I42)=0,"",SUM(I12:I42))</f>
        <v/>
      </c>
      <c r="J43" s="169" t="str">
        <f aca="false">IF(SUM(J12:J42)=0,"",SUM(J12:J42))</f>
        <v/>
      </c>
      <c r="K43" s="169" t="str">
        <f aca="false">IF(SUM(K12:K42)=0,"",SUM(K12:K42))</f>
        <v/>
      </c>
      <c r="L43" s="169" t="str">
        <f aca="false">IF(SUM(L12:L42)=0,"",SUM(L12:L42))</f>
        <v/>
      </c>
      <c r="M43" s="169" t="str">
        <f aca="false">IF(SUM(M12:M42)=0,"",SUM(M12:M42))</f>
        <v/>
      </c>
      <c r="N43" s="169" t="str">
        <f aca="false">IF(SUM(N12:N42)=0,"",SUM(N12:N42))</f>
        <v/>
      </c>
      <c r="O43" s="170" t="str">
        <f aca="false">IF(SUM(O12:O42)=0,"",SUM(O12:O42))</f>
        <v/>
      </c>
      <c r="P43" s="169" t="str">
        <f aca="false">IF(SUM(P12:P42)=0,"",SUM(P12:P42))</f>
        <v/>
      </c>
      <c r="Q43" s="169" t="str">
        <f aca="false">IF(SUM(Q12:Q42)=0,"",SUM(Q12:Q42))</f>
        <v/>
      </c>
      <c r="R43" s="171" t="str">
        <f aca="false">IF(ISNUMBER(R54),IF(SUM(R12:R42)=0,"0",SUM(R12:R42)),"")</f>
        <v/>
      </c>
      <c r="S43" s="172" t="str">
        <f aca="false">IF(ISNUMBER(S54),IF(SUM(S12:S42)=0,"0",SUM(S12:S42)),"")</f>
        <v/>
      </c>
      <c r="T43" s="172" t="str">
        <f aca="false">IF(ISNUMBER(T54),IF(SUM(T12:T42)=0,"0",SUM(T12:T42)),"")</f>
        <v/>
      </c>
      <c r="U43" s="171" t="str">
        <f aca="false">IF(ISNUMBER(U54),IF(SUM(U12:U42)=0,"0",SUM(U12:U42)),"")</f>
        <v/>
      </c>
      <c r="V43" s="172" t="str">
        <f aca="false">IF(ISNUMBER(V54),IF(SUM(V12:V42)=0,"0",SUM(V12:V42)),"")</f>
        <v/>
      </c>
      <c r="W43" s="172" t="str">
        <f aca="false">IF(ISNUMBER(W54),IF(SUM(W12:W42)=0,"0",SUM(W12:W42)),"")</f>
        <v/>
      </c>
      <c r="X43" s="172" t="str">
        <f aca="false">IF(ISNUMBER(X54),IF(SUM(X12:X42)=0,"0",SUM(X12:X42)),"")</f>
        <v/>
      </c>
      <c r="Y43" s="172" t="str">
        <f aca="false">IF(ISNUMBER(Y54),IF(SUM(Y12:Y42)=0,"0",SUM(Y12:Y42)),"")</f>
        <v/>
      </c>
      <c r="Z43" s="173"/>
      <c r="AA43" s="173"/>
      <c r="AB43" s="173"/>
      <c r="AC43" s="174" t="str">
        <f aca="false">IF(SUM(AC12:AC42)=0,"",SUM(AC12:AC42))</f>
        <v/>
      </c>
      <c r="AD43" s="175" t="str">
        <f aca="false">IF(SUM(AD12:AD42)=0,"",SUM(AD12:AD42))</f>
        <v/>
      </c>
      <c r="AE43" s="175" t="str">
        <f aca="false">IF(SUM(AE12:AE42)=0,"",SUM(AE12:AE42))</f>
        <v/>
      </c>
      <c r="AF43" s="175" t="str">
        <f aca="false">IF(SUM(AF12:AF42)=0,"",SUM(AF12:AF42))</f>
        <v/>
      </c>
      <c r="AG43" s="175" t="str">
        <f aca="false">IF(SUM(AG12:AG42)=0,"",SUM(AG12:AG42))</f>
        <v/>
      </c>
      <c r="AH43" s="175" t="str">
        <f aca="false">IF(SUM(AH12:AH42)=0,"",SUM(AH12:AH42))</f>
        <v/>
      </c>
      <c r="AI43" s="175" t="str">
        <f aca="false">IF(SUM(AI12:AI42)=0,"",SUM(AI12:AI42))</f>
        <v/>
      </c>
      <c r="AJ43" s="176"/>
      <c r="AK43" s="176"/>
      <c r="AL43" s="176"/>
    </row>
    <row collapsed="false" customFormat="false" customHeight="true" hidden="false" ht="12.6" outlineLevel="0" r="44">
      <c r="A44" s="177" t="s">
        <v>99</v>
      </c>
      <c r="B44" s="169" t="str">
        <f aca="false">IF(OR(B43="",$B$55&lt;=0),"",B43/COUNT(B12:B42))</f>
        <v/>
      </c>
      <c r="C44" s="168" t="str">
        <f aca="false">IF(OR(C43="",$B$55&lt;=0),"",C43/COUNT(C12:C42))</f>
        <v/>
      </c>
      <c r="D44" s="169" t="str">
        <f aca="false">IF(OR(D43="",$B$55&lt;=0),"",D43/COUNT(D12:D42))</f>
        <v/>
      </c>
      <c r="E44" s="169" t="str">
        <f aca="false">IF(OR(E43="",$B$55&lt;=0),"",E43/COUNT(E12:E42))</f>
        <v/>
      </c>
      <c r="F44" s="169" t="str">
        <f aca="false">IF(OR(F43="",$B$55&lt;=0),"",F43/COUNT(F12:F42))</f>
        <v/>
      </c>
      <c r="G44" s="169" t="str">
        <f aca="false">IF(OR(G43="",$B$55&lt;=0),"",G43/COUNT(G12:G42))</f>
        <v/>
      </c>
      <c r="H44" s="170" t="str">
        <f aca="false">IF(OR(H43="",$B$55&lt;=0),"",H43/COUNT(H12:H42))</f>
        <v/>
      </c>
      <c r="I44" s="169" t="str">
        <f aca="false">IF(OR(I43="",$B$55&lt;=0),"",I43/$B$55)</f>
        <v/>
      </c>
      <c r="J44" s="169" t="str">
        <f aca="false">IF(OR(J43="",$B$55&lt;=0),"",J43/$B$55)</f>
        <v/>
      </c>
      <c r="K44" s="169" t="str">
        <f aca="false">IF(OR(K43="",$B$55&lt;=0),"",K43/$B$55)</f>
        <v/>
      </c>
      <c r="L44" s="169" t="str">
        <f aca="false">IF(OR(L43="",$B$55&lt;=0),"",L43/$B$55)</f>
        <v/>
      </c>
      <c r="M44" s="169" t="str">
        <f aca="false">IF(OR(M43="",$B$55&lt;=0),"",M43/$B$55)</f>
        <v/>
      </c>
      <c r="N44" s="169" t="str">
        <f aca="false">IF(OR(N43="",$B$55&lt;=0),"",N43/$B$55)</f>
        <v/>
      </c>
      <c r="O44" s="170" t="str">
        <f aca="false">IF(OR(O43="",$B$55&lt;=0),"",O43/$B$55)</f>
        <v/>
      </c>
      <c r="P44" s="169" t="str">
        <f aca="false">IF(SUM(P12:P42)=0,"",P43/P54)</f>
        <v/>
      </c>
      <c r="Q44" s="169" t="str">
        <f aca="false">IF(SUM(Q12:Q42)=0,"",Q43/Q54)</f>
        <v/>
      </c>
      <c r="R44" s="171" t="str">
        <f aca="false">IF(ISNUMBER(R54),IF(SUM(R12:R42)=0,"0",R43/R54),"")</f>
        <v/>
      </c>
      <c r="S44" s="172" t="str">
        <f aca="false">IF(ISNUMBER(S54),IF(SUM(S12:S42)=0,"0",S43/S54),"")</f>
        <v/>
      </c>
      <c r="T44" s="172" t="str">
        <f aca="false">IF(ISNUMBER(T54),IF(SUM(T12:T42)=0,"0",T43/T54),"")</f>
        <v/>
      </c>
      <c r="U44" s="171" t="str">
        <f aca="false">IF(ISNUMBER(U54),IF(SUM(U12:U42)=0,"0",U43/U54),"")</f>
        <v/>
      </c>
      <c r="V44" s="172" t="str">
        <f aca="false">IF(ISNUMBER(V54),IF(SUM(V12:V42)=0,"0",V43/V54),"")</f>
        <v/>
      </c>
      <c r="W44" s="172" t="str">
        <f aca="false">IF(ISNUMBER(W54),IF(SUM(W12:W42)=0,"0",W43/W54),"")</f>
        <v/>
      </c>
      <c r="X44" s="172" t="str">
        <f aca="false">IF(ISNUMBER(X54),IF(SUM(X12:X42)=0,"0",X43/X54),"")</f>
        <v/>
      </c>
      <c r="Y44" s="172" t="str">
        <f aca="false">IF(ISNUMBER(Y54),IF(SUM(Y12:Y42)=0,"0",Y43/Y54),"")</f>
        <v/>
      </c>
      <c r="Z44" s="178"/>
      <c r="AA44" s="178"/>
      <c r="AB44" s="178"/>
      <c r="AC44" s="179" t="str">
        <f aca="false">IF(SUM(AC12:AC42)=0,"",AC43/AC54)</f>
        <v/>
      </c>
      <c r="AD44" s="175" t="str">
        <f aca="false">IF(SUM(AD12:AD42)=0,"",AD43/AD54)</f>
        <v/>
      </c>
      <c r="AE44" s="175" t="str">
        <f aca="false">IF(SUM(AE12:AE42)=0,"",AE43/AE54)</f>
        <v/>
      </c>
      <c r="AF44" s="175" t="str">
        <f aca="false">IF(SUM(AF12:AF42)=0,"",AF43/AF54)</f>
        <v/>
      </c>
      <c r="AG44" s="180" t="str">
        <f aca="false">IF(SUM(AG12:AG42)=0,"",AG43/AG54)</f>
        <v/>
      </c>
      <c r="AH44" s="175" t="str">
        <f aca="false">IF(SUM(AH12:AH42)=0,"",AH43/AH54)</f>
        <v/>
      </c>
      <c r="AI44" s="180" t="str">
        <f aca="false">IF(SUM(AI12:AI42)=0,"",AI43/AI54)</f>
        <v/>
      </c>
      <c r="AJ44" s="176"/>
      <c r="AK44" s="176"/>
      <c r="AL44" s="176"/>
    </row>
    <row collapsed="false" customFormat="true" customHeight="true" hidden="false" ht="12.6" outlineLevel="0" r="45" s="58">
      <c r="A45" s="128" t="s">
        <v>100</v>
      </c>
      <c r="B45" s="128"/>
      <c r="C45" s="181"/>
      <c r="D45" s="181"/>
      <c r="E45" s="181"/>
      <c r="F45" s="181"/>
      <c r="G45" s="181"/>
      <c r="H45" s="181"/>
      <c r="I45" s="127"/>
      <c r="J45" s="128"/>
      <c r="K45" s="137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  <c r="AI45" s="128"/>
      <c r="AJ45" s="128"/>
      <c r="AK45" s="128"/>
    </row>
    <row collapsed="false" customFormat="true" customHeight="true" hidden="false" ht="12.6" outlineLevel="0" r="46" s="58">
      <c r="A46" s="128" t="s">
        <v>101</v>
      </c>
      <c r="B46" s="128"/>
      <c r="C46" s="182"/>
      <c r="D46" s="182"/>
      <c r="E46" s="182"/>
      <c r="F46" s="182"/>
      <c r="G46" s="182"/>
      <c r="H46" s="182"/>
      <c r="I46" s="127"/>
      <c r="J46" s="128"/>
      <c r="K46" s="128"/>
      <c r="L46" s="128" t="s">
        <v>102</v>
      </c>
      <c r="M46" s="128"/>
      <c r="N46" s="128"/>
      <c r="P46" s="183"/>
      <c r="Q46" s="183"/>
      <c r="R46" s="128"/>
      <c r="S46" s="128"/>
      <c r="T46" s="128"/>
      <c r="U46" s="128" t="s">
        <v>103</v>
      </c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  <c r="AI46" s="128"/>
      <c r="AJ46" s="128"/>
      <c r="AK46" s="128"/>
    </row>
    <row collapsed="false" customFormat="true" customHeight="true" hidden="false" ht="12.6" outlineLevel="0" r="47" s="58">
      <c r="A47" s="128" t="s">
        <v>104</v>
      </c>
      <c r="B47" s="128"/>
      <c r="C47" s="182"/>
      <c r="D47" s="182"/>
      <c r="E47" s="182"/>
      <c r="F47" s="182"/>
      <c r="G47" s="182"/>
      <c r="H47" s="182"/>
      <c r="I47" s="127"/>
      <c r="J47" s="128"/>
      <c r="K47" s="128"/>
      <c r="M47" s="128"/>
      <c r="N47" s="128"/>
      <c r="O47" s="128"/>
      <c r="P47" s="128"/>
      <c r="Q47" s="128"/>
      <c r="R47" s="128"/>
      <c r="S47" s="128"/>
      <c r="T47" s="128"/>
      <c r="U47" s="128" t="s">
        <v>105</v>
      </c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  <c r="AI47" s="128"/>
      <c r="AJ47" s="128"/>
      <c r="AK47" s="128"/>
    </row>
    <row collapsed="false" customFormat="true" customHeight="true" hidden="false" ht="12.6" outlineLevel="0" r="48" s="58">
      <c r="A48" s="128" t="s">
        <v>106</v>
      </c>
      <c r="B48" s="128"/>
      <c r="C48" s="181"/>
      <c r="D48" s="181"/>
      <c r="E48" s="181"/>
      <c r="F48" s="181"/>
      <c r="G48" s="181"/>
      <c r="H48" s="181"/>
      <c r="I48" s="127"/>
      <c r="J48" s="128"/>
      <c r="K48" s="128"/>
      <c r="L48" s="128" t="s">
        <v>107</v>
      </c>
      <c r="M48" s="128"/>
      <c r="N48" s="128"/>
      <c r="P48" s="183"/>
      <c r="Q48" s="183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 t="s">
        <v>108</v>
      </c>
      <c r="AF48" s="128"/>
      <c r="AG48" s="128"/>
      <c r="AH48" s="128"/>
      <c r="AI48" s="128"/>
      <c r="AK48" s="128"/>
    </row>
    <row collapsed="false" customFormat="true" customHeight="true" hidden="false" ht="12.6" outlineLevel="0" r="49" s="58">
      <c r="A49" s="128" t="s">
        <v>109</v>
      </c>
      <c r="B49" s="128"/>
      <c r="C49" s="182"/>
      <c r="D49" s="182"/>
      <c r="E49" s="182"/>
      <c r="F49" s="182"/>
      <c r="G49" s="182"/>
      <c r="H49" s="182"/>
      <c r="I49" s="127"/>
      <c r="J49" s="128"/>
      <c r="K49" s="128"/>
      <c r="M49" s="128"/>
      <c r="N49" s="128"/>
      <c r="P49" s="128"/>
      <c r="Q49" s="128"/>
      <c r="R49" s="128"/>
      <c r="S49" s="128"/>
      <c r="T49" s="128"/>
      <c r="U49" s="128" t="s">
        <v>110</v>
      </c>
      <c r="V49" s="128"/>
      <c r="W49" s="184"/>
      <c r="X49" s="184"/>
      <c r="Y49" s="184"/>
      <c r="Z49" s="184"/>
      <c r="AA49" s="184"/>
      <c r="AB49" s="184"/>
      <c r="AC49" s="184"/>
      <c r="AD49" s="128"/>
      <c r="AE49" s="128" t="s">
        <v>111</v>
      </c>
      <c r="AF49" s="128"/>
      <c r="AG49" s="128"/>
      <c r="AH49" s="128"/>
      <c r="AI49" s="128"/>
      <c r="AK49" s="128"/>
    </row>
    <row collapsed="false" customFormat="true" customHeight="true" hidden="false" ht="12.6" outlineLevel="0" r="50" s="58">
      <c r="A50" s="128" t="s">
        <v>112</v>
      </c>
      <c r="B50" s="128"/>
      <c r="C50" s="182"/>
      <c r="D50" s="182"/>
      <c r="E50" s="182"/>
      <c r="F50" s="182"/>
      <c r="G50" s="182"/>
      <c r="H50" s="182"/>
      <c r="I50" s="127"/>
      <c r="J50" s="128"/>
      <c r="K50" s="128"/>
      <c r="L50" s="128" t="s">
        <v>113</v>
      </c>
      <c r="P50" s="185" t="str">
        <f aca="false">IF(OR(B43="",I43=""),"",I43/B43)</f>
        <v/>
      </c>
      <c r="Q50" s="185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7"/>
      <c r="AK50" s="127"/>
      <c r="AL50" s="101"/>
    </row>
    <row collapsed="false" customFormat="true" customHeight="true" hidden="false" ht="12.6" outlineLevel="0" r="51" s="58">
      <c r="A51" s="128"/>
      <c r="B51" s="128" t="s">
        <v>96</v>
      </c>
      <c r="C51" s="186" t="str">
        <f aca="false">IF(SUM(C45:C50)=0,"",SUM(C45:C50))</f>
        <v/>
      </c>
      <c r="D51" s="186"/>
      <c r="E51" s="186"/>
      <c r="F51" s="186"/>
      <c r="G51" s="186"/>
      <c r="H51" s="186"/>
      <c r="I51" s="127"/>
      <c r="J51" s="128"/>
      <c r="K51" s="128"/>
      <c r="M51" s="128"/>
      <c r="N51" s="128"/>
      <c r="P51" s="128"/>
      <c r="Q51" s="128"/>
      <c r="R51" s="128"/>
      <c r="S51" s="128"/>
      <c r="T51" s="128"/>
      <c r="U51" s="128" t="s">
        <v>114</v>
      </c>
      <c r="V51" s="128"/>
      <c r="W51" s="184"/>
      <c r="X51" s="184"/>
      <c r="Y51" s="184"/>
      <c r="Z51" s="184"/>
      <c r="AA51" s="184"/>
      <c r="AB51" s="184"/>
      <c r="AC51" s="184"/>
      <c r="AD51" s="128"/>
      <c r="AE51" s="128" t="s">
        <v>115</v>
      </c>
      <c r="AF51" s="128"/>
      <c r="AG51" s="128"/>
      <c r="AH51" s="128"/>
      <c r="AI51" s="128"/>
      <c r="AJ51" s="184"/>
      <c r="AK51" s="184"/>
      <c r="AL51" s="187"/>
    </row>
    <row collapsed="false" customFormat="true" customHeight="true" hidden="false" ht="12.6" outlineLevel="0" r="52" s="58">
      <c r="A52" s="128"/>
      <c r="B52" s="128"/>
      <c r="C52" s="128"/>
      <c r="D52" s="128"/>
      <c r="E52" s="128"/>
      <c r="F52" s="128"/>
      <c r="G52" s="128"/>
      <c r="H52" s="128"/>
      <c r="J52" s="128"/>
      <c r="K52" s="128"/>
      <c r="L52" s="128" t="s">
        <v>116</v>
      </c>
      <c r="M52" s="128"/>
      <c r="N52" s="128"/>
      <c r="P52" s="183"/>
      <c r="Q52" s="183"/>
      <c r="R52" s="128"/>
      <c r="S52" s="128"/>
      <c r="T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</row>
    <row collapsed="false" customFormat="true" customHeight="true" hidden="false" ht="12.6" outlineLevel="0" r="53" s="58">
      <c r="A53" s="128" t="s">
        <v>117</v>
      </c>
      <c r="B53" s="128"/>
      <c r="C53" s="128"/>
      <c r="D53" s="128"/>
      <c r="E53" s="128"/>
      <c r="H53" s="181" t="str">
        <f aca="false">IF(OR(B43="",C51=""),"",C51/(B43))</f>
        <v/>
      </c>
      <c r="I53" s="181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AB53" s="128"/>
      <c r="AC53" s="128"/>
      <c r="AD53" s="128"/>
      <c r="AE53" s="128"/>
      <c r="AF53" s="128"/>
      <c r="AG53" s="128"/>
      <c r="AH53" s="128"/>
      <c r="AI53" s="128"/>
      <c r="AJ53" s="128"/>
      <c r="AK53" s="128"/>
    </row>
    <row collapsed="false" customFormat="false" customHeight="true" hidden="false" ht="12.75" outlineLevel="0" r="54">
      <c r="A54" s="128"/>
      <c r="B54" s="128"/>
      <c r="C54" s="128"/>
      <c r="D54" s="128"/>
      <c r="E54" s="128"/>
      <c r="F54" s="188" t="n">
        <f aca="false">COUNT(F12:F42)</f>
        <v>0</v>
      </c>
      <c r="G54" s="188" t="n">
        <f aca="false">COUNT(G12:G42)</f>
        <v>0</v>
      </c>
      <c r="H54" s="188" t="n">
        <f aca="false">COUNT(H12:H42)</f>
        <v>0</v>
      </c>
      <c r="J54" s="188" t="n">
        <f aca="false">COUNT(J12:J42)</f>
        <v>0</v>
      </c>
      <c r="K54" s="188" t="n">
        <f aca="false">COUNT(K12:K42)</f>
        <v>0</v>
      </c>
      <c r="L54" s="188" t="n">
        <f aca="false">COUNT(L12:L42)</f>
        <v>0</v>
      </c>
      <c r="M54" s="188" t="n">
        <f aca="false">COUNT(M12:M42)</f>
        <v>0</v>
      </c>
      <c r="N54" s="188" t="n">
        <f aca="false">COUNT(N12:N42)</f>
        <v>0</v>
      </c>
      <c r="O54" s="188" t="n">
        <f aca="false">COUNT(O12:O42)</f>
        <v>0</v>
      </c>
      <c r="P54" s="188" t="n">
        <f aca="false">COUNT(P12:P42)</f>
        <v>0</v>
      </c>
      <c r="Q54" s="188" t="n">
        <f aca="false">COUNT(Q12:Q42)</f>
        <v>0</v>
      </c>
      <c r="R54" s="188" t="str">
        <f aca="false">IF(COUNT(R12:R42)=0,"",COUNT(R12:R42))</f>
        <v/>
      </c>
      <c r="S54" s="188" t="str">
        <f aca="false">IF(COUNT(S12:S42)=0,"",COUNT(S12:S42))</f>
        <v/>
      </c>
      <c r="T54" s="188" t="str">
        <f aca="false">IF(COUNT(T12:T42)=0,"",COUNT(T12:T42))</f>
        <v/>
      </c>
      <c r="U54" s="188" t="str">
        <f aca="false">IF(COUNT(U12:U42)=0,"",COUNT(U12:U42))</f>
        <v/>
      </c>
      <c r="V54" s="188" t="str">
        <f aca="false">IF(COUNT(V12:V42)=0,"",COUNT(V12:V42))</f>
        <v/>
      </c>
      <c r="W54" s="188" t="str">
        <f aca="false">IF(COUNT(W12:W42)=0,"",COUNT(W12:W42))</f>
        <v/>
      </c>
      <c r="X54" s="188" t="str">
        <f aca="false">IF(COUNT(X12:X42)=0,"",COUNT(X12:X42))</f>
        <v/>
      </c>
      <c r="Y54" s="188" t="str">
        <f aca="false">IF(COUNT(Y12:Y42)=0,"",COUNT(Y12:Y42))</f>
        <v/>
      </c>
      <c r="Z54" s="188" t="n">
        <f aca="false">COUNT(Z12:Z42)</f>
        <v>0</v>
      </c>
      <c r="AA54" s="188" t="n">
        <f aca="false">COUNT(AA12:AA42)</f>
        <v>0</v>
      </c>
      <c r="AB54" s="188" t="n">
        <f aca="false">COUNT(AB12:AB42)</f>
        <v>0</v>
      </c>
      <c r="AC54" s="188" t="n">
        <f aca="false">COUNT(AC12:AC42)</f>
        <v>0</v>
      </c>
      <c r="AD54" s="188" t="n">
        <f aca="false">COUNT(AD12:AD42)</f>
        <v>0</v>
      </c>
      <c r="AE54" s="188" t="n">
        <f aca="false">COUNT(AE12:AE42)</f>
        <v>0</v>
      </c>
      <c r="AF54" s="188" t="n">
        <f aca="false">COUNT(AF12:AF42)</f>
        <v>0</v>
      </c>
      <c r="AG54" s="188" t="n">
        <f aca="false">COUNT(AG12:AG42)</f>
        <v>0</v>
      </c>
      <c r="AH54" s="188" t="n">
        <f aca="false">COUNT(AH12:AH42)</f>
        <v>0</v>
      </c>
      <c r="AI54" s="188" t="n">
        <f aca="false">COUNT(AI12:AI42)</f>
        <v>0</v>
      </c>
      <c r="AJ54" s="188"/>
    </row>
    <row collapsed="false" customFormat="false" customHeight="true" hidden="false" ht="12.75" outlineLevel="0" r="55">
      <c r="B55" s="188" t="n">
        <f aca="false">COUNT(B12:B42)</f>
        <v>0</v>
      </c>
      <c r="C55" s="188" t="n">
        <f aca="false">COUNT(C12:C42)</f>
        <v>0</v>
      </c>
      <c r="D55" s="188" t="n">
        <f aca="false">COUNT(D12:D42)</f>
        <v>0</v>
      </c>
      <c r="E55" s="188" t="n">
        <f aca="false">COUNT(E12:E42)</f>
        <v>0</v>
      </c>
    </row>
  </sheetData>
  <mergeCells count="71">
    <mergeCell ref="AK3:AL3"/>
    <mergeCell ref="AK4:AL4"/>
    <mergeCell ref="B5:H5"/>
    <mergeCell ref="J5:O5"/>
    <mergeCell ref="Q5:V5"/>
    <mergeCell ref="X5:Y5"/>
    <mergeCell ref="AK5:AL5"/>
    <mergeCell ref="AK6:AL6"/>
    <mergeCell ref="V7:AE7"/>
    <mergeCell ref="C8:H8"/>
    <mergeCell ref="J8:Q8"/>
    <mergeCell ref="R8:U8"/>
    <mergeCell ref="V8:Y8"/>
    <mergeCell ref="Z8:AB8"/>
    <mergeCell ref="AD8:AE8"/>
    <mergeCell ref="AF8:AG9"/>
    <mergeCell ref="AH8:AI9"/>
    <mergeCell ref="AJ8:AL11"/>
    <mergeCell ref="C9:H9"/>
    <mergeCell ref="P9:Q9"/>
    <mergeCell ref="AD9:AE9"/>
    <mergeCell ref="AF10:AG10"/>
    <mergeCell ref="AH10:AI10"/>
    <mergeCell ref="AJ12:AL12"/>
    <mergeCell ref="AJ13:AL13"/>
    <mergeCell ref="AJ14:AL14"/>
    <mergeCell ref="AJ15:AL15"/>
    <mergeCell ref="AJ16:AL16"/>
    <mergeCell ref="AJ17:AL17"/>
    <mergeCell ref="AJ18:AL18"/>
    <mergeCell ref="AJ19:AL19"/>
    <mergeCell ref="AJ20:AL20"/>
    <mergeCell ref="AJ21:AL21"/>
    <mergeCell ref="AJ22:AL22"/>
    <mergeCell ref="AJ23:AL23"/>
    <mergeCell ref="AJ24:AL24"/>
    <mergeCell ref="AJ25:AL25"/>
    <mergeCell ref="AJ26:AL26"/>
    <mergeCell ref="AJ27:AL27"/>
    <mergeCell ref="AJ28:AL28"/>
    <mergeCell ref="AJ29:AL29"/>
    <mergeCell ref="AJ30:AL30"/>
    <mergeCell ref="AJ31:AL31"/>
    <mergeCell ref="AJ32:AL32"/>
    <mergeCell ref="AJ33:AL33"/>
    <mergeCell ref="AJ34:AL34"/>
    <mergeCell ref="AJ35:AL35"/>
    <mergeCell ref="AJ36:AL36"/>
    <mergeCell ref="AJ37:AL37"/>
    <mergeCell ref="AJ38:AL38"/>
    <mergeCell ref="AJ39:AL39"/>
    <mergeCell ref="AJ40:AL40"/>
    <mergeCell ref="AJ41:AL41"/>
    <mergeCell ref="AJ42:AL42"/>
    <mergeCell ref="AJ43:AL43"/>
    <mergeCell ref="AJ44:AL44"/>
    <mergeCell ref="C45:H45"/>
    <mergeCell ref="C46:H46"/>
    <mergeCell ref="P46:Q46"/>
    <mergeCell ref="C47:H47"/>
    <mergeCell ref="C48:H48"/>
    <mergeCell ref="P48:Q48"/>
    <mergeCell ref="C49:H49"/>
    <mergeCell ref="W49:AC49"/>
    <mergeCell ref="C50:H50"/>
    <mergeCell ref="P50:Q50"/>
    <mergeCell ref="C51:H51"/>
    <mergeCell ref="W51:AC51"/>
    <mergeCell ref="AJ51:AK51"/>
    <mergeCell ref="P52:Q52"/>
    <mergeCell ref="H53:I53"/>
  </mergeCells>
  <printOptions headings="false" gridLines="false" gridLinesSet="true" horizontalCentered="false" verticalCentered="false"/>
  <pageMargins left="0.25" right="0" top="0.240277777777778" bottom="0" header="0.511805555555555" footer="0.511805555555555"/>
  <pageSetup blackAndWhite="false" cellComments="none" copies="1" draft="false" firstPageNumber="0" fitToHeight="1" fitToWidth="1" horizontalDpi="300" orientation="portrait" pageOrder="downThenOver" paperSize="5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"/>
  <sheetViews>
    <sheetView colorId="64" defaultGridColor="true" rightToLeft="false" showFormulas="false" showGridLines="true" showOutlineSymbols="true" showRowColHeaders="true" showZeros="true" tabSelected="false" topLeftCell="A1" view="pageBreakPreview" windowProtection="false" workbookViewId="0" zoomScale="100" zoomScaleNormal="100" zoomScalePageLayoutView="100">
      <selection activeCell="M33" activeCellId="0" pane="topLeft" sqref="M33"/>
    </sheetView>
  </sheetViews>
  <cols>
    <col collapsed="false" hidden="false" max="1025" min="1" style="0" width="8.5921568627451"/>
  </cols>
  <sheetData>
    <row collapsed="false" customFormat="false" customHeight="true" hidden="false" ht="13.5" outlineLevel="0" r="1">
      <c r="A1" s="189" t="e">
        <f aca="false">ROUND(577a!s11,1)</f>
        <v>#NAME?</v>
      </c>
      <c r="B1" s="189" t="e">
        <f aca="false">ROUND(577a!t11,1)</f>
        <v>#NAME?</v>
      </c>
      <c r="C1" s="189" t="e">
        <f aca="false">ROUND(577a!u11,1)</f>
        <v>#NAME?</v>
      </c>
      <c r="D1" s="189" t="e">
        <f aca="false">ROUND(577a!v11,1)</f>
        <v>#NAME?</v>
      </c>
      <c r="E1" s="189" t="e">
        <f aca="false">ROUND(577a!w11,1)</f>
        <v>#NAME?</v>
      </c>
      <c r="F1" s="189" t="e">
        <f aca="false">ROUND(577a!x11,1)</f>
        <v>#NAME?</v>
      </c>
      <c r="G1" s="190" t="e">
        <f aca="false">IF(577a!y11=0,"",577a!y11)</f>
        <v>#NAME?</v>
      </c>
      <c r="H1" s="190" t="e">
        <f aca="false">IF(577a!z11=0,"",577a!z11)</f>
        <v>#NAME?</v>
      </c>
      <c r="I1" s="190" t="e">
        <f aca="false">IF(577a!aa11=0,"",577a!aa11)</f>
        <v>#NAME?</v>
      </c>
      <c r="J1" s="190" t="e">
        <f aca="false">IF(577a!ab11=0,"",577a!ab11)</f>
        <v>#NAME?</v>
      </c>
      <c r="K1" s="190" t="e">
        <f aca="false">IF(577a!ac11=0,"",577a!ac11)</f>
        <v>#NAME?</v>
      </c>
      <c r="L1" s="190" t="e">
        <f aca="false">IF(577a!ad11=0,"",577a!ad11)</f>
        <v>#NAME?</v>
      </c>
      <c r="M1" s="191" t="e">
        <f aca="false">MIN(G1:L1)</f>
        <v>#NAME?</v>
      </c>
    </row>
    <row collapsed="false" customFormat="false" customHeight="true" hidden="false" ht="13.5" outlineLevel="0" r="2">
      <c r="A2" s="189" t="e">
        <f aca="false">ROUND(577a!s12,1)</f>
        <v>#NAME?</v>
      </c>
      <c r="B2" s="189" t="e">
        <f aca="false">ROUND(577a!t12,1)</f>
        <v>#NAME?</v>
      </c>
      <c r="C2" s="189" t="e">
        <f aca="false">ROUND(577a!u12,1)</f>
        <v>#NAME?</v>
      </c>
      <c r="D2" s="189" t="e">
        <f aca="false">ROUND(577a!v12,1)</f>
        <v>#NAME?</v>
      </c>
      <c r="E2" s="189" t="e">
        <f aca="false">ROUND(577a!w12,1)</f>
        <v>#NAME?</v>
      </c>
      <c r="F2" s="192" t="e">
        <f aca="false">ROUND(577a!x12,1)</f>
        <v>#NAME?</v>
      </c>
      <c r="G2" s="190" t="e">
        <f aca="false">IF(577a!y12=0,"",577a!y12)</f>
        <v>#NAME?</v>
      </c>
      <c r="H2" s="190" t="e">
        <f aca="false">IF(577a!z12=0,"",577a!z12)</f>
        <v>#NAME?</v>
      </c>
      <c r="I2" s="190" t="e">
        <f aca="false">IF(577a!aa12=0,"",577a!aa12)</f>
        <v>#NAME?</v>
      </c>
      <c r="J2" s="190" t="e">
        <f aca="false">IF(577a!ab12=0,"",577a!ab12)</f>
        <v>#NAME?</v>
      </c>
      <c r="K2" s="190" t="e">
        <f aca="false">IF(577a!ac12=0,"",577a!ac12)</f>
        <v>#NAME?</v>
      </c>
      <c r="L2" s="190" t="e">
        <f aca="false">IF(577a!ad12=0,"",577a!ad12)</f>
        <v>#NAME?</v>
      </c>
      <c r="M2" s="191" t="e">
        <f aca="false">MIN(G2:L2)</f>
        <v>#NAME?</v>
      </c>
    </row>
    <row collapsed="false" customFormat="false" customHeight="true" hidden="false" ht="13.5" outlineLevel="0" r="3">
      <c r="A3" s="189" t="e">
        <f aca="false">ROUND(577a!s13,1)</f>
        <v>#NAME?</v>
      </c>
      <c r="B3" s="189" t="e">
        <f aca="false">ROUND(577a!t13,1)</f>
        <v>#NAME?</v>
      </c>
      <c r="C3" s="189" t="e">
        <f aca="false">ROUND(577a!u13,1)</f>
        <v>#NAME?</v>
      </c>
      <c r="D3" s="189" t="e">
        <f aca="false">ROUND(577a!v13,1)</f>
        <v>#NAME?</v>
      </c>
      <c r="E3" s="189" t="e">
        <f aca="false">ROUND(577a!w13,1)</f>
        <v>#NAME?</v>
      </c>
      <c r="F3" s="192" t="e">
        <f aca="false">ROUND(577a!x13,1)</f>
        <v>#NAME?</v>
      </c>
      <c r="G3" s="190" t="e">
        <f aca="false">IF(577a!y13=0,"",577a!y13)</f>
        <v>#NAME?</v>
      </c>
      <c r="H3" s="190" t="e">
        <f aca="false">IF(577a!z13=0,"",577a!z13)</f>
        <v>#NAME?</v>
      </c>
      <c r="I3" s="190" t="e">
        <f aca="false">IF(577a!aa13=0,"",577a!aa13)</f>
        <v>#NAME?</v>
      </c>
      <c r="J3" s="190" t="e">
        <f aca="false">IF(577a!ab13=0,"",577a!ab13)</f>
        <v>#NAME?</v>
      </c>
      <c r="K3" s="190" t="e">
        <f aca="false">IF(577a!ac13=0,"",577a!ac13)</f>
        <v>#NAME?</v>
      </c>
      <c r="L3" s="190" t="e">
        <f aca="false">IF(577a!ad13=0,"",577a!ad13)</f>
        <v>#NAME?</v>
      </c>
      <c r="M3" s="191" t="e">
        <f aca="false">MIN(G3:L3)</f>
        <v>#NAME?</v>
      </c>
    </row>
    <row collapsed="false" customFormat="false" customHeight="true" hidden="false" ht="13.5" outlineLevel="0" r="4">
      <c r="A4" s="189" t="e">
        <f aca="false">ROUND(577a!s14,1)</f>
        <v>#NAME?</v>
      </c>
      <c r="B4" s="189" t="e">
        <f aca="false">ROUND(577a!t14,1)</f>
        <v>#NAME?</v>
      </c>
      <c r="C4" s="189" t="e">
        <f aca="false">ROUND(577a!u14,1)</f>
        <v>#NAME?</v>
      </c>
      <c r="D4" s="189" t="e">
        <f aca="false">ROUND(577a!v14,1)</f>
        <v>#NAME?</v>
      </c>
      <c r="E4" s="189" t="e">
        <f aca="false">ROUND(577a!w14,1)</f>
        <v>#NAME?</v>
      </c>
      <c r="F4" s="189" t="e">
        <f aca="false">ROUND(577a!x14,1)</f>
        <v>#NAME?</v>
      </c>
      <c r="G4" s="190" t="e">
        <f aca="false">IF(577a!y14=0,"",577a!y14)</f>
        <v>#NAME?</v>
      </c>
      <c r="H4" s="190" t="e">
        <f aca="false">IF(577a!z14=0,"",577a!z14)</f>
        <v>#NAME?</v>
      </c>
      <c r="I4" s="190" t="e">
        <f aca="false">IF(577a!aa14=0,"",577a!aa14)</f>
        <v>#NAME?</v>
      </c>
      <c r="J4" s="190" t="e">
        <f aca="false">IF(577a!ab14=0,"",577a!ab14)</f>
        <v>#NAME?</v>
      </c>
      <c r="K4" s="190" t="e">
        <f aca="false">IF(577a!ac14=0,"",577a!ac14)</f>
        <v>#NAME?</v>
      </c>
      <c r="L4" s="190" t="e">
        <f aca="false">IF(577a!ad14=0,"",577a!ad14)</f>
        <v>#NAME?</v>
      </c>
      <c r="M4" s="191" t="e">
        <f aca="false">MIN(G4:L4)</f>
        <v>#NAME?</v>
      </c>
    </row>
    <row collapsed="false" customFormat="false" customHeight="true" hidden="false" ht="13.5" outlineLevel="0" r="5">
      <c r="A5" s="189" t="e">
        <f aca="false">ROUND(577a!s15,1)</f>
        <v>#NAME?</v>
      </c>
      <c r="B5" s="189" t="e">
        <f aca="false">ROUND(577a!t15,1)</f>
        <v>#NAME?</v>
      </c>
      <c r="C5" s="189" t="e">
        <f aca="false">ROUND(577a!u15,1)</f>
        <v>#NAME?</v>
      </c>
      <c r="D5" s="189" t="e">
        <f aca="false">ROUND(577a!v15,1)</f>
        <v>#NAME?</v>
      </c>
      <c r="E5" s="189" t="e">
        <f aca="false">ROUND(577a!w15,1)</f>
        <v>#NAME?</v>
      </c>
      <c r="F5" s="189" t="e">
        <f aca="false">ROUND(577a!x15,1)</f>
        <v>#NAME?</v>
      </c>
      <c r="G5" s="190" t="e">
        <f aca="false">IF(577a!y15=0,"",577a!y15)</f>
        <v>#NAME?</v>
      </c>
      <c r="H5" s="190" t="e">
        <f aca="false">IF(577a!z15=0,"",577a!z15)</f>
        <v>#NAME?</v>
      </c>
      <c r="I5" s="190" t="e">
        <f aca="false">IF(577a!aa15=0,"",577a!aa15)</f>
        <v>#NAME?</v>
      </c>
      <c r="J5" s="190" t="e">
        <f aca="false">IF(577a!ab15=0,"",577a!ab15)</f>
        <v>#NAME?</v>
      </c>
      <c r="K5" s="190" t="e">
        <f aca="false">IF(577a!ac15=0,"",577a!ac15)</f>
        <v>#NAME?</v>
      </c>
      <c r="L5" s="190" t="e">
        <f aca="false">IF(577a!ad15=0,"",577a!ad15)</f>
        <v>#NAME?</v>
      </c>
      <c r="M5" s="191" t="e">
        <f aca="false">MIN(G5:L5)</f>
        <v>#NAME?</v>
      </c>
    </row>
    <row collapsed="false" customFormat="false" customHeight="true" hidden="false" ht="13.5" outlineLevel="0" r="6">
      <c r="A6" s="189" t="e">
        <f aca="false">ROUND(577a!s16,1)</f>
        <v>#NAME?</v>
      </c>
      <c r="B6" s="189" t="e">
        <f aca="false">ROUND(577a!t16,1)</f>
        <v>#NAME?</v>
      </c>
      <c r="C6" s="189" t="e">
        <f aca="false">ROUND(577a!u16,1)</f>
        <v>#NAME?</v>
      </c>
      <c r="D6" s="189" t="e">
        <f aca="false">ROUND(577a!v16,1)</f>
        <v>#NAME?</v>
      </c>
      <c r="E6" s="189" t="e">
        <f aca="false">ROUND(577a!w16,1)</f>
        <v>#NAME?</v>
      </c>
      <c r="F6" s="189" t="e">
        <f aca="false">ROUND(577a!x16,1)</f>
        <v>#NAME?</v>
      </c>
      <c r="G6" s="190" t="e">
        <f aca="false">IF(577a!y16=0,"",577a!y16)</f>
        <v>#NAME?</v>
      </c>
      <c r="H6" s="190" t="e">
        <f aca="false">IF(577a!z16=0,"",577a!z16)</f>
        <v>#NAME?</v>
      </c>
      <c r="I6" s="190" t="e">
        <f aca="false">IF(577a!aa16=0,"",577a!aa16)</f>
        <v>#NAME?</v>
      </c>
      <c r="J6" s="190" t="e">
        <f aca="false">IF(577a!ab16=0,"",577a!ab16)</f>
        <v>#NAME?</v>
      </c>
      <c r="K6" s="190" t="e">
        <f aca="false">IF(577a!ac16=0,"",577a!ac16)</f>
        <v>#NAME?</v>
      </c>
      <c r="L6" s="190" t="e">
        <f aca="false">IF(577a!ad16=0,"",577a!ad16)</f>
        <v>#NAME?</v>
      </c>
      <c r="M6" s="191" t="e">
        <f aca="false">MIN(G6:L6)</f>
        <v>#NAME?</v>
      </c>
    </row>
    <row collapsed="false" customFormat="false" customHeight="true" hidden="false" ht="13.5" outlineLevel="0" r="7">
      <c r="A7" s="189" t="e">
        <f aca="false">ROUND(577a!s17,1)</f>
        <v>#NAME?</v>
      </c>
      <c r="B7" s="189" t="e">
        <f aca="false">ROUND(577a!t17,1)</f>
        <v>#NAME?</v>
      </c>
      <c r="C7" s="189" t="e">
        <f aca="false">ROUND(577a!u17,1)</f>
        <v>#NAME?</v>
      </c>
      <c r="D7" s="189" t="e">
        <f aca="false">ROUND(577a!v17,1)</f>
        <v>#NAME?</v>
      </c>
      <c r="E7" s="189" t="e">
        <f aca="false">ROUND(577a!w17,1)</f>
        <v>#NAME?</v>
      </c>
      <c r="F7" s="189" t="e">
        <f aca="false">ROUND(577a!x17,1)</f>
        <v>#NAME?</v>
      </c>
      <c r="G7" s="190" t="e">
        <f aca="false">IF(577a!y17=0,"",577a!y17)</f>
        <v>#NAME?</v>
      </c>
      <c r="H7" s="190" t="e">
        <f aca="false">IF(577a!z17=0,"",577a!z17)</f>
        <v>#NAME?</v>
      </c>
      <c r="I7" s="190" t="e">
        <f aca="false">IF(577a!aa17=0,"",577a!aa17)</f>
        <v>#NAME?</v>
      </c>
      <c r="J7" s="190" t="e">
        <f aca="false">IF(577a!ab17=0,"",577a!ab17)</f>
        <v>#NAME?</v>
      </c>
      <c r="K7" s="190" t="e">
        <f aca="false">IF(577a!ac17=0,"",577a!ac17)</f>
        <v>#NAME?</v>
      </c>
      <c r="L7" s="190" t="e">
        <f aca="false">IF(577a!ad17=0,"",577a!ad17)</f>
        <v>#NAME?</v>
      </c>
      <c r="M7" s="191" t="e">
        <f aca="false">MIN(G7:L7)</f>
        <v>#NAME?</v>
      </c>
    </row>
    <row collapsed="false" customFormat="false" customHeight="true" hidden="false" ht="13.5" outlineLevel="0" r="8">
      <c r="A8" s="189" t="e">
        <f aca="false">ROUND(577a!s18,1)</f>
        <v>#NAME?</v>
      </c>
      <c r="B8" s="189" t="e">
        <f aca="false">ROUND(577a!t18,1)</f>
        <v>#NAME?</v>
      </c>
      <c r="C8" s="189" t="e">
        <f aca="false">ROUND(577a!u18,1)</f>
        <v>#NAME?</v>
      </c>
      <c r="D8" s="189" t="e">
        <f aca="false">ROUND(577a!v18,1)</f>
        <v>#NAME?</v>
      </c>
      <c r="E8" s="189" t="e">
        <f aca="false">ROUND(577a!w18,1)</f>
        <v>#NAME?</v>
      </c>
      <c r="F8" s="189" t="e">
        <f aca="false">ROUND(577a!x18,1)</f>
        <v>#NAME?</v>
      </c>
      <c r="G8" s="190" t="e">
        <f aca="false">IF(577a!y18=0,"",577a!y18)</f>
        <v>#NAME?</v>
      </c>
      <c r="H8" s="190" t="e">
        <f aca="false">IF(577a!z18=0,"",577a!z18)</f>
        <v>#NAME?</v>
      </c>
      <c r="I8" s="190" t="e">
        <f aca="false">IF(577a!aa18=0,"",577a!aa18)</f>
        <v>#NAME?</v>
      </c>
      <c r="J8" s="190" t="e">
        <f aca="false">IF(577a!ab18=0,"",577a!ab18)</f>
        <v>#NAME?</v>
      </c>
      <c r="K8" s="190" t="e">
        <f aca="false">IF(577a!ac18=0,"",577a!ac18)</f>
        <v>#NAME?</v>
      </c>
      <c r="L8" s="190" t="e">
        <f aca="false">IF(577a!ad18=0,"",577a!ad18)</f>
        <v>#NAME?</v>
      </c>
      <c r="M8" s="191" t="e">
        <f aca="false">MIN(G8:L8)</f>
        <v>#NAME?</v>
      </c>
    </row>
    <row collapsed="false" customFormat="false" customHeight="true" hidden="false" ht="13.5" outlineLevel="0" r="9">
      <c r="A9" s="189" t="e">
        <f aca="false">ROUND(577a!s19,1)</f>
        <v>#NAME?</v>
      </c>
      <c r="B9" s="189" t="e">
        <f aca="false">ROUND(577a!t19,1)</f>
        <v>#NAME?</v>
      </c>
      <c r="C9" s="189" t="e">
        <f aca="false">ROUND(577a!u19,1)</f>
        <v>#NAME?</v>
      </c>
      <c r="D9" s="189" t="e">
        <f aca="false">ROUND(577a!v19,1)</f>
        <v>#NAME?</v>
      </c>
      <c r="E9" s="189" t="e">
        <f aca="false">ROUND(577a!w19,1)</f>
        <v>#NAME?</v>
      </c>
      <c r="F9" s="189" t="e">
        <f aca="false">ROUND(577a!x19,1)</f>
        <v>#NAME?</v>
      </c>
      <c r="G9" s="190" t="e">
        <f aca="false">IF(577a!y19=0,"",577a!y19)</f>
        <v>#NAME?</v>
      </c>
      <c r="H9" s="190" t="e">
        <f aca="false">IF(577a!z19=0,"",577a!z19)</f>
        <v>#NAME?</v>
      </c>
      <c r="I9" s="190" t="e">
        <f aca="false">IF(577a!aa19=0,"",577a!aa19)</f>
        <v>#NAME?</v>
      </c>
      <c r="J9" s="190" t="e">
        <f aca="false">IF(577a!ab19=0,"",577a!ab19)</f>
        <v>#NAME?</v>
      </c>
      <c r="K9" s="190" t="e">
        <f aca="false">IF(577a!ac19=0,"",577a!ac19)</f>
        <v>#NAME?</v>
      </c>
      <c r="L9" s="190" t="e">
        <f aca="false">IF(577a!ad19=0,"",577a!ad19)</f>
        <v>#NAME?</v>
      </c>
      <c r="M9" s="191" t="e">
        <f aca="false">MIN(G9:L9)</f>
        <v>#NAME?</v>
      </c>
    </row>
    <row collapsed="false" customFormat="false" customHeight="true" hidden="false" ht="13.5" outlineLevel="0" r="10">
      <c r="A10" s="189" t="e">
        <f aca="false">ROUND(577a!s20,1)</f>
        <v>#NAME?</v>
      </c>
      <c r="B10" s="189" t="e">
        <f aca="false">ROUND(577a!t20,1)</f>
        <v>#NAME?</v>
      </c>
      <c r="C10" s="189" t="e">
        <f aca="false">ROUND(577a!u20,1)</f>
        <v>#NAME?</v>
      </c>
      <c r="D10" s="189" t="e">
        <f aca="false">ROUND(577a!v20,1)</f>
        <v>#NAME?</v>
      </c>
      <c r="E10" s="189" t="e">
        <f aca="false">ROUND(577a!w20,1)</f>
        <v>#NAME?</v>
      </c>
      <c r="F10" s="189" t="e">
        <f aca="false">ROUND(577a!x20,1)</f>
        <v>#NAME?</v>
      </c>
      <c r="G10" s="190" t="e">
        <f aca="false">IF(577a!y20=0,"",577a!y20)</f>
        <v>#NAME?</v>
      </c>
      <c r="H10" s="190" t="e">
        <f aca="false">IF(577a!z20=0,"",577a!z20)</f>
        <v>#NAME?</v>
      </c>
      <c r="I10" s="190" t="e">
        <f aca="false">IF(577a!aa20=0,"",577a!aa20)</f>
        <v>#NAME?</v>
      </c>
      <c r="J10" s="190" t="e">
        <f aca="false">IF(577a!ab20=0,"",577a!ab20)</f>
        <v>#NAME?</v>
      </c>
      <c r="K10" s="190" t="e">
        <f aca="false">IF(577a!ac20=0,"",577a!ac20)</f>
        <v>#NAME?</v>
      </c>
      <c r="L10" s="190" t="e">
        <f aca="false">IF(577a!ad20=0,"",577a!ad20)</f>
        <v>#NAME?</v>
      </c>
      <c r="M10" s="191" t="e">
        <f aca="false">MIN(G10:L10)</f>
        <v>#NAME?</v>
      </c>
    </row>
    <row collapsed="false" customFormat="false" customHeight="true" hidden="false" ht="13.5" outlineLevel="0" r="11">
      <c r="A11" s="189" t="e">
        <f aca="false">ROUND(577a!s21,1)</f>
        <v>#NAME?</v>
      </c>
      <c r="B11" s="189" t="e">
        <f aca="false">ROUND(577a!t21,1)</f>
        <v>#NAME?</v>
      </c>
      <c r="C11" s="189" t="e">
        <f aca="false">ROUND(577a!u21,1)</f>
        <v>#NAME?</v>
      </c>
      <c r="D11" s="189" t="e">
        <f aca="false">ROUND(577a!v21,1)</f>
        <v>#NAME?</v>
      </c>
      <c r="E11" s="189" t="e">
        <f aca="false">ROUND(577a!w21,1)</f>
        <v>#NAME?</v>
      </c>
      <c r="F11" s="189" t="e">
        <f aca="false">ROUND(577a!x21,1)</f>
        <v>#NAME?</v>
      </c>
      <c r="G11" s="190" t="e">
        <f aca="false">IF(577a!y21=0,"",577a!y21)</f>
        <v>#NAME?</v>
      </c>
      <c r="H11" s="190" t="e">
        <f aca="false">IF(577a!z21=0,"",577a!z21)</f>
        <v>#NAME?</v>
      </c>
      <c r="I11" s="190" t="e">
        <f aca="false">IF(577a!aa21=0,"",577a!aa21)</f>
        <v>#NAME?</v>
      </c>
      <c r="J11" s="190" t="e">
        <f aca="false">IF(577a!ab21=0,"",577a!ab21)</f>
        <v>#NAME?</v>
      </c>
      <c r="K11" s="190" t="e">
        <f aca="false">IF(577a!ac21=0,"",577a!ac21)</f>
        <v>#NAME?</v>
      </c>
      <c r="L11" s="190" t="e">
        <f aca="false">IF(577a!ad21=0,"",577a!ad21)</f>
        <v>#NAME?</v>
      </c>
      <c r="M11" s="191" t="e">
        <f aca="false">MIN(G11:L11)</f>
        <v>#NAME?</v>
      </c>
    </row>
    <row collapsed="false" customFormat="false" customHeight="true" hidden="false" ht="13.5" outlineLevel="0" r="12">
      <c r="A12" s="189" t="e">
        <f aca="false">ROUND(577a!s22,1)</f>
        <v>#NAME?</v>
      </c>
      <c r="B12" s="189" t="e">
        <f aca="false">ROUND(577a!t22,1)</f>
        <v>#NAME?</v>
      </c>
      <c r="C12" s="189" t="e">
        <f aca="false">ROUND(577a!u22,1)</f>
        <v>#NAME?</v>
      </c>
      <c r="D12" s="189" t="e">
        <f aca="false">ROUND(577a!v22,1)</f>
        <v>#NAME?</v>
      </c>
      <c r="E12" s="189" t="e">
        <f aca="false">ROUND(577a!w22,1)</f>
        <v>#NAME?</v>
      </c>
      <c r="F12" s="189" t="e">
        <f aca="false">ROUND(577a!x22,1)</f>
        <v>#NAME?</v>
      </c>
      <c r="G12" s="190" t="e">
        <f aca="false">IF(577a!y22=0,"",577a!y22)</f>
        <v>#NAME?</v>
      </c>
      <c r="H12" s="190" t="e">
        <f aca="false">IF(577a!z22=0,"",577a!z22)</f>
        <v>#NAME?</v>
      </c>
      <c r="I12" s="190" t="e">
        <f aca="false">IF(577a!aa22=0,"",577a!aa22)</f>
        <v>#NAME?</v>
      </c>
      <c r="J12" s="190" t="e">
        <f aca="false">IF(577a!ab22=0,"",577a!ab22)</f>
        <v>#NAME?</v>
      </c>
      <c r="K12" s="190" t="e">
        <f aca="false">IF(577a!ac22=0,"",577a!ac22)</f>
        <v>#NAME?</v>
      </c>
      <c r="L12" s="190" t="e">
        <f aca="false">IF(577a!ad22=0,"",577a!ad22)</f>
        <v>#NAME?</v>
      </c>
      <c r="M12" s="191" t="e">
        <f aca="false">MIN(G12:L12)</f>
        <v>#NAME?</v>
      </c>
    </row>
    <row collapsed="false" customFormat="false" customHeight="true" hidden="false" ht="13.5" outlineLevel="0" r="13">
      <c r="A13" s="189" t="e">
        <f aca="false">ROUND(577a!s23,1)</f>
        <v>#NAME?</v>
      </c>
      <c r="B13" s="189" t="e">
        <f aca="false">ROUND(577a!t23,1)</f>
        <v>#NAME?</v>
      </c>
      <c r="C13" s="189" t="e">
        <f aca="false">ROUND(577a!u23,1)</f>
        <v>#NAME?</v>
      </c>
      <c r="D13" s="189" t="e">
        <f aca="false">ROUND(577a!v23,1)</f>
        <v>#NAME?</v>
      </c>
      <c r="E13" s="189" t="e">
        <f aca="false">ROUND(577a!w23,1)</f>
        <v>#NAME?</v>
      </c>
      <c r="F13" s="189" t="e">
        <f aca="false">ROUND(577a!x23,1)</f>
        <v>#NAME?</v>
      </c>
      <c r="G13" s="190" t="e">
        <f aca="false">IF(577a!y23=0,"",577a!y23)</f>
        <v>#NAME?</v>
      </c>
      <c r="H13" s="190" t="e">
        <f aca="false">IF(577a!z23=0,"",577a!z23)</f>
        <v>#NAME?</v>
      </c>
      <c r="I13" s="190" t="e">
        <f aca="false">IF(577a!aa23=0,"",577a!aa23)</f>
        <v>#NAME?</v>
      </c>
      <c r="J13" s="190" t="e">
        <f aca="false">IF(577a!ab23=0,"",577a!ab23)</f>
        <v>#NAME?</v>
      </c>
      <c r="K13" s="190" t="e">
        <f aca="false">IF(577a!ac23=0,"",577a!ac23)</f>
        <v>#NAME?</v>
      </c>
      <c r="L13" s="190" t="e">
        <f aca="false">IF(577a!ad23=0,"",577a!ad23)</f>
        <v>#NAME?</v>
      </c>
      <c r="M13" s="191" t="e">
        <f aca="false">MIN(G13:L13)</f>
        <v>#NAME?</v>
      </c>
    </row>
    <row collapsed="false" customFormat="false" customHeight="true" hidden="false" ht="13.5" outlineLevel="0" r="14">
      <c r="A14" s="189" t="e">
        <f aca="false">ROUND(577a!s24,1)</f>
        <v>#NAME?</v>
      </c>
      <c r="B14" s="189" t="e">
        <f aca="false">ROUND(577a!t24,1)</f>
        <v>#NAME?</v>
      </c>
      <c r="C14" s="189" t="e">
        <f aca="false">ROUND(577a!u24,1)</f>
        <v>#NAME?</v>
      </c>
      <c r="D14" s="189" t="e">
        <f aca="false">ROUND(577a!v24,1)</f>
        <v>#NAME?</v>
      </c>
      <c r="E14" s="189" t="e">
        <f aca="false">ROUND(577a!w24,1)</f>
        <v>#NAME?</v>
      </c>
      <c r="F14" s="189" t="e">
        <f aca="false">ROUND(577a!x24,1)</f>
        <v>#NAME?</v>
      </c>
      <c r="G14" s="190" t="e">
        <f aca="false">IF(577a!y24=0,"",577a!y24)</f>
        <v>#NAME?</v>
      </c>
      <c r="H14" s="190" t="e">
        <f aca="false">IF(577a!z24=0,"",577a!z24)</f>
        <v>#NAME?</v>
      </c>
      <c r="I14" s="190" t="e">
        <f aca="false">IF(577a!aa24=0,"",577a!aa24)</f>
        <v>#NAME?</v>
      </c>
      <c r="J14" s="190" t="e">
        <f aca="false">IF(577a!ab24=0,"",577a!ab24)</f>
        <v>#NAME?</v>
      </c>
      <c r="K14" s="190" t="e">
        <f aca="false">IF(577a!ac24=0,"",577a!ac24)</f>
        <v>#NAME?</v>
      </c>
      <c r="L14" s="190" t="e">
        <f aca="false">IF(577a!ad24=0,"",577a!ad24)</f>
        <v>#NAME?</v>
      </c>
      <c r="M14" s="191" t="e">
        <f aca="false">MIN(G14:L14)</f>
        <v>#NAME?</v>
      </c>
    </row>
    <row collapsed="false" customFormat="false" customHeight="true" hidden="false" ht="13.5" outlineLevel="0" r="15">
      <c r="A15" s="189" t="e">
        <f aca="false">ROUND(577a!s25,1)</f>
        <v>#NAME?</v>
      </c>
      <c r="B15" s="189" t="e">
        <f aca="false">ROUND(577a!t25,1)</f>
        <v>#NAME?</v>
      </c>
      <c r="C15" s="189" t="e">
        <f aca="false">ROUND(577a!u25,1)</f>
        <v>#NAME?</v>
      </c>
      <c r="D15" s="189" t="e">
        <f aca="false">ROUND(577a!v25,1)</f>
        <v>#NAME?</v>
      </c>
      <c r="E15" s="189" t="e">
        <f aca="false">ROUND(577a!w25,1)</f>
        <v>#NAME?</v>
      </c>
      <c r="F15" s="189" t="e">
        <f aca="false">ROUND(577a!x25,1)</f>
        <v>#NAME?</v>
      </c>
      <c r="G15" s="190" t="e">
        <f aca="false">IF(577a!y25=0,"",577a!y25)</f>
        <v>#NAME?</v>
      </c>
      <c r="H15" s="190" t="e">
        <f aca="false">IF(577a!z25=0,"",577a!z25)</f>
        <v>#NAME?</v>
      </c>
      <c r="I15" s="190" t="e">
        <f aca="false">IF(577a!aa25=0,"",577a!aa25)</f>
        <v>#NAME?</v>
      </c>
      <c r="J15" s="190" t="e">
        <f aca="false">IF(577a!ab25=0,"",577a!ab25)</f>
        <v>#NAME?</v>
      </c>
      <c r="K15" s="190" t="e">
        <f aca="false">IF(577a!ac25=0,"",577a!ac25)</f>
        <v>#NAME?</v>
      </c>
      <c r="L15" s="190" t="e">
        <f aca="false">IF(577a!ad25=0,"",577a!ad25)</f>
        <v>#NAME?</v>
      </c>
      <c r="M15" s="191" t="e">
        <f aca="false">MIN(G15:L15)</f>
        <v>#NAME?</v>
      </c>
    </row>
    <row collapsed="false" customFormat="false" customHeight="true" hidden="false" ht="13.5" outlineLevel="0" r="16">
      <c r="A16" s="189" t="e">
        <f aca="false">ROUND(577a!s26,1)</f>
        <v>#NAME?</v>
      </c>
      <c r="B16" s="189" t="e">
        <f aca="false">ROUND(577a!t26,1)</f>
        <v>#NAME?</v>
      </c>
      <c r="C16" s="189" t="e">
        <f aca="false">ROUND(577a!u26,1)</f>
        <v>#NAME?</v>
      </c>
      <c r="D16" s="189" t="e">
        <f aca="false">ROUND(577a!v26,1)</f>
        <v>#NAME?</v>
      </c>
      <c r="E16" s="189" t="e">
        <f aca="false">ROUND(577a!w26,1)</f>
        <v>#NAME?</v>
      </c>
      <c r="F16" s="189" t="e">
        <f aca="false">ROUND(577a!x26,1)</f>
        <v>#NAME?</v>
      </c>
      <c r="G16" s="190" t="e">
        <f aca="false">IF(577a!y26=0,"",577a!y26)</f>
        <v>#NAME?</v>
      </c>
      <c r="H16" s="190" t="e">
        <f aca="false">IF(577a!z26=0,"",577a!z26)</f>
        <v>#NAME?</v>
      </c>
      <c r="I16" s="190" t="e">
        <f aca="false">IF(577a!aa26=0,"",577a!aa26)</f>
        <v>#NAME?</v>
      </c>
      <c r="J16" s="190" t="e">
        <f aca="false">IF(577a!ab26=0,"",577a!ab26)</f>
        <v>#NAME?</v>
      </c>
      <c r="K16" s="190" t="e">
        <f aca="false">IF(577a!ac26=0,"",577a!ac26)</f>
        <v>#NAME?</v>
      </c>
      <c r="L16" s="190" t="e">
        <f aca="false">IF(577a!ad26=0,"",577a!ad26)</f>
        <v>#NAME?</v>
      </c>
      <c r="M16" s="191" t="e">
        <f aca="false">MIN(G16:L16)</f>
        <v>#NAME?</v>
      </c>
    </row>
    <row collapsed="false" customFormat="false" customHeight="true" hidden="false" ht="13.5" outlineLevel="0" r="17">
      <c r="A17" s="189" t="e">
        <f aca="false">ROUND(577a!s27,1)</f>
        <v>#NAME?</v>
      </c>
      <c r="B17" s="189" t="e">
        <f aca="false">ROUND(577a!t27,1)</f>
        <v>#NAME?</v>
      </c>
      <c r="C17" s="189" t="e">
        <f aca="false">ROUND(577a!u27,1)</f>
        <v>#NAME?</v>
      </c>
      <c r="D17" s="189" t="e">
        <f aca="false">ROUND(577a!v27,1)</f>
        <v>#NAME?</v>
      </c>
      <c r="E17" s="189" t="e">
        <f aca="false">ROUND(577a!w27,1)</f>
        <v>#NAME?</v>
      </c>
      <c r="F17" s="189" t="e">
        <f aca="false">ROUND(577a!x27,1)</f>
        <v>#NAME?</v>
      </c>
      <c r="G17" s="190" t="e">
        <f aca="false">IF(577a!y27=0,"",577a!y27)</f>
        <v>#NAME?</v>
      </c>
      <c r="H17" s="190" t="e">
        <f aca="false">IF(577a!z27=0,"",577a!z27)</f>
        <v>#NAME?</v>
      </c>
      <c r="I17" s="190" t="e">
        <f aca="false">IF(577a!aa27=0,"",577a!aa27)</f>
        <v>#NAME?</v>
      </c>
      <c r="J17" s="190" t="e">
        <f aca="false">IF(577a!ab27=0,"",577a!ab27)</f>
        <v>#NAME?</v>
      </c>
      <c r="K17" s="190" t="e">
        <f aca="false">IF(577a!ac27=0,"",577a!ac27)</f>
        <v>#NAME?</v>
      </c>
      <c r="L17" s="190" t="e">
        <f aca="false">IF(577a!ad27=0,"",577a!ad27)</f>
        <v>#NAME?</v>
      </c>
      <c r="M17" s="191" t="e">
        <f aca="false">MIN(G17:L17)</f>
        <v>#NAME?</v>
      </c>
    </row>
    <row collapsed="false" customFormat="false" customHeight="true" hidden="false" ht="13.5" outlineLevel="0" r="18">
      <c r="A18" s="189" t="e">
        <f aca="false">ROUND(577a!s28,1)</f>
        <v>#NAME?</v>
      </c>
      <c r="B18" s="189" t="e">
        <f aca="false">ROUND(577a!t28,1)</f>
        <v>#NAME?</v>
      </c>
      <c r="C18" s="189" t="e">
        <f aca="false">ROUND(577a!u28,1)</f>
        <v>#NAME?</v>
      </c>
      <c r="D18" s="189" t="e">
        <f aca="false">ROUND(577a!v28,1)</f>
        <v>#NAME?</v>
      </c>
      <c r="E18" s="189" t="e">
        <f aca="false">ROUND(577a!w28,1)</f>
        <v>#NAME?</v>
      </c>
      <c r="F18" s="189" t="e">
        <f aca="false">ROUND(577a!x28,1)</f>
        <v>#NAME?</v>
      </c>
      <c r="G18" s="190" t="e">
        <f aca="false">IF(577a!y28=0,"",577a!y28)</f>
        <v>#NAME?</v>
      </c>
      <c r="H18" s="190" t="e">
        <f aca="false">IF(577a!z28=0,"",577a!z28)</f>
        <v>#NAME?</v>
      </c>
      <c r="I18" s="190" t="e">
        <f aca="false">IF(577a!aa28=0,"",577a!aa28)</f>
        <v>#NAME?</v>
      </c>
      <c r="J18" s="190" t="e">
        <f aca="false">IF(577a!ab28=0,"",577a!ab28)</f>
        <v>#NAME?</v>
      </c>
      <c r="K18" s="190" t="e">
        <f aca="false">IF(577a!ac28=0,"",577a!ac28)</f>
        <v>#NAME?</v>
      </c>
      <c r="L18" s="190" t="e">
        <f aca="false">IF(577a!ad28=0,"",577a!ad28)</f>
        <v>#NAME?</v>
      </c>
      <c r="M18" s="191" t="e">
        <f aca="false">MIN(G18:L18)</f>
        <v>#NAME?</v>
      </c>
    </row>
    <row collapsed="false" customFormat="false" customHeight="true" hidden="false" ht="13.5" outlineLevel="0" r="19">
      <c r="A19" s="189" t="e">
        <f aca="false">ROUND(577a!s29,1)</f>
        <v>#NAME?</v>
      </c>
      <c r="B19" s="189" t="e">
        <f aca="false">ROUND(577a!t29,1)</f>
        <v>#NAME?</v>
      </c>
      <c r="C19" s="189" t="e">
        <f aca="false">ROUND(577a!u29,1)</f>
        <v>#NAME?</v>
      </c>
      <c r="D19" s="189" t="e">
        <f aca="false">ROUND(577a!v29,1)</f>
        <v>#NAME?</v>
      </c>
      <c r="E19" s="189" t="e">
        <f aca="false">ROUND(577a!w29,1)</f>
        <v>#NAME?</v>
      </c>
      <c r="F19" s="189" t="e">
        <f aca="false">ROUND(577a!x29,1)</f>
        <v>#NAME?</v>
      </c>
      <c r="G19" s="190" t="e">
        <f aca="false">IF(577a!y29=0,"",577a!y29)</f>
        <v>#NAME?</v>
      </c>
      <c r="H19" s="190" t="e">
        <f aca="false">IF(577a!z29=0,"",577a!z29)</f>
        <v>#NAME?</v>
      </c>
      <c r="I19" s="190" t="e">
        <f aca="false">IF(577a!aa29=0,"",577a!aa29)</f>
        <v>#NAME?</v>
      </c>
      <c r="J19" s="190" t="e">
        <f aca="false">IF(577a!ab29=0,"",577a!ab29)</f>
        <v>#NAME?</v>
      </c>
      <c r="K19" s="190" t="e">
        <f aca="false">IF(577a!ac29=0,"",577a!ac29)</f>
        <v>#NAME?</v>
      </c>
      <c r="L19" s="190" t="e">
        <f aca="false">IF(577a!ad29=0,"",577a!ad29)</f>
        <v>#NAME?</v>
      </c>
      <c r="M19" s="191" t="e">
        <f aca="false">MIN(G19:L19)</f>
        <v>#NAME?</v>
      </c>
    </row>
    <row collapsed="false" customFormat="false" customHeight="true" hidden="false" ht="13.5" outlineLevel="0" r="20">
      <c r="A20" s="189" t="e">
        <f aca="false">ROUND(577a!s30,1)</f>
        <v>#NAME?</v>
      </c>
      <c r="B20" s="189" t="e">
        <f aca="false">ROUND(577a!t30,1)</f>
        <v>#NAME?</v>
      </c>
      <c r="C20" s="189" t="e">
        <f aca="false">ROUND(577a!u30,1)</f>
        <v>#NAME?</v>
      </c>
      <c r="D20" s="189" t="e">
        <f aca="false">ROUND(577a!v30,1)</f>
        <v>#NAME?</v>
      </c>
      <c r="E20" s="189" t="e">
        <f aca="false">ROUND(577a!w30,1)</f>
        <v>#NAME?</v>
      </c>
      <c r="F20" s="189" t="e">
        <f aca="false">ROUND(577a!x30,1)</f>
        <v>#NAME?</v>
      </c>
      <c r="G20" s="190" t="e">
        <f aca="false">IF(577a!y30=0,"",577a!y30)</f>
        <v>#NAME?</v>
      </c>
      <c r="H20" s="190" t="e">
        <f aca="false">IF(577a!z30=0,"",577a!z30)</f>
        <v>#NAME?</v>
      </c>
      <c r="I20" s="190" t="e">
        <f aca="false">IF(577a!aa30=0,"",577a!aa30)</f>
        <v>#NAME?</v>
      </c>
      <c r="J20" s="190" t="e">
        <f aca="false">IF(577a!ab30=0,"",577a!ab30)</f>
        <v>#NAME?</v>
      </c>
      <c r="K20" s="190" t="e">
        <f aca="false">IF(577a!ac30=0,"",577a!ac30)</f>
        <v>#NAME?</v>
      </c>
      <c r="L20" s="190" t="e">
        <f aca="false">IF(577a!ad30=0,"",577a!ad30)</f>
        <v>#NAME?</v>
      </c>
      <c r="M20" s="191" t="e">
        <f aca="false">MIN(G20:L20)</f>
        <v>#NAME?</v>
      </c>
    </row>
    <row collapsed="false" customFormat="false" customHeight="true" hidden="false" ht="13.5" outlineLevel="0" r="21">
      <c r="A21" s="189" t="e">
        <f aca="false">ROUND(577a!s31,1)</f>
        <v>#NAME?</v>
      </c>
      <c r="B21" s="189" t="e">
        <f aca="false">ROUND(577a!t31,1)</f>
        <v>#NAME?</v>
      </c>
      <c r="C21" s="189" t="e">
        <f aca="false">ROUND(577a!u31,1)</f>
        <v>#NAME?</v>
      </c>
      <c r="D21" s="189" t="e">
        <f aca="false">ROUND(577a!v31,1)</f>
        <v>#NAME?</v>
      </c>
      <c r="E21" s="189" t="e">
        <f aca="false">ROUND(577a!w31,1)</f>
        <v>#NAME?</v>
      </c>
      <c r="F21" s="189" t="e">
        <f aca="false">ROUND(577a!x31,1)</f>
        <v>#NAME?</v>
      </c>
      <c r="G21" s="190" t="e">
        <f aca="false">IF(577a!y31=0,"",577a!y31)</f>
        <v>#NAME?</v>
      </c>
      <c r="H21" s="190" t="e">
        <f aca="false">IF(577a!z31=0,"",577a!z31)</f>
        <v>#NAME?</v>
      </c>
      <c r="I21" s="190" t="e">
        <f aca="false">IF(577a!aa31=0,"",577a!aa31)</f>
        <v>#NAME?</v>
      </c>
      <c r="J21" s="190" t="e">
        <f aca="false">IF(577a!ab31=0,"",577a!ab31)</f>
        <v>#NAME?</v>
      </c>
      <c r="K21" s="190" t="e">
        <f aca="false">IF(577a!ac31=0,"",577a!ac31)</f>
        <v>#NAME?</v>
      </c>
      <c r="L21" s="190" t="e">
        <f aca="false">IF(577a!ad31=0,"",577a!ad31)</f>
        <v>#NAME?</v>
      </c>
      <c r="M21" s="191" t="e">
        <f aca="false">MIN(G21:L21)</f>
        <v>#NAME?</v>
      </c>
    </row>
    <row collapsed="false" customFormat="false" customHeight="true" hidden="false" ht="13.5" outlineLevel="0" r="22">
      <c r="A22" s="189" t="e">
        <f aca="false">ROUND(577a!s32,1)</f>
        <v>#NAME?</v>
      </c>
      <c r="B22" s="189" t="e">
        <f aca="false">ROUND(577a!t32,1)</f>
        <v>#NAME?</v>
      </c>
      <c r="C22" s="189" t="e">
        <f aca="false">ROUND(577a!u32,1)</f>
        <v>#NAME?</v>
      </c>
      <c r="D22" s="189" t="e">
        <f aca="false">ROUND(577a!v32,1)</f>
        <v>#NAME?</v>
      </c>
      <c r="E22" s="189" t="e">
        <f aca="false">ROUND(577a!w32,1)</f>
        <v>#NAME?</v>
      </c>
      <c r="F22" s="189" t="e">
        <f aca="false">ROUND(577a!x32,1)</f>
        <v>#NAME?</v>
      </c>
      <c r="G22" s="190" t="e">
        <f aca="false">IF(577a!y32=0,"",577a!y32)</f>
        <v>#NAME?</v>
      </c>
      <c r="H22" s="190" t="e">
        <f aca="false">IF(577a!z32=0,"",577a!z32)</f>
        <v>#NAME?</v>
      </c>
      <c r="I22" s="190" t="e">
        <f aca="false">IF(577a!aa32=0,"",577a!aa32)</f>
        <v>#NAME?</v>
      </c>
      <c r="J22" s="190" t="e">
        <f aca="false">IF(577a!ab32=0,"",577a!ab32)</f>
        <v>#NAME?</v>
      </c>
      <c r="K22" s="190" t="e">
        <f aca="false">IF(577a!ac32=0,"",577a!ac32)</f>
        <v>#NAME?</v>
      </c>
      <c r="L22" s="190" t="e">
        <f aca="false">IF(577a!ad32=0,"",577a!ad32)</f>
        <v>#NAME?</v>
      </c>
      <c r="M22" s="191" t="e">
        <f aca="false">MIN(G22:L22)</f>
        <v>#NAME?</v>
      </c>
    </row>
    <row collapsed="false" customFormat="false" customHeight="true" hidden="false" ht="13.5" outlineLevel="0" r="23">
      <c r="A23" s="189" t="e">
        <f aca="false">ROUND(577a!s33,1)</f>
        <v>#NAME?</v>
      </c>
      <c r="B23" s="189" t="e">
        <f aca="false">ROUND(577a!t33,1)</f>
        <v>#NAME?</v>
      </c>
      <c r="C23" s="189" t="e">
        <f aca="false">ROUND(577a!u33,1)</f>
        <v>#NAME?</v>
      </c>
      <c r="D23" s="189" t="e">
        <f aca="false">ROUND(577a!v33,1)</f>
        <v>#NAME?</v>
      </c>
      <c r="E23" s="189" t="e">
        <f aca="false">ROUND(577a!w33,1)</f>
        <v>#NAME?</v>
      </c>
      <c r="F23" s="189" t="e">
        <f aca="false">ROUND(577a!x33,1)</f>
        <v>#NAME?</v>
      </c>
      <c r="G23" s="190" t="e">
        <f aca="false">IF(577a!y33=0,"",577a!y33)</f>
        <v>#NAME?</v>
      </c>
      <c r="H23" s="190" t="e">
        <f aca="false">IF(577a!z33=0,"",577a!z33)</f>
        <v>#NAME?</v>
      </c>
      <c r="I23" s="190" t="e">
        <f aca="false">IF(577a!aa33=0,"",577a!aa33)</f>
        <v>#NAME?</v>
      </c>
      <c r="J23" s="190" t="e">
        <f aca="false">IF(577a!ab33=0,"",577a!ab33)</f>
        <v>#NAME?</v>
      </c>
      <c r="K23" s="190" t="e">
        <f aca="false">IF(577a!ac33=0,"",577a!ac33)</f>
        <v>#NAME?</v>
      </c>
      <c r="L23" s="190" t="e">
        <f aca="false">IF(577a!ad33=0,"",577a!ad33)</f>
        <v>#NAME?</v>
      </c>
      <c r="M23" s="191" t="e">
        <f aca="false">MIN(G23:L23)</f>
        <v>#NAME?</v>
      </c>
    </row>
    <row collapsed="false" customFormat="false" customHeight="true" hidden="false" ht="13.5" outlineLevel="0" r="24">
      <c r="A24" s="189" t="e">
        <f aca="false">ROUND(577a!s34,1)</f>
        <v>#NAME?</v>
      </c>
      <c r="B24" s="189" t="e">
        <f aca="false">ROUND(577a!t34,1)</f>
        <v>#NAME?</v>
      </c>
      <c r="C24" s="189" t="e">
        <f aca="false">ROUND(577a!u34,1)</f>
        <v>#NAME?</v>
      </c>
      <c r="D24" s="189" t="e">
        <f aca="false">ROUND(577a!v34,1)</f>
        <v>#NAME?</v>
      </c>
      <c r="E24" s="189" t="e">
        <f aca="false">ROUND(577a!w34,1)</f>
        <v>#NAME?</v>
      </c>
      <c r="F24" s="189" t="e">
        <f aca="false">ROUND(577a!x34,1)</f>
        <v>#NAME?</v>
      </c>
      <c r="G24" s="190" t="e">
        <f aca="false">IF(577a!y34=0,"",577a!y34)</f>
        <v>#NAME?</v>
      </c>
      <c r="H24" s="190" t="e">
        <f aca="false">IF(577a!z34=0,"",577a!z34)</f>
        <v>#NAME?</v>
      </c>
      <c r="I24" s="190" t="e">
        <f aca="false">IF(577a!aa34=0,"",577a!aa34)</f>
        <v>#NAME?</v>
      </c>
      <c r="J24" s="190" t="e">
        <f aca="false">IF(577a!ab34=0,"",577a!ab34)</f>
        <v>#NAME?</v>
      </c>
      <c r="K24" s="190" t="e">
        <f aca="false">IF(577a!ac34=0,"",577a!ac34)</f>
        <v>#NAME?</v>
      </c>
      <c r="L24" s="190" t="e">
        <f aca="false">IF(577a!ad34=0,"",577a!ad34)</f>
        <v>#NAME?</v>
      </c>
      <c r="M24" s="191" t="e">
        <f aca="false">MIN(G24:L24)</f>
        <v>#NAME?</v>
      </c>
    </row>
    <row collapsed="false" customFormat="false" customHeight="true" hidden="false" ht="13.5" outlineLevel="0" r="25">
      <c r="A25" s="189" t="e">
        <f aca="false">ROUND(577a!s35,1)</f>
        <v>#NAME?</v>
      </c>
      <c r="B25" s="189" t="e">
        <f aca="false">ROUND(577a!t35,1)</f>
        <v>#NAME?</v>
      </c>
      <c r="C25" s="189" t="e">
        <f aca="false">ROUND(577a!u35,1)</f>
        <v>#NAME?</v>
      </c>
      <c r="D25" s="189" t="e">
        <f aca="false">ROUND(577a!v35,1)</f>
        <v>#NAME?</v>
      </c>
      <c r="E25" s="189" t="e">
        <f aca="false">ROUND(577a!w35,1)</f>
        <v>#NAME?</v>
      </c>
      <c r="F25" s="189" t="e">
        <f aca="false">ROUND(577a!x35,1)</f>
        <v>#NAME?</v>
      </c>
      <c r="G25" s="190" t="e">
        <f aca="false">IF(577a!y35=0,"",577a!y35)</f>
        <v>#NAME?</v>
      </c>
      <c r="H25" s="190" t="e">
        <f aca="false">IF(577a!z35=0,"",577a!z35)</f>
        <v>#NAME?</v>
      </c>
      <c r="I25" s="190" t="e">
        <f aca="false">IF(577a!aa35=0,"",577a!aa35)</f>
        <v>#NAME?</v>
      </c>
      <c r="J25" s="190" t="e">
        <f aca="false">IF(577a!ab35=0,"",577a!ab35)</f>
        <v>#NAME?</v>
      </c>
      <c r="K25" s="190" t="e">
        <f aca="false">IF(577a!ac35=0,"",577a!ac35)</f>
        <v>#NAME?</v>
      </c>
      <c r="L25" s="190" t="e">
        <f aca="false">IF(577a!ad35=0,"",577a!ad35)</f>
        <v>#NAME?</v>
      </c>
      <c r="M25" s="191" t="e">
        <f aca="false">MIN(G25:L25)</f>
        <v>#NAME?</v>
      </c>
    </row>
    <row collapsed="false" customFormat="false" customHeight="true" hidden="false" ht="13.5" outlineLevel="0" r="26">
      <c r="A26" s="189" t="e">
        <f aca="false">ROUND(577a!s36,1)</f>
        <v>#NAME?</v>
      </c>
      <c r="B26" s="189" t="e">
        <f aca="false">ROUND(577a!t36,1)</f>
        <v>#NAME?</v>
      </c>
      <c r="C26" s="189" t="e">
        <f aca="false">ROUND(577a!u36,1)</f>
        <v>#NAME?</v>
      </c>
      <c r="D26" s="189" t="e">
        <f aca="false">ROUND(577a!v36,1)</f>
        <v>#NAME?</v>
      </c>
      <c r="E26" s="189" t="e">
        <f aca="false">ROUND(577a!w36,1)</f>
        <v>#NAME?</v>
      </c>
      <c r="F26" s="189" t="e">
        <f aca="false">ROUND(577a!x36,1)</f>
        <v>#NAME?</v>
      </c>
      <c r="G26" s="190" t="e">
        <f aca="false">IF(577a!y36=0,"",577a!y36)</f>
        <v>#NAME?</v>
      </c>
      <c r="H26" s="190" t="e">
        <f aca="false">IF(577a!z36=0,"",577a!z36)</f>
        <v>#NAME?</v>
      </c>
      <c r="I26" s="190" t="e">
        <f aca="false">IF(577a!aa36=0,"",577a!aa36)</f>
        <v>#NAME?</v>
      </c>
      <c r="J26" s="190" t="e">
        <f aca="false">IF(577a!ab36=0,"",577a!ab36)</f>
        <v>#NAME?</v>
      </c>
      <c r="K26" s="190" t="e">
        <f aca="false">IF(577a!ac36=0,"",577a!ac36)</f>
        <v>#NAME?</v>
      </c>
      <c r="L26" s="190" t="e">
        <f aca="false">IF(577a!ad36=0,"",577a!ad36)</f>
        <v>#NAME?</v>
      </c>
      <c r="M26" s="191" t="e">
        <f aca="false">MIN(G26:L26)</f>
        <v>#NAME?</v>
      </c>
    </row>
    <row collapsed="false" customFormat="false" customHeight="true" hidden="false" ht="13.5" outlineLevel="0" r="27">
      <c r="A27" s="189" t="e">
        <f aca="false">ROUND(577a!s37,1)</f>
        <v>#NAME?</v>
      </c>
      <c r="B27" s="189" t="e">
        <f aca="false">ROUND(577a!t37,1)</f>
        <v>#NAME?</v>
      </c>
      <c r="C27" s="189" t="e">
        <f aca="false">ROUND(577a!u37,1)</f>
        <v>#NAME?</v>
      </c>
      <c r="D27" s="189" t="e">
        <f aca="false">ROUND(577a!v37,1)</f>
        <v>#NAME?</v>
      </c>
      <c r="E27" s="189" t="e">
        <f aca="false">ROUND(577a!w37,1)</f>
        <v>#NAME?</v>
      </c>
      <c r="F27" s="189" t="e">
        <f aca="false">ROUND(577a!x37,1)</f>
        <v>#NAME?</v>
      </c>
      <c r="G27" s="190" t="e">
        <f aca="false">IF(577a!y37=0,"",577a!y37)</f>
        <v>#NAME?</v>
      </c>
      <c r="H27" s="190" t="e">
        <f aca="false">IF(577a!z37=0,"",577a!z37)</f>
        <v>#NAME?</v>
      </c>
      <c r="I27" s="190" t="e">
        <f aca="false">IF(577a!aa37=0,"",577a!aa37)</f>
        <v>#NAME?</v>
      </c>
      <c r="J27" s="190" t="e">
        <f aca="false">IF(577a!ab37=0,"",577a!ab37)</f>
        <v>#NAME?</v>
      </c>
      <c r="K27" s="190" t="e">
        <f aca="false">IF(577a!ac37=0,"",577a!ac37)</f>
        <v>#NAME?</v>
      </c>
      <c r="L27" s="190" t="e">
        <f aca="false">IF(577a!ad37=0,"",577a!ad37)</f>
        <v>#NAME?</v>
      </c>
      <c r="M27" s="191" t="e">
        <f aca="false">MIN(G27:L27)</f>
        <v>#NAME?</v>
      </c>
    </row>
    <row collapsed="false" customFormat="false" customHeight="true" hidden="false" ht="13.5" outlineLevel="0" r="28">
      <c r="A28" s="189" t="e">
        <f aca="false">ROUND(577a!s38,1)</f>
        <v>#NAME?</v>
      </c>
      <c r="B28" s="189" t="e">
        <f aca="false">ROUND(577a!t38,1)</f>
        <v>#NAME?</v>
      </c>
      <c r="C28" s="189" t="e">
        <f aca="false">ROUND(577a!u38,1)</f>
        <v>#NAME?</v>
      </c>
      <c r="D28" s="189" t="e">
        <f aca="false">ROUND(577a!v38,1)</f>
        <v>#NAME?</v>
      </c>
      <c r="E28" s="189" t="e">
        <f aca="false">ROUND(577a!w38,1)</f>
        <v>#NAME?</v>
      </c>
      <c r="F28" s="189" t="e">
        <f aca="false">ROUND(577a!x38,1)</f>
        <v>#NAME?</v>
      </c>
      <c r="G28" s="190" t="e">
        <f aca="false">IF(577a!y38=0,"",577a!y38)</f>
        <v>#NAME?</v>
      </c>
      <c r="H28" s="190" t="e">
        <f aca="false">IF(577a!z38=0,"",577a!z38)</f>
        <v>#NAME?</v>
      </c>
      <c r="I28" s="190" t="e">
        <f aca="false">IF(577a!aa38=0,"",577a!aa38)</f>
        <v>#NAME?</v>
      </c>
      <c r="J28" s="190" t="e">
        <f aca="false">IF(577a!ab38=0,"",577a!ab38)</f>
        <v>#NAME?</v>
      </c>
      <c r="K28" s="190" t="e">
        <f aca="false">IF(577a!ac38=0,"",577a!ac38)</f>
        <v>#NAME?</v>
      </c>
      <c r="L28" s="190" t="e">
        <f aca="false">IF(577a!ad38=0,"",577a!ad38)</f>
        <v>#NAME?</v>
      </c>
      <c r="M28" s="191" t="e">
        <f aca="false">MIN(G28:L28)</f>
        <v>#NAME?</v>
      </c>
    </row>
    <row collapsed="false" customFormat="false" customHeight="true" hidden="false" ht="13.5" outlineLevel="0" r="29">
      <c r="A29" s="189" t="e">
        <f aca="false">ROUND(577a!s39,1)</f>
        <v>#NAME?</v>
      </c>
      <c r="B29" s="189" t="e">
        <f aca="false">ROUND(577a!t39,1)</f>
        <v>#NAME?</v>
      </c>
      <c r="C29" s="189" t="e">
        <f aca="false">ROUND(577a!u39,1)</f>
        <v>#NAME?</v>
      </c>
      <c r="D29" s="189" t="e">
        <f aca="false">ROUND(577a!v39,1)</f>
        <v>#NAME?</v>
      </c>
      <c r="E29" s="189" t="e">
        <f aca="false">ROUND(577a!w39,1)</f>
        <v>#NAME?</v>
      </c>
      <c r="F29" s="189" t="e">
        <f aca="false">ROUND(577a!x39,1)</f>
        <v>#NAME?</v>
      </c>
      <c r="G29" s="190" t="e">
        <f aca="false">IF(577a!y39=0,"",577a!y39)</f>
        <v>#NAME?</v>
      </c>
      <c r="H29" s="190" t="e">
        <f aca="false">IF(577a!z39=0,"",577a!z39)</f>
        <v>#NAME?</v>
      </c>
      <c r="I29" s="190" t="e">
        <f aca="false">IF(577a!aa39=0,"",577a!aa39)</f>
        <v>#NAME?</v>
      </c>
      <c r="J29" s="190" t="e">
        <f aca="false">IF(577a!ab39=0,"",577a!ab39)</f>
        <v>#NAME?</v>
      </c>
      <c r="K29" s="190" t="e">
        <f aca="false">IF(577a!ac39=0,"",577a!ac39)</f>
        <v>#NAME?</v>
      </c>
      <c r="L29" s="190" t="e">
        <f aca="false">IF(577a!ad39=0,"",577a!ad39)</f>
        <v>#NAME?</v>
      </c>
      <c r="M29" s="191" t="e">
        <f aca="false">MIN(G29:L29)</f>
        <v>#NAME?</v>
      </c>
    </row>
    <row collapsed="false" customFormat="false" customHeight="true" hidden="false" ht="13.5" outlineLevel="0" r="30">
      <c r="A30" s="189" t="e">
        <f aca="false">ROUND(577a!s40,1)</f>
        <v>#NAME?</v>
      </c>
      <c r="B30" s="189" t="e">
        <f aca="false">ROUND(577a!t40,1)</f>
        <v>#NAME?</v>
      </c>
      <c r="C30" s="189" t="e">
        <f aca="false">ROUND(577a!u40,1)</f>
        <v>#NAME?</v>
      </c>
      <c r="D30" s="189" t="e">
        <f aca="false">ROUND(577a!v40,1)</f>
        <v>#NAME?</v>
      </c>
      <c r="E30" s="189" t="e">
        <f aca="false">ROUND(577a!w40,1)</f>
        <v>#NAME?</v>
      </c>
      <c r="F30" s="189" t="e">
        <f aca="false">ROUND(577a!x40,1)</f>
        <v>#NAME?</v>
      </c>
      <c r="G30" s="190" t="e">
        <f aca="false">IF(577a!y40=0,"",577a!y40)</f>
        <v>#NAME?</v>
      </c>
      <c r="H30" s="190" t="e">
        <f aca="false">IF(577a!z40=0,"",577a!z40)</f>
        <v>#NAME?</v>
      </c>
      <c r="I30" s="190" t="e">
        <f aca="false">IF(577a!aa40=0,"",577a!aa40)</f>
        <v>#NAME?</v>
      </c>
      <c r="J30" s="190" t="e">
        <f aca="false">IF(577a!ab40=0,"",577a!ab40)</f>
        <v>#NAME?</v>
      </c>
      <c r="K30" s="190" t="e">
        <f aca="false">IF(577a!ac40=0,"",577a!ac40)</f>
        <v>#NAME?</v>
      </c>
      <c r="L30" s="190" t="e">
        <f aca="false">IF(577a!ad40=0,"",577a!ad40)</f>
        <v>#NAME?</v>
      </c>
      <c r="M30" s="191" t="e">
        <f aca="false">MIN(G30:L30)</f>
        <v>#NAME?</v>
      </c>
    </row>
    <row collapsed="false" customFormat="false" customHeight="true" hidden="false" ht="12.75" outlineLevel="0" r="31">
      <c r="A31" s="189" t="e">
        <f aca="false">ROUND(577a!s41,1)</f>
        <v>#NAME?</v>
      </c>
      <c r="B31" s="189" t="e">
        <f aca="false">ROUND(577a!t41,1)</f>
        <v>#NAME?</v>
      </c>
      <c r="C31" s="189" t="e">
        <f aca="false">ROUND(577a!u41,1)</f>
        <v>#NAME?</v>
      </c>
      <c r="D31" s="189" t="e">
        <f aca="false">ROUND(577a!v41,1)</f>
        <v>#NAME?</v>
      </c>
      <c r="E31" s="189" t="e">
        <f aca="false">ROUND(577a!w41,1)</f>
        <v>#NAME?</v>
      </c>
      <c r="F31" s="189" t="e">
        <f aca="false">ROUND(577a!x41,1)</f>
        <v>#NAME?</v>
      </c>
      <c r="G31" s="190" t="e">
        <f aca="false">IF(577a!y41=0,"",577a!y41)</f>
        <v>#NAME?</v>
      </c>
      <c r="H31" s="190" t="e">
        <f aca="false">IF(577a!z41=0,"",577a!z41)</f>
        <v>#NAME?</v>
      </c>
      <c r="I31" s="190" t="e">
        <f aca="false">IF(577a!aa41=0,"",577a!aa41)</f>
        <v>#NAME?</v>
      </c>
      <c r="J31" s="190" t="e">
        <f aca="false">IF(577a!ab41=0,"",577a!ab41)</f>
        <v>#NAME?</v>
      </c>
      <c r="K31" s="190" t="e">
        <f aca="false">IF(577a!ac41=0,"",577a!ac41)</f>
        <v>#NAME?</v>
      </c>
      <c r="L31" s="190" t="e">
        <f aca="false">IF(577a!ad41=0,"",577a!ad41)</f>
        <v>#NAME?</v>
      </c>
      <c r="M31" s="191" t="e">
        <f aca="false">MIN(G31:L31)</f>
        <v>#NAME?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1997-05-01T08:11:54.00Z</dcterms:created>
  <dc:creator>ANDREA HEATH</dc:creator>
  <cp:lastModifiedBy>Steve Webb</cp:lastModifiedBy>
  <cp:lastPrinted>2008-06-19T10:02:37.00Z</cp:lastPrinted>
  <dcterms:modified xsi:type="dcterms:W3CDTF">2008-07-30T09:26:49.00Z</dcterms:modified>
  <cp:revision>0</cp:revision>
</cp:coreProperties>
</file>