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5b2b106b20b94a/"/>
    </mc:Choice>
  </mc:AlternateContent>
  <xr:revisionPtr revIDLastSave="39" documentId="14_{D190C38C-420C-46DB-9A4C-AE64C526F10B}" xr6:coauthVersionLast="47" xr6:coauthVersionMax="47" xr10:uidLastSave="{76B261B9-58EF-4D6D-A8FF-DFA19A5B8655}"/>
  <bookViews>
    <workbookView xWindow="1536" yWindow="1536" windowWidth="17280" windowHeight="8880" xr2:uid="{355A9676-4958-4F24-88F9-1480245042B3}"/>
  </bookViews>
  <sheets>
    <sheet name="Model" sheetId="1" r:id="rId1"/>
  </sheets>
  <definedNames>
    <definedName name="solver_adj" localSheetId="0" hidden="1">Model!#REF!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Model!$I$3:$I$14</definedName>
    <definedName name="solver_lhs2" localSheetId="0" hidden="1">Model!$I$3:$I$14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Model!$O$34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6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1" l="1"/>
  <c r="J66" i="1" s="1"/>
  <c r="J33" i="1"/>
  <c r="J34" i="1"/>
  <c r="J64" i="1"/>
  <c r="J48" i="1"/>
  <c r="J49" i="1"/>
  <c r="I50" i="1"/>
  <c r="J50" i="1" s="1"/>
  <c r="H65" i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G65" i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F65" i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D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64" i="1"/>
  <c r="E64" i="1"/>
  <c r="L64" i="1" s="1"/>
  <c r="H49" i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G49" i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F49" i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D49" i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K48" i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H34" i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G34" i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K33" i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K2" i="1"/>
  <c r="J19" i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K18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J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J65" i="1" l="1"/>
  <c r="L65" i="1" s="1"/>
  <c r="K3" i="1"/>
  <c r="N3" i="1" s="1"/>
  <c r="L33" i="1"/>
  <c r="L34" i="1" s="1"/>
  <c r="E65" i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L48" i="1"/>
  <c r="L2" i="1"/>
  <c r="L3" i="1" s="1"/>
  <c r="M3" i="1" s="1"/>
  <c r="I67" i="1"/>
  <c r="J67" i="1" s="1"/>
  <c r="L49" i="1"/>
  <c r="M49" i="1" s="1"/>
  <c r="K49" i="1"/>
  <c r="N49" i="1" s="1"/>
  <c r="I51" i="1"/>
  <c r="J51" i="1" s="1"/>
  <c r="I35" i="1"/>
  <c r="L18" i="1"/>
  <c r="L19" i="1" s="1"/>
  <c r="K65" i="1" l="1"/>
  <c r="N65" i="1" s="1"/>
  <c r="I36" i="1"/>
  <c r="J35" i="1"/>
  <c r="L35" i="1" s="1"/>
  <c r="K34" i="1"/>
  <c r="N34" i="1" s="1"/>
  <c r="K19" i="1"/>
  <c r="I68" i="1"/>
  <c r="J68" i="1" s="1"/>
  <c r="L66" i="1"/>
  <c r="M65" i="1"/>
  <c r="K50" i="1"/>
  <c r="N50" i="1" s="1"/>
  <c r="L50" i="1"/>
  <c r="M50" i="1" s="1"/>
  <c r="I52" i="1"/>
  <c r="J52" i="1" s="1"/>
  <c r="O49" i="1"/>
  <c r="M34" i="1"/>
  <c r="O3" i="1"/>
  <c r="M19" i="1"/>
  <c r="J20" i="1"/>
  <c r="J4" i="1"/>
  <c r="K4" i="1" s="1"/>
  <c r="N4" i="1" s="1"/>
  <c r="K66" i="1" l="1"/>
  <c r="K67" i="1" s="1"/>
  <c r="N19" i="1"/>
  <c r="K20" i="1"/>
  <c r="N20" i="1" s="1"/>
  <c r="I37" i="1"/>
  <c r="J36" i="1"/>
  <c r="O19" i="1"/>
  <c r="K35" i="1"/>
  <c r="N35" i="1" s="1"/>
  <c r="O65" i="1"/>
  <c r="M66" i="1"/>
  <c r="L67" i="1"/>
  <c r="I69" i="1"/>
  <c r="J69" i="1" s="1"/>
  <c r="L51" i="1"/>
  <c r="M51" i="1" s="1"/>
  <c r="K51" i="1"/>
  <c r="N51" i="1" s="1"/>
  <c r="I53" i="1"/>
  <c r="O50" i="1"/>
  <c r="O34" i="1"/>
  <c r="M35" i="1"/>
  <c r="J21" i="1"/>
  <c r="L20" i="1"/>
  <c r="L4" i="1"/>
  <c r="M4" i="1" s="1"/>
  <c r="J5" i="1"/>
  <c r="N66" i="1" l="1"/>
  <c r="O66" i="1" s="1"/>
  <c r="I38" i="1"/>
  <c r="J37" i="1"/>
  <c r="I54" i="1"/>
  <c r="J54" i="1" s="1"/>
  <c r="J53" i="1"/>
  <c r="L36" i="1"/>
  <c r="M36" i="1" s="1"/>
  <c r="K36" i="1"/>
  <c r="N36" i="1" s="1"/>
  <c r="K21" i="1"/>
  <c r="N21" i="1" s="1"/>
  <c r="L52" i="1"/>
  <c r="M52" i="1" s="1"/>
  <c r="I70" i="1"/>
  <c r="J70" i="1" s="1"/>
  <c r="L68" i="1"/>
  <c r="M67" i="1"/>
  <c r="N67" i="1"/>
  <c r="K68" i="1"/>
  <c r="O51" i="1"/>
  <c r="K52" i="1"/>
  <c r="N52" i="1" s="1"/>
  <c r="O35" i="1"/>
  <c r="L21" i="1"/>
  <c r="M20" i="1"/>
  <c r="O20" i="1" s="1"/>
  <c r="J22" i="1"/>
  <c r="J6" i="1"/>
  <c r="J7" i="1" s="1"/>
  <c r="O4" i="1"/>
  <c r="L5" i="1"/>
  <c r="M5" i="1" s="1"/>
  <c r="K5" i="1"/>
  <c r="L53" i="1" l="1"/>
  <c r="M53" i="1" s="1"/>
  <c r="I55" i="1"/>
  <c r="J55" i="1" s="1"/>
  <c r="I39" i="1"/>
  <c r="J38" i="1"/>
  <c r="K37" i="1"/>
  <c r="L37" i="1"/>
  <c r="M37" i="1" s="1"/>
  <c r="O67" i="1"/>
  <c r="N68" i="1"/>
  <c r="K69" i="1"/>
  <c r="L69" i="1"/>
  <c r="M68" i="1"/>
  <c r="I71" i="1"/>
  <c r="J71" i="1" s="1"/>
  <c r="K53" i="1"/>
  <c r="O52" i="1"/>
  <c r="O36" i="1"/>
  <c r="K22" i="1"/>
  <c r="N22" i="1" s="1"/>
  <c r="J23" i="1"/>
  <c r="L22" i="1"/>
  <c r="M21" i="1"/>
  <c r="O21" i="1" s="1"/>
  <c r="L6" i="1"/>
  <c r="M6" i="1" s="1"/>
  <c r="J8" i="1"/>
  <c r="N5" i="1"/>
  <c r="K6" i="1"/>
  <c r="O68" i="1" l="1"/>
  <c r="J39" i="1"/>
  <c r="I40" i="1"/>
  <c r="L54" i="1"/>
  <c r="M54" i="1" s="1"/>
  <c r="I56" i="1"/>
  <c r="J56" i="1" s="1"/>
  <c r="K54" i="1"/>
  <c r="N54" i="1" s="1"/>
  <c r="L38" i="1"/>
  <c r="M38" i="1" s="1"/>
  <c r="K38" i="1"/>
  <c r="N37" i="1"/>
  <c r="O37" i="1" s="1"/>
  <c r="I72" i="1"/>
  <c r="J72" i="1" s="1"/>
  <c r="M69" i="1"/>
  <c r="L70" i="1"/>
  <c r="K70" i="1"/>
  <c r="N69" i="1"/>
  <c r="N53" i="1"/>
  <c r="O53" i="1" s="1"/>
  <c r="K23" i="1"/>
  <c r="N23" i="1" s="1"/>
  <c r="M22" i="1"/>
  <c r="O22" i="1" s="1"/>
  <c r="L23" i="1"/>
  <c r="J24" i="1"/>
  <c r="O5" i="1"/>
  <c r="L7" i="1"/>
  <c r="M7" i="1" s="1"/>
  <c r="N6" i="1"/>
  <c r="K7" i="1"/>
  <c r="J9" i="1"/>
  <c r="I57" i="1" l="1"/>
  <c r="J57" i="1" s="1"/>
  <c r="L39" i="1"/>
  <c r="M39" i="1" s="1"/>
  <c r="K55" i="1"/>
  <c r="L55" i="1"/>
  <c r="L56" i="1" s="1"/>
  <c r="K39" i="1"/>
  <c r="J40" i="1"/>
  <c r="I41" i="1"/>
  <c r="N38" i="1"/>
  <c r="O38" i="1" s="1"/>
  <c r="O54" i="1"/>
  <c r="K71" i="1"/>
  <c r="N70" i="1"/>
  <c r="O69" i="1"/>
  <c r="I73" i="1"/>
  <c r="J73" i="1" s="1"/>
  <c r="M70" i="1"/>
  <c r="L71" i="1"/>
  <c r="I58" i="1"/>
  <c r="J58" i="1" s="1"/>
  <c r="O6" i="1"/>
  <c r="K24" i="1"/>
  <c r="N24" i="1" s="1"/>
  <c r="J25" i="1"/>
  <c r="M23" i="1"/>
  <c r="O23" i="1" s="1"/>
  <c r="L24" i="1"/>
  <c r="L8" i="1"/>
  <c r="M8" i="1" s="1"/>
  <c r="N7" i="1"/>
  <c r="K8" i="1"/>
  <c r="J10" i="1"/>
  <c r="L40" i="1" l="1"/>
  <c r="K40" i="1"/>
  <c r="N40" i="1" s="1"/>
  <c r="K56" i="1"/>
  <c r="K57" i="1" s="1"/>
  <c r="N39" i="1"/>
  <c r="M55" i="1"/>
  <c r="N55" i="1"/>
  <c r="J41" i="1"/>
  <c r="K41" i="1" s="1"/>
  <c r="I42" i="1"/>
  <c r="O70" i="1"/>
  <c r="L72" i="1"/>
  <c r="M71" i="1"/>
  <c r="I74" i="1"/>
  <c r="J74" i="1" s="1"/>
  <c r="K72" i="1"/>
  <c r="N71" i="1"/>
  <c r="I59" i="1"/>
  <c r="J59" i="1" s="1"/>
  <c r="L57" i="1"/>
  <c r="M56" i="1"/>
  <c r="N56" i="1"/>
  <c r="M40" i="1"/>
  <c r="O39" i="1"/>
  <c r="K25" i="1"/>
  <c r="N25" i="1" s="1"/>
  <c r="J26" i="1"/>
  <c r="M24" i="1"/>
  <c r="O24" i="1" s="1"/>
  <c r="L25" i="1"/>
  <c r="O7" i="1"/>
  <c r="J11" i="1"/>
  <c r="L9" i="1"/>
  <c r="M9" i="1" s="1"/>
  <c r="K9" i="1"/>
  <c r="N8" i="1"/>
  <c r="L41" i="1" l="1"/>
  <c r="M41" i="1" s="1"/>
  <c r="O55" i="1"/>
  <c r="J42" i="1"/>
  <c r="I43" i="1"/>
  <c r="I75" i="1"/>
  <c r="J75" i="1" s="1"/>
  <c r="O71" i="1"/>
  <c r="K73" i="1"/>
  <c r="N72" i="1"/>
  <c r="L73" i="1"/>
  <c r="M72" i="1"/>
  <c r="K58" i="1"/>
  <c r="N57" i="1"/>
  <c r="O56" i="1"/>
  <c r="M57" i="1"/>
  <c r="O57" i="1" s="1"/>
  <c r="L58" i="1"/>
  <c r="O40" i="1"/>
  <c r="N41" i="1"/>
  <c r="O8" i="1"/>
  <c r="K26" i="1"/>
  <c r="N26" i="1" s="1"/>
  <c r="J27" i="1"/>
  <c r="L26" i="1"/>
  <c r="M25" i="1"/>
  <c r="O25" i="1" s="1"/>
  <c r="J12" i="1"/>
  <c r="K10" i="1"/>
  <c r="N9" i="1"/>
  <c r="L10" i="1"/>
  <c r="M10" i="1" s="1"/>
  <c r="L42" i="1" l="1"/>
  <c r="M42" i="1" s="1"/>
  <c r="J43" i="1"/>
  <c r="I44" i="1"/>
  <c r="J44" i="1" s="1"/>
  <c r="K42" i="1"/>
  <c r="O72" i="1"/>
  <c r="M73" i="1"/>
  <c r="L74" i="1"/>
  <c r="K74" i="1"/>
  <c r="N73" i="1"/>
  <c r="M58" i="1"/>
  <c r="L59" i="1"/>
  <c r="M59" i="1" s="1"/>
  <c r="N58" i="1"/>
  <c r="K59" i="1"/>
  <c r="N59" i="1" s="1"/>
  <c r="N42" i="1"/>
  <c r="O41" i="1"/>
  <c r="K27" i="1"/>
  <c r="N27" i="1" s="1"/>
  <c r="L27" i="1"/>
  <c r="M26" i="1"/>
  <c r="O26" i="1" s="1"/>
  <c r="J28" i="1"/>
  <c r="J29" i="1"/>
  <c r="J13" i="1"/>
  <c r="J14" i="1" s="1"/>
  <c r="O9" i="1"/>
  <c r="N10" i="1"/>
  <c r="K11" i="1"/>
  <c r="L11" i="1"/>
  <c r="M11" i="1" s="1"/>
  <c r="K43" i="1" l="1"/>
  <c r="N43" i="1" s="1"/>
  <c r="L43" i="1"/>
  <c r="M43" i="1" s="1"/>
  <c r="O59" i="1"/>
  <c r="O58" i="1"/>
  <c r="N74" i="1"/>
  <c r="K75" i="1"/>
  <c r="N75" i="1" s="1"/>
  <c r="M74" i="1"/>
  <c r="L75" i="1"/>
  <c r="M75" i="1" s="1"/>
  <c r="O73" i="1"/>
  <c r="O42" i="1"/>
  <c r="K28" i="1"/>
  <c r="N28" i="1" s="1"/>
  <c r="M27" i="1"/>
  <c r="O27" i="1" s="1"/>
  <c r="L28" i="1"/>
  <c r="L12" i="1"/>
  <c r="M12" i="1" s="1"/>
  <c r="K12" i="1"/>
  <c r="N11" i="1"/>
  <c r="O10" i="1"/>
  <c r="O74" i="1" l="1"/>
  <c r="O75" i="1"/>
  <c r="P50" i="1"/>
  <c r="P59" i="1"/>
  <c r="P49" i="1"/>
  <c r="P53" i="1"/>
  <c r="P54" i="1"/>
  <c r="P57" i="1"/>
  <c r="P58" i="1"/>
  <c r="P55" i="1"/>
  <c r="P51" i="1"/>
  <c r="P52" i="1"/>
  <c r="P48" i="1"/>
  <c r="P56" i="1"/>
  <c r="K44" i="1"/>
  <c r="N44" i="1" s="1"/>
  <c r="L44" i="1"/>
  <c r="M44" i="1" s="1"/>
  <c r="O43" i="1"/>
  <c r="K29" i="1"/>
  <c r="N29" i="1" s="1"/>
  <c r="M28" i="1"/>
  <c r="O28" i="1" s="1"/>
  <c r="L29" i="1"/>
  <c r="M29" i="1" s="1"/>
  <c r="O11" i="1"/>
  <c r="L13" i="1"/>
  <c r="N12" i="1"/>
  <c r="K13" i="1"/>
  <c r="P72" i="1" l="1"/>
  <c r="P69" i="1"/>
  <c r="O44" i="1"/>
  <c r="P65" i="1"/>
  <c r="P70" i="1"/>
  <c r="P67" i="1"/>
  <c r="P71" i="1"/>
  <c r="P73" i="1"/>
  <c r="P66" i="1"/>
  <c r="P68" i="1"/>
  <c r="P75" i="1"/>
  <c r="P64" i="1"/>
  <c r="P74" i="1"/>
  <c r="O29" i="1"/>
  <c r="M13" i="1"/>
  <c r="L14" i="1"/>
  <c r="M14" i="1" s="1"/>
  <c r="N13" i="1"/>
  <c r="K14" i="1"/>
  <c r="N14" i="1" s="1"/>
  <c r="O12" i="1"/>
  <c r="P22" i="1" l="1"/>
  <c r="P18" i="1"/>
  <c r="P26" i="1"/>
  <c r="P21" i="1"/>
  <c r="P20" i="1"/>
  <c r="P28" i="1"/>
  <c r="P27" i="1"/>
  <c r="P24" i="1"/>
  <c r="P23" i="1"/>
  <c r="P19" i="1"/>
  <c r="P29" i="1"/>
  <c r="P25" i="1"/>
  <c r="O13" i="1"/>
  <c r="O14" i="1"/>
  <c r="P8" i="1" l="1"/>
  <c r="P10" i="1"/>
  <c r="P7" i="1"/>
  <c r="P14" i="1"/>
  <c r="P13" i="1"/>
  <c r="P3" i="1"/>
  <c r="P11" i="1"/>
  <c r="P5" i="1"/>
  <c r="P4" i="1"/>
  <c r="P9" i="1"/>
  <c r="P12" i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tc={74F5572A-0E29-47F4-9B8B-DB896D512A2E}</author>
    <author>tc={22BCC8CB-1070-4320-BDFD-6232D3F9103C}</author>
    <author>tc={2C8F61AF-0959-4473-AFA3-EF4605D9C3C8}</author>
    <author>tc={E7BADA50-010F-4079-8CFE-9AF79CD40EFB}</author>
    <author>tc={4404F240-792B-459E-8B42-08EC23B2E5EC}</author>
  </authors>
  <commentList>
    <comment ref="O2" authorId="0" shapeId="0" xr:uid="{74F5572A-0E29-47F4-9B8B-DB896D512A2E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Even Scenario</t>
      </text>
    </comment>
    <comment ref="O18" authorId="1" shapeId="0" xr:uid="{22BCC8CB-1070-4320-BDFD-6232D3F9103C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Even Scenario</t>
      </text>
    </comment>
    <comment ref="O33" authorId="2" shapeId="0" xr:uid="{2C8F61AF-0959-4473-AFA3-EF4605D9C3C8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Even Scenario</t>
      </text>
    </comment>
    <comment ref="O48" authorId="3" shapeId="0" xr:uid="{E7BADA50-010F-4079-8CFE-9AF79CD40EFB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Even Scenario</t>
      </text>
    </comment>
    <comment ref="O64" authorId="4" shapeId="0" xr:uid="{4404F240-792B-459E-8B42-08EC23B2E5EC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Even Scenario</t>
      </text>
    </comment>
  </commentList>
</comments>
</file>

<file path=xl/sharedStrings.xml><?xml version="1.0" encoding="utf-8"?>
<sst xmlns="http://schemas.openxmlformats.org/spreadsheetml/2006/main" count="80" uniqueCount="18">
  <si>
    <t>Month</t>
  </si>
  <si>
    <t>Driver CAC</t>
  </si>
  <si>
    <t>Driver Churn Rate</t>
  </si>
  <si>
    <t>Rider Churn Rate (No Failed Match</t>
  </si>
  <si>
    <t>Rider Churn Rate</t>
  </si>
  <si>
    <t>Avg Rides per Rider per Month</t>
  </si>
  <si>
    <t>Lyft's Take per Ride</t>
  </si>
  <si>
    <t>Match Rate</t>
  </si>
  <si>
    <t>Number of Drivers</t>
  </si>
  <si>
    <t>Number of Riders</t>
  </si>
  <si>
    <t>Gross Revenue</t>
  </si>
  <si>
    <t>Driver Earnings</t>
  </si>
  <si>
    <t>Net Revenue</t>
  </si>
  <si>
    <t>Rider CAC</t>
  </si>
  <si>
    <t>Rider per Driver per Month</t>
  </si>
  <si>
    <t>Driver Payout</t>
  </si>
  <si>
    <t>Column1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</si>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</sst>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77</xdr:row>
      <xdr:rowOff>54429</xdr:rowOff>
    </xdr:from>
    <xdr:to>
      <xdr:col>5</xdr:col>
      <xdr:colOff>2057400</xdr:colOff>
      <xdr:row>87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F1DFAB-CE1F-B44F-5E17-361214868BE0}"/>
            </a:ext>
          </a:extLst>
        </xdr:cNvPr>
        <xdr:cNvSpPr txBox="1"/>
      </xdr:nvSpPr>
      <xdr:spPr>
        <a:xfrm>
          <a:off x="1894114" y="14303829"/>
          <a:ext cx="5475515" cy="1850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In</a:t>
          </a:r>
          <a:r>
            <a:rPr lang="en-US" sz="2000" baseline="0"/>
            <a:t> this model, forecasted over 12 months, the optimal 'Lyft Take' is $2.37 per ride, in order to maximize net revenue</a:t>
          </a: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ll Melton" id="{DBF8868C-F153-495E-9BDD-CA63520CE5AE}" userId="a85b2b106b20b94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65FC4-3EDB-4A88-A386-FE991329CC48}" name="Table1" displayName="Table1" ref="A1:P14" totalsRowShown="0" headerRowDxfId="12">
  <tableColumns count="16">
    <tableColumn id="1" xr3:uid="{10801F85-D11F-4DE8-989C-FC3AFF2266A8}" name="Month">
      <calculatedColumnFormula>A1+1</calculatedColumnFormula>
    </tableColumn>
    <tableColumn id="2" xr3:uid="{269177DD-46AE-41F0-A976-DC7B29AB5815}" name="Driver CAC">
      <calculatedColumnFormula>B1</calculatedColumnFormula>
    </tableColumn>
    <tableColumn id="3" xr3:uid="{F4F0DA59-CAAD-4D27-94A2-8F3D487F6373}" name="Driver Churn Rate">
      <calculatedColumnFormula>C1</calculatedColumnFormula>
    </tableColumn>
    <tableColumn id="4" xr3:uid="{AB45CFAF-3546-4086-8B84-33D921C4B73C}" name="Rider per Driver per Month">
      <calculatedColumnFormula>D1</calculatedColumnFormula>
    </tableColumn>
    <tableColumn id="5" xr3:uid="{B176033A-1875-486D-BB9D-E6D317EBC475}" name="Rider CAC">
      <calculatedColumnFormula>E1</calculatedColumnFormula>
    </tableColumn>
    <tableColumn id="6" xr3:uid="{FA92EFBD-A5EB-4F3B-AD24-9B712C1EB202}" name="Rider Churn Rate (No Failed Match">
      <calculatedColumnFormula>F1</calculatedColumnFormula>
    </tableColumn>
    <tableColumn id="7" xr3:uid="{359CB6AA-A137-4BDE-9CC3-386B18644838}" name="Rider Churn Rate">
      <calculatedColumnFormula>G1</calculatedColumnFormula>
    </tableColumn>
    <tableColumn id="8" xr3:uid="{EB5B6BC1-BC18-4E04-9171-0148EA673503}" name="Avg Rides per Rider per Month">
      <calculatedColumnFormula>H1</calculatedColumnFormula>
    </tableColumn>
    <tableColumn id="9" xr3:uid="{E9F299EE-4EDF-43CE-A611-56CFEF4EC1A5}" name="Lyft's Take per Ride"/>
    <tableColumn id="10" xr3:uid="{D1AF3B1E-B2F0-4E9F-99F4-1C9B029B25F1}" name="Match Rate">
      <calculatedColumnFormula>IF(I2=3,0.93,J1)</calculatedColumnFormula>
    </tableColumn>
    <tableColumn id="11" xr3:uid="{B1A7BD9A-8C17-42D8-B19D-143671CEF411}" name="Number of Drivers">
      <calculatedColumnFormula>K1*(1-C2)+IF(J2&gt;0.6,(J2-0.6)*L1,0)</calculatedColumnFormula>
    </tableColumn>
    <tableColumn id="12" xr3:uid="{F61FFADD-DE54-478C-9F32-8EB8C8F30F3C}" name="Number of Riders">
      <calculatedColumnFormula>L1*(1-(F2*(IF(J2&gt;=1,1,0)+G2*(IF(J2&lt;1,J2,0)))))</calculatedColumnFormula>
    </tableColumn>
    <tableColumn id="13" xr3:uid="{60C76216-C790-433F-923A-071B0189DBE8}" name="Gross Revenue">
      <calculatedColumnFormula>L2*H2*25</calculatedColumnFormula>
    </tableColumn>
    <tableColumn id="14" xr3:uid="{253763F3-6F71-4165-89EC-D865801110FF}" name="Driver Payout">
      <calculatedColumnFormula>K2*D2*(25-I2)</calculatedColumnFormula>
    </tableColumn>
    <tableColumn id="15" xr3:uid="{DED1B627-4995-4154-958A-C4744E133F95}" name="Net Revenue" dataDxfId="11">
      <calculatedColumnFormula>M2-N2</calculatedColumnFormula>
    </tableColumn>
    <tableColumn id="16" xr3:uid="{49C3D0CE-81F8-41B2-A649-1BF708E0CB5E}" name="Column1" dataDxfId="6">
      <calculatedColumnFormula>SUM(Table1[Net Revenue])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C5BC4D-31EF-4B34-8E0A-942B88B960E6}" name="Table2" displayName="Table2" ref="B17:P29" totalsRowShown="0">
  <tableColumns count="15">
    <tableColumn id="1" xr3:uid="{32D5863E-7ED3-49F6-AF5E-20D77B1428C4}" name="Driver CAC">
      <calculatedColumnFormula>B17</calculatedColumnFormula>
    </tableColumn>
    <tableColumn id="2" xr3:uid="{48545CC5-2609-4A28-BE5B-0A982B407466}" name="Driver Churn Rate">
      <calculatedColumnFormula>C17</calculatedColumnFormula>
    </tableColumn>
    <tableColumn id="3" xr3:uid="{C9496544-D5E0-4CA4-8E2C-058ADCCB2BBF}" name="Rider per Driver per Month">
      <calculatedColumnFormula>D17</calculatedColumnFormula>
    </tableColumn>
    <tableColumn id="4" xr3:uid="{F7EC1DB9-4DE3-49CF-821B-D2E41BE8E0ED}" name="Rider CAC">
      <calculatedColumnFormula>E17</calculatedColumnFormula>
    </tableColumn>
    <tableColumn id="5" xr3:uid="{1EE0FE0A-A479-40F1-A64D-3082AF99B884}" name="Rider Churn Rate (No Failed Match">
      <calculatedColumnFormula>F17</calculatedColumnFormula>
    </tableColumn>
    <tableColumn id="6" xr3:uid="{BD97D20B-D9BF-45D3-AF29-F022B9D97C3B}" name="Rider Churn Rate">
      <calculatedColumnFormula>G17</calculatedColumnFormula>
    </tableColumn>
    <tableColumn id="7" xr3:uid="{C59CB3C4-D6E8-464D-AA00-23015DF8364E}" name="Avg Rides per Rider per Month">
      <calculatedColumnFormula>H17</calculatedColumnFormula>
    </tableColumn>
    <tableColumn id="8" xr3:uid="{F22A473F-F2BA-4EA5-B02E-B281AF360167}" name="Lyft's Take per Ride">
      <calculatedColumnFormula>I17</calculatedColumnFormula>
    </tableColumn>
    <tableColumn id="9" xr3:uid="{64433B84-918A-4C7F-84B9-2DD87A61BBAF}" name="Match Rate">
      <calculatedColumnFormula>IF(I18=3,0.93,J17)</calculatedColumnFormula>
    </tableColumn>
    <tableColumn id="10" xr3:uid="{0CDFA9B9-7EE1-4006-8447-68E1099D82DA}" name="Number of Drivers">
      <calculatedColumnFormula>K17*(1-C18)+IF(J18&gt;0.6,(J18-0.6)*L17,0)</calculatedColumnFormula>
    </tableColumn>
    <tableColumn id="11" xr3:uid="{0C612CC2-7EB1-4047-A0C8-A761D3F9851C}" name="Number of Riders">
      <calculatedColumnFormula>L17*(1-(F18*(IF(J18&gt;=1,1,0)+G18*(IF(J18&lt;1,J18,0)))))</calculatedColumnFormula>
    </tableColumn>
    <tableColumn id="12" xr3:uid="{CA668C5E-DAC3-4BB3-8302-4CB4CB737536}" name="Gross Revenue">
      <calculatedColumnFormula>L18*H18*25</calculatedColumnFormula>
    </tableColumn>
    <tableColumn id="13" xr3:uid="{D47F2FB6-788F-4385-AD01-23F23C039159}" name="Driver Earnings">
      <calculatedColumnFormula>K18*D18*(25-I18)</calculatedColumnFormula>
    </tableColumn>
    <tableColumn id="14" xr3:uid="{33F4E332-32C3-4053-8047-A0A8FC6734EC}" name="Net Revenue" dataDxfId="10">
      <calculatedColumnFormula>M18-N18</calculatedColumnFormula>
    </tableColumn>
    <tableColumn id="15" xr3:uid="{7368672D-5A03-4C9E-B3F3-9209780C6E27}" name="Column1" dataDxfId="2">
      <calculatedColumnFormula>SUM(Table2[Net Revenue])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2D33B6-D16A-4D60-89AF-7D7CE79AD8A8}" name="Table3" displayName="Table3" ref="B32:O44" totalsRowShown="0">
  <tableColumns count="14">
    <tableColumn id="1" xr3:uid="{7FB1E2E4-A42A-40D1-8F74-949A0B12479D}" name="Driver CAC">
      <calculatedColumnFormula>B32</calculatedColumnFormula>
    </tableColumn>
    <tableColumn id="2" xr3:uid="{CF767F7F-2963-42E0-BBC2-6CDD524642B5}" name="Driver Churn Rate">
      <calculatedColumnFormula>C32</calculatedColumnFormula>
    </tableColumn>
    <tableColumn id="3" xr3:uid="{A359F7F1-2C95-46F1-9775-2C2D2C89E96F}" name="Rider per Driver per Month">
      <calculatedColumnFormula>D32</calculatedColumnFormula>
    </tableColumn>
    <tableColumn id="4" xr3:uid="{13FD8A3B-C80D-4667-B0C3-4CEA4C7C7049}" name="Rider CAC">
      <calculatedColumnFormula>E32</calculatedColumnFormula>
    </tableColumn>
    <tableColumn id="5" xr3:uid="{385907F3-F240-476D-9E4C-706BC692B4AA}" name="Rider Churn Rate (No Failed Match">
      <calculatedColumnFormula>F32</calculatedColumnFormula>
    </tableColumn>
    <tableColumn id="6" xr3:uid="{74111550-452E-4F97-AFAD-8006A58988EF}" name="Rider Churn Rate">
      <calculatedColumnFormula>G32</calculatedColumnFormula>
    </tableColumn>
    <tableColumn id="7" xr3:uid="{6C27B590-F401-4D18-9449-2DD55C88F8E8}" name="Avg Rides per Rider per Month">
      <calculatedColumnFormula>H32</calculatedColumnFormula>
    </tableColumn>
    <tableColumn id="8" xr3:uid="{C7C21774-F66F-4741-A0FE-A65D0AC4F76C}" name="Lyft's Take per Ride">
      <calculatedColumnFormula>I32</calculatedColumnFormula>
    </tableColumn>
    <tableColumn id="9" xr3:uid="{7EC655C8-A716-4EED-9976-29B2CF8991F3}" name="Match Rate" dataDxfId="3">
      <calculatedColumnFormula>0.93+((Table3[[#This Row],[Lyft''s Take per Ride]]-3)*(-0.33/3))</calculatedColumnFormula>
    </tableColumn>
    <tableColumn id="10" xr3:uid="{C774544B-080A-4C2A-B461-BE3F007C3E32}" name="Number of Drivers">
      <calculatedColumnFormula>K32*(1-C33)+IF(J33&gt;0.6,(J33-0.6)*L32,0)</calculatedColumnFormula>
    </tableColumn>
    <tableColumn id="11" xr3:uid="{8BD10C5C-95B4-4DC4-91A3-1745AF1A45F1}" name="Number of Riders">
      <calculatedColumnFormula>L32*(1-(F33*(IF(J33&gt;=1,1,0)+G33*(IF(J33&lt;1,J33,0)))))</calculatedColumnFormula>
    </tableColumn>
    <tableColumn id="12" xr3:uid="{7F8A7217-83C3-4F48-95CA-F53139D20647}" name="Gross Revenue">
      <calculatedColumnFormula>L33*H33*25</calculatedColumnFormula>
    </tableColumn>
    <tableColumn id="13" xr3:uid="{9CA0A7D8-9A93-4059-AAE3-EE0D6D9C2815}" name="Driver Earnings">
      <calculatedColumnFormula>K33*D33*(25-I33)</calculatedColumnFormula>
    </tableColumn>
    <tableColumn id="14" xr3:uid="{E86B5D68-A17E-4426-A211-41AA7573CC86}" name="Net Revenue" dataDxfId="9">
      <calculatedColumnFormula>M33-N33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EAFB8D-597F-48DE-B825-34F30BA0A24E}" name="Table4" displayName="Table4" ref="B47:P59" totalsRowShown="0">
  <tableColumns count="15">
    <tableColumn id="1" xr3:uid="{656CB06B-0197-4AD5-B030-ACA5C321D343}" name="Driver CAC">
      <calculatedColumnFormula>B47</calculatedColumnFormula>
    </tableColumn>
    <tableColumn id="2" xr3:uid="{E8F86B44-73AC-4442-9724-7CB2B94688EB}" name="Driver Churn Rate">
      <calculatedColumnFormula>C47</calculatedColumnFormula>
    </tableColumn>
    <tableColumn id="3" xr3:uid="{C144F81E-110D-4A8B-BB2D-540CA0059C5B}" name="Rider per Driver per Month">
      <calculatedColumnFormula>D47</calculatedColumnFormula>
    </tableColumn>
    <tableColumn id="4" xr3:uid="{A2C4B666-D7A2-4CF6-AF91-346D7F00C35E}" name="Rider CAC">
      <calculatedColumnFormula>E47</calculatedColumnFormula>
    </tableColumn>
    <tableColumn id="5" xr3:uid="{42397166-D596-4419-AB8A-A563095BCA5B}" name="Rider Churn Rate (No Failed Match">
      <calculatedColumnFormula>F47</calculatedColumnFormula>
    </tableColumn>
    <tableColumn id="6" xr3:uid="{5AE65FB9-2AD5-44D7-9C58-A301438DF6C0}" name="Rider Churn Rate">
      <calculatedColumnFormula>G47</calculatedColumnFormula>
    </tableColumn>
    <tableColumn id="7" xr3:uid="{4368514A-72E1-4C12-9C87-1FB5F6491A19}" name="Avg Rides per Rider per Month">
      <calculatedColumnFormula>H47</calculatedColumnFormula>
    </tableColumn>
    <tableColumn id="8" xr3:uid="{B3697E29-E948-4246-B8A6-AF5EBE9C4117}" name="Lyft's Take per Ride">
      <calculatedColumnFormula>I47</calculatedColumnFormula>
    </tableColumn>
    <tableColumn id="9" xr3:uid="{63520A8F-87D8-41CE-809D-858D2814FB59}" name="Match Rate" dataDxfId="5">
      <calculatedColumnFormula>0.93+((Table4[[#This Row],[Lyft''s Take per Ride]]-3)*(-0.33/3))</calculatedColumnFormula>
    </tableColumn>
    <tableColumn id="10" xr3:uid="{EB8558B3-207B-49D3-A6FA-FE19F718A25F}" name="Number of Drivers">
      <calculatedColumnFormula>K47*(1-C48)+IF(J48&gt;0.6,(J48-0.6)*L47,0)</calculatedColumnFormula>
    </tableColumn>
    <tableColumn id="11" xr3:uid="{8806BBB5-E327-43C5-8C50-780DC6D467CA}" name="Number of Riders">
      <calculatedColumnFormula>L47*(1-(F48*(IF(J48&gt;=1,1,0)+G48*(IF(J48&lt;1,J48,0)))))</calculatedColumnFormula>
    </tableColumn>
    <tableColumn id="12" xr3:uid="{0414C47F-C0B9-40C6-884B-4A626374BE30}" name="Gross Revenue">
      <calculatedColumnFormula>L48*H48*25</calculatedColumnFormula>
    </tableColumn>
    <tableColumn id="13" xr3:uid="{5FDBF76E-78CA-4C8E-9A57-464618110505}" name="Driver Earnings">
      <calculatedColumnFormula>K48*D48*(25-I48)</calculatedColumnFormula>
    </tableColumn>
    <tableColumn id="14" xr3:uid="{983FFBC4-FA9D-4405-8E10-04C1826A43D6}" name="Net Revenue" dataDxfId="8">
      <calculatedColumnFormula>M48-N48</calculatedColumnFormula>
    </tableColumn>
    <tableColumn id="15" xr3:uid="{BF9E0F64-CD16-434D-8B10-69C5FE7C4555}" name="Column1" dataDxfId="1">
      <calculatedColumnFormula>SUM(Table4[Net Revenue])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3F3F89-6AC3-480A-AB67-A83F9DC220BE}" name="Table5" displayName="Table5" ref="B63:P75" totalsRowShown="0">
  <tableColumns count="15">
    <tableColumn id="1" xr3:uid="{994CC406-3E10-4422-B433-00F5B0270C18}" name="Driver CAC">
      <calculatedColumnFormula>B63</calculatedColumnFormula>
    </tableColumn>
    <tableColumn id="2" xr3:uid="{7F42427C-03D5-4839-890E-345CC8E2A1E0}" name="Driver Churn Rate">
      <calculatedColumnFormula>C63</calculatedColumnFormula>
    </tableColumn>
    <tableColumn id="3" xr3:uid="{1FFF11C8-BCC7-40E0-99E6-A116DA5DED6C}" name="Rider per Driver per Month">
      <calculatedColumnFormula>D63</calculatedColumnFormula>
    </tableColumn>
    <tableColumn id="4" xr3:uid="{074DE7C6-9CDE-4040-9C7A-A28E81CF5095}" name="Rider CAC">
      <calculatedColumnFormula>E63</calculatedColumnFormula>
    </tableColumn>
    <tableColumn id="5" xr3:uid="{8FACDBC9-105D-4316-BADB-4848FE3495BC}" name="Rider Churn Rate (No Failed Match">
      <calculatedColumnFormula>F63</calculatedColumnFormula>
    </tableColumn>
    <tableColumn id="6" xr3:uid="{9D17F66D-AEE9-4840-BD98-232AC6C695B4}" name="Rider Churn Rate">
      <calculatedColumnFormula>G63</calculatedColumnFormula>
    </tableColumn>
    <tableColumn id="7" xr3:uid="{27A2AE61-DC2A-443E-8C23-721990865CEE}" name="Avg Rides per Rider per Month">
      <calculatedColumnFormula>H63</calculatedColumnFormula>
    </tableColumn>
    <tableColumn id="8" xr3:uid="{D82F1BA3-60E4-4724-8DB5-58FD7200E578}" name="Lyft's Take per Ride">
      <calculatedColumnFormula>I63</calculatedColumnFormula>
    </tableColumn>
    <tableColumn id="9" xr3:uid="{BDC8D65C-CF1C-43A1-B6B0-B4C7844F1F50}" name="Match Rate" dataDxfId="4">
      <calculatedColumnFormula>0.93+((Table5[[#This Row],[Lyft''s Take per Ride]]-3)*(-0.33/3))</calculatedColumnFormula>
    </tableColumn>
    <tableColumn id="10" xr3:uid="{92CE86B4-5B2E-4DC1-B35C-C8E83F83FEF1}" name="Number of Drivers">
      <calculatedColumnFormula>K63*(1-C64)+IF(J64&gt;0.6,(J64-0.6)*L63,0)</calculatedColumnFormula>
    </tableColumn>
    <tableColumn id="11" xr3:uid="{36AAB9F8-28EC-464D-A890-69BE77028B78}" name="Number of Riders">
      <calculatedColumnFormula>L63*(1-(F64*(IF(J64&gt;=1,1,0)+G64*(IF(J64&lt;1,J64,0)))))</calculatedColumnFormula>
    </tableColumn>
    <tableColumn id="12" xr3:uid="{14474372-DA0C-4F60-9102-CADFFC2D7A2F}" name="Gross Revenue">
      <calculatedColumnFormula>L64*H64*25</calculatedColumnFormula>
    </tableColumn>
    <tableColumn id="13" xr3:uid="{9FA9F933-5A30-4F6B-8603-73DABC7E0568}" name="Driver Earnings">
      <calculatedColumnFormula>K64*D64*(25-I64)</calculatedColumnFormula>
    </tableColumn>
    <tableColumn id="14" xr3:uid="{1DE1F4CB-6835-4927-A10A-7A6E8A574008}" name="Net Revenue" dataDxfId="7">
      <calculatedColumnFormula>M64-N64</calculatedColumnFormula>
    </tableColumn>
    <tableColumn id="15" xr3:uid="{4EA94F8E-84FD-421C-8F28-AD6CE8433B75}" name="Column1" dataDxfId="0">
      <calculatedColumnFormula>SUM(Table5[Net Revenue])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dT="2023-03-30T02:10:16.23" personId="{DBF8868C-F153-495E-9BDD-CA63520CE5AE}" id="{74F5572A-0E29-47F4-9B8B-DB896D512A2E}">
    <text>Break Even Scenario</text>
  </threadedComment>
  <threadedComment ref="O18" dT="2023-03-30T02:10:16.23" personId="{DBF8868C-F153-495E-9BDD-CA63520CE5AE}" id="{22BCC8CB-1070-4320-BDFD-6232D3F9103C}">
    <text>Break Even Scenario</text>
  </threadedComment>
  <threadedComment ref="O33" dT="2023-03-30T02:10:16.23" personId="{DBF8868C-F153-495E-9BDD-CA63520CE5AE}" id="{2C8F61AF-0959-4473-AFA3-EF4605D9C3C8}">
    <text>Break Even Scenario</text>
  </threadedComment>
  <threadedComment ref="O48" dT="2023-03-30T02:10:16.23" personId="{DBF8868C-F153-495E-9BDD-CA63520CE5AE}" id="{E7BADA50-010F-4079-8CFE-9AF79CD40EFB}">
    <text>Break Even Scenario</text>
  </threadedComment>
  <threadedComment ref="O64" dT="2023-03-30T02:10:16.23" personId="{DBF8868C-F153-495E-9BDD-CA63520CE5AE}" id="{4404F240-792B-459E-8B42-08EC23B2E5EC}">
    <text>Break Even Scenario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10" Type="http://schemas.microsoft.com/office/2017/10/relationships/threadedComment" Target="../threadedComments/threadedComment1.xml"/><Relationship Id="rId4" Type="http://schemas.openxmlformats.org/officeDocument/2006/relationships/table" Target="../tables/table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98B-E8EB-478F-8D18-15177162A1C0}">
  <dimension ref="A1:P78"/>
  <sheetViews>
    <sheetView tabSelected="1" topLeftCell="A53" zoomScale="70" zoomScaleNormal="70" workbookViewId="0">
      <selection activeCell="G81" sqref="G81"/>
    </sheetView>
  </sheetViews>
  <sheetFormatPr defaultRowHeight="14.4" x14ac:dyDescent="0.3"/>
  <cols>
    <col min="1" max="1" width="8.77734375" customWidth="1"/>
    <col min="2" max="2" width="12.21875" customWidth="1"/>
    <col min="3" max="3" width="18.44140625" customWidth="1"/>
    <col min="4" max="4" width="26.33203125" customWidth="1"/>
    <col min="5" max="5" width="14.88671875" customWidth="1"/>
    <col min="6" max="6" width="33" customWidth="1"/>
    <col min="7" max="7" width="17.6640625" customWidth="1"/>
    <col min="8" max="8" width="29.21875" customWidth="1"/>
    <col min="9" max="9" width="19.5546875" customWidth="1"/>
    <col min="10" max="10" width="12.88671875" customWidth="1"/>
    <col min="11" max="11" width="22" customWidth="1"/>
    <col min="12" max="12" width="18.109375" customWidth="1"/>
    <col min="13" max="13" width="15.6640625" customWidth="1"/>
    <col min="14" max="14" width="16.5546875" customWidth="1"/>
    <col min="15" max="15" width="24.21875" style="1" customWidth="1"/>
    <col min="16" max="16" width="23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14</v>
      </c>
      <c r="E1" t="s">
        <v>13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15</v>
      </c>
      <c r="O1" s="1" t="s">
        <v>12</v>
      </c>
      <c r="P1" s="6" t="s">
        <v>16</v>
      </c>
    </row>
    <row r="2" spans="1:16" x14ac:dyDescent="0.3">
      <c r="A2">
        <v>1</v>
      </c>
      <c r="B2">
        <v>500</v>
      </c>
      <c r="C2">
        <v>0.05</v>
      </c>
      <c r="D2">
        <v>100</v>
      </c>
      <c r="E2">
        <f>(10+20)/2</f>
        <v>15</v>
      </c>
      <c r="F2">
        <v>0.1</v>
      </c>
      <c r="G2">
        <v>0.33</v>
      </c>
      <c r="H2">
        <v>1</v>
      </c>
      <c r="I2">
        <v>6</v>
      </c>
      <c r="J2">
        <v>0.6</v>
      </c>
      <c r="K2">
        <f>-B2/C2/D2</f>
        <v>-100</v>
      </c>
      <c r="L2">
        <f>-E2/F2/H2</f>
        <v>-150</v>
      </c>
      <c r="M2">
        <v>0</v>
      </c>
      <c r="N2">
        <v>0</v>
      </c>
      <c r="O2" s="1">
        <v>0</v>
      </c>
      <c r="P2" s="1" t="s">
        <v>17</v>
      </c>
    </row>
    <row r="3" spans="1:16" x14ac:dyDescent="0.3">
      <c r="A3">
        <f t="shared" ref="A3:A13" si="0">A2+1</f>
        <v>2</v>
      </c>
      <c r="B3">
        <f>B2</f>
        <v>500</v>
      </c>
      <c r="C3">
        <f>C2</f>
        <v>0.05</v>
      </c>
      <c r="D3">
        <f t="shared" ref="D3:H3" si="1">D2</f>
        <v>100</v>
      </c>
      <c r="E3">
        <f t="shared" si="1"/>
        <v>15</v>
      </c>
      <c r="F3">
        <f t="shared" si="1"/>
        <v>0.1</v>
      </c>
      <c r="G3">
        <f t="shared" si="1"/>
        <v>0.33</v>
      </c>
      <c r="H3">
        <f t="shared" si="1"/>
        <v>1</v>
      </c>
      <c r="I3">
        <v>6</v>
      </c>
      <c r="J3" s="5">
        <f>IF(I3=3,0.93,J2)</f>
        <v>0.6</v>
      </c>
      <c r="K3">
        <f>K2*(1-C3)+IF(J3&gt;0.6,K2*(J3-0.6)/J2,0)</f>
        <v>-95</v>
      </c>
      <c r="L3">
        <f>L2*(1-(F3*(IF(J3&gt;=1,1,0)+G3*(IF(J3&lt;1,J3,0)))))</f>
        <v>-147.03</v>
      </c>
      <c r="M3">
        <f>L3*H3*25</f>
        <v>-3675.75</v>
      </c>
      <c r="N3">
        <f>K3*D3*(25-I3)</f>
        <v>-180500</v>
      </c>
      <c r="O3" s="1">
        <f>M3-N3</f>
        <v>176824.25</v>
      </c>
      <c r="P3" s="1">
        <f>SUM(Table1[Net Revenue])</f>
        <v>1619691.2109799345</v>
      </c>
    </row>
    <row r="4" spans="1:16" x14ac:dyDescent="0.3">
      <c r="A4">
        <f t="shared" si="0"/>
        <v>3</v>
      </c>
      <c r="B4">
        <f t="shared" ref="B4:B13" si="2">B3</f>
        <v>500</v>
      </c>
      <c r="C4">
        <f t="shared" ref="C4:C13" si="3">C3</f>
        <v>0.05</v>
      </c>
      <c r="D4">
        <f t="shared" ref="D4:D13" si="4">D3</f>
        <v>100</v>
      </c>
      <c r="E4">
        <f t="shared" ref="E4:E13" si="5">E3</f>
        <v>15</v>
      </c>
      <c r="F4">
        <f t="shared" ref="F4:F13" si="6">F3</f>
        <v>0.1</v>
      </c>
      <c r="G4">
        <f t="shared" ref="G4:G13" si="7">G3</f>
        <v>0.33</v>
      </c>
      <c r="H4">
        <f t="shared" ref="H4:H13" si="8">H3</f>
        <v>1</v>
      </c>
      <c r="I4">
        <v>6</v>
      </c>
      <c r="J4">
        <f t="shared" ref="J4:J13" si="9">IF(I4=3,0.93,J3)</f>
        <v>0.6</v>
      </c>
      <c r="K4" s="5">
        <f t="shared" ref="K4:K13" si="10">K3*(1-C4)+IF(J4&gt;0.6,(J4-0.6)*L3,0)</f>
        <v>-90.25</v>
      </c>
      <c r="L4">
        <f t="shared" ref="L4:L13" si="11">L3*(1-(F4*(IF(J4&gt;=1,1,0)+G4*(IF(J4&lt;1,J4,0)))))</f>
        <v>-144.11880600000001</v>
      </c>
      <c r="M4">
        <f t="shared" ref="M4:M13" si="12">L4*H4*25</f>
        <v>-3602.9701500000001</v>
      </c>
      <c r="N4">
        <f t="shared" ref="N4:N13" si="13">K4*D4*(25-I4)</f>
        <v>-171475</v>
      </c>
      <c r="O4" s="1">
        <f t="shared" ref="O4:O13" si="14">M4-N4</f>
        <v>167872.02984999999</v>
      </c>
      <c r="P4" s="1">
        <f>SUM(Table1[Net Revenue])</f>
        <v>1619691.2109799345</v>
      </c>
    </row>
    <row r="5" spans="1:16" x14ac:dyDescent="0.3">
      <c r="A5">
        <f t="shared" si="0"/>
        <v>4</v>
      </c>
      <c r="B5">
        <f t="shared" si="2"/>
        <v>500</v>
      </c>
      <c r="C5">
        <f t="shared" si="3"/>
        <v>0.05</v>
      </c>
      <c r="D5">
        <f t="shared" si="4"/>
        <v>100</v>
      </c>
      <c r="E5">
        <f t="shared" si="5"/>
        <v>15</v>
      </c>
      <c r="F5">
        <f t="shared" si="6"/>
        <v>0.1</v>
      </c>
      <c r="G5">
        <f t="shared" si="7"/>
        <v>0.33</v>
      </c>
      <c r="H5">
        <f t="shared" si="8"/>
        <v>1</v>
      </c>
      <c r="I5">
        <v>6</v>
      </c>
      <c r="J5">
        <f t="shared" si="9"/>
        <v>0.6</v>
      </c>
      <c r="K5">
        <f t="shared" si="10"/>
        <v>-85.737499999999997</v>
      </c>
      <c r="L5">
        <f t="shared" si="11"/>
        <v>-141.26525364119999</v>
      </c>
      <c r="M5">
        <f t="shared" si="12"/>
        <v>-3531.6313410299999</v>
      </c>
      <c r="N5">
        <f t="shared" si="13"/>
        <v>-162901.25</v>
      </c>
      <c r="O5" s="1">
        <f t="shared" si="14"/>
        <v>159369.61865896999</v>
      </c>
      <c r="P5" s="1">
        <f>SUM(Table1[Net Revenue])</f>
        <v>1619691.2109799345</v>
      </c>
    </row>
    <row r="6" spans="1:16" x14ac:dyDescent="0.3">
      <c r="A6">
        <f t="shared" si="0"/>
        <v>5</v>
      </c>
      <c r="B6">
        <f t="shared" si="2"/>
        <v>500</v>
      </c>
      <c r="C6">
        <f t="shared" si="3"/>
        <v>0.05</v>
      </c>
      <c r="D6">
        <f t="shared" si="4"/>
        <v>100</v>
      </c>
      <c r="E6">
        <f t="shared" si="5"/>
        <v>15</v>
      </c>
      <c r="F6">
        <f t="shared" si="6"/>
        <v>0.1</v>
      </c>
      <c r="G6">
        <f t="shared" si="7"/>
        <v>0.33</v>
      </c>
      <c r="H6">
        <f t="shared" si="8"/>
        <v>1</v>
      </c>
      <c r="I6">
        <v>6</v>
      </c>
      <c r="J6">
        <f t="shared" si="9"/>
        <v>0.6</v>
      </c>
      <c r="K6">
        <f t="shared" si="10"/>
        <v>-81.450624999999988</v>
      </c>
      <c r="L6">
        <f t="shared" si="11"/>
        <v>-138.46820161910424</v>
      </c>
      <c r="M6">
        <f t="shared" si="12"/>
        <v>-3461.705040477606</v>
      </c>
      <c r="N6">
        <f t="shared" si="13"/>
        <v>-154756.18749999997</v>
      </c>
      <c r="O6" s="1">
        <f t="shared" si="14"/>
        <v>151294.48245952238</v>
      </c>
      <c r="P6" s="1">
        <f>SUM(Table1[Net Revenue])</f>
        <v>1619691.2109799345</v>
      </c>
    </row>
    <row r="7" spans="1:16" x14ac:dyDescent="0.3">
      <c r="A7">
        <f t="shared" si="0"/>
        <v>6</v>
      </c>
      <c r="B7">
        <f t="shared" si="2"/>
        <v>500</v>
      </c>
      <c r="C7">
        <f t="shared" si="3"/>
        <v>0.05</v>
      </c>
      <c r="D7">
        <f t="shared" si="4"/>
        <v>100</v>
      </c>
      <c r="E7">
        <f t="shared" si="5"/>
        <v>15</v>
      </c>
      <c r="F7">
        <f t="shared" si="6"/>
        <v>0.1</v>
      </c>
      <c r="G7">
        <f t="shared" si="7"/>
        <v>0.33</v>
      </c>
      <c r="H7">
        <f t="shared" si="8"/>
        <v>1</v>
      </c>
      <c r="I7">
        <v>6</v>
      </c>
      <c r="J7">
        <f t="shared" si="9"/>
        <v>0.6</v>
      </c>
      <c r="K7">
        <f t="shared" si="10"/>
        <v>-77.378093749999991</v>
      </c>
      <c r="L7">
        <f t="shared" si="11"/>
        <v>-135.72653122704597</v>
      </c>
      <c r="M7">
        <f t="shared" si="12"/>
        <v>-3393.163280676149</v>
      </c>
      <c r="N7">
        <f t="shared" si="13"/>
        <v>-147018.37812499999</v>
      </c>
      <c r="O7" s="1">
        <f t="shared" si="14"/>
        <v>143625.21484432384</v>
      </c>
      <c r="P7" s="1">
        <f>SUM(Table1[Net Revenue])</f>
        <v>1619691.2109799345</v>
      </c>
    </row>
    <row r="8" spans="1:16" x14ac:dyDescent="0.3">
      <c r="A8">
        <f t="shared" si="0"/>
        <v>7</v>
      </c>
      <c r="B8">
        <f t="shared" si="2"/>
        <v>500</v>
      </c>
      <c r="C8">
        <f t="shared" si="3"/>
        <v>0.05</v>
      </c>
      <c r="D8">
        <f t="shared" si="4"/>
        <v>100</v>
      </c>
      <c r="E8">
        <f t="shared" si="5"/>
        <v>15</v>
      </c>
      <c r="F8">
        <f t="shared" si="6"/>
        <v>0.1</v>
      </c>
      <c r="G8">
        <f t="shared" si="7"/>
        <v>0.33</v>
      </c>
      <c r="H8">
        <f t="shared" si="8"/>
        <v>1</v>
      </c>
      <c r="I8">
        <v>6</v>
      </c>
      <c r="J8">
        <f t="shared" si="9"/>
        <v>0.6</v>
      </c>
      <c r="K8">
        <f t="shared" si="10"/>
        <v>-73.509189062499985</v>
      </c>
      <c r="L8">
        <f t="shared" si="11"/>
        <v>-133.03914590875044</v>
      </c>
      <c r="M8">
        <f t="shared" si="12"/>
        <v>-3325.9786477187608</v>
      </c>
      <c r="N8">
        <f t="shared" si="13"/>
        <v>-139667.45921874995</v>
      </c>
      <c r="O8" s="1">
        <f t="shared" si="14"/>
        <v>136341.48057103119</v>
      </c>
      <c r="P8" s="1">
        <f>SUM(Table1[Net Revenue])</f>
        <v>1619691.2109799345</v>
      </c>
    </row>
    <row r="9" spans="1:16" x14ac:dyDescent="0.3">
      <c r="A9">
        <f t="shared" si="0"/>
        <v>8</v>
      </c>
      <c r="B9">
        <f t="shared" si="2"/>
        <v>500</v>
      </c>
      <c r="C9">
        <f t="shared" si="3"/>
        <v>0.05</v>
      </c>
      <c r="D9">
        <f t="shared" si="4"/>
        <v>100</v>
      </c>
      <c r="E9">
        <f t="shared" si="5"/>
        <v>15</v>
      </c>
      <c r="F9">
        <f t="shared" si="6"/>
        <v>0.1</v>
      </c>
      <c r="G9">
        <f t="shared" si="7"/>
        <v>0.33</v>
      </c>
      <c r="H9">
        <f t="shared" si="8"/>
        <v>1</v>
      </c>
      <c r="I9">
        <v>6</v>
      </c>
      <c r="J9">
        <f t="shared" si="9"/>
        <v>0.6</v>
      </c>
      <c r="K9">
        <f t="shared" si="10"/>
        <v>-69.833729609374984</v>
      </c>
      <c r="L9">
        <f t="shared" si="11"/>
        <v>-130.40497081975718</v>
      </c>
      <c r="M9">
        <f t="shared" si="12"/>
        <v>-3260.1242704939295</v>
      </c>
      <c r="N9">
        <f t="shared" si="13"/>
        <v>-132684.08625781248</v>
      </c>
      <c r="O9" s="1">
        <f t="shared" si="14"/>
        <v>129423.96198731854</v>
      </c>
      <c r="P9" s="1">
        <f>SUM(Table1[Net Revenue])</f>
        <v>1619691.2109799345</v>
      </c>
    </row>
    <row r="10" spans="1:16" x14ac:dyDescent="0.3">
      <c r="A10">
        <f t="shared" si="0"/>
        <v>9</v>
      </c>
      <c r="B10">
        <f t="shared" si="2"/>
        <v>500</v>
      </c>
      <c r="C10">
        <f t="shared" si="3"/>
        <v>0.05</v>
      </c>
      <c r="D10">
        <f t="shared" si="4"/>
        <v>100</v>
      </c>
      <c r="E10">
        <f t="shared" si="5"/>
        <v>15</v>
      </c>
      <c r="F10">
        <f t="shared" si="6"/>
        <v>0.1</v>
      </c>
      <c r="G10">
        <f t="shared" si="7"/>
        <v>0.33</v>
      </c>
      <c r="H10">
        <f t="shared" si="8"/>
        <v>1</v>
      </c>
      <c r="I10">
        <v>6</v>
      </c>
      <c r="J10">
        <f t="shared" si="9"/>
        <v>0.6</v>
      </c>
      <c r="K10">
        <f t="shared" si="10"/>
        <v>-66.342043128906226</v>
      </c>
      <c r="L10">
        <f t="shared" si="11"/>
        <v>-127.82295239752598</v>
      </c>
      <c r="M10">
        <f t="shared" si="12"/>
        <v>-3195.5738099381497</v>
      </c>
      <c r="N10">
        <f t="shared" si="13"/>
        <v>-126049.88194492183</v>
      </c>
      <c r="O10" s="1">
        <f t="shared" si="14"/>
        <v>122854.30813498367</v>
      </c>
      <c r="P10" s="1">
        <f>SUM(Table1[Net Revenue])</f>
        <v>1619691.2109799345</v>
      </c>
    </row>
    <row r="11" spans="1:16" x14ac:dyDescent="0.3">
      <c r="A11">
        <f t="shared" si="0"/>
        <v>10</v>
      </c>
      <c r="B11">
        <f t="shared" si="2"/>
        <v>500</v>
      </c>
      <c r="C11">
        <f t="shared" si="3"/>
        <v>0.05</v>
      </c>
      <c r="D11">
        <f t="shared" si="4"/>
        <v>100</v>
      </c>
      <c r="E11">
        <f t="shared" si="5"/>
        <v>15</v>
      </c>
      <c r="F11">
        <f t="shared" si="6"/>
        <v>0.1</v>
      </c>
      <c r="G11">
        <f t="shared" si="7"/>
        <v>0.33</v>
      </c>
      <c r="H11">
        <f t="shared" si="8"/>
        <v>1</v>
      </c>
      <c r="I11">
        <v>6</v>
      </c>
      <c r="J11">
        <f t="shared" si="9"/>
        <v>0.6</v>
      </c>
      <c r="K11">
        <f t="shared" si="10"/>
        <v>-63.024940972460911</v>
      </c>
      <c r="L11">
        <f t="shared" si="11"/>
        <v>-125.29205794005496</v>
      </c>
      <c r="M11">
        <f t="shared" si="12"/>
        <v>-3132.3014485013741</v>
      </c>
      <c r="N11">
        <f t="shared" si="13"/>
        <v>-119747.38784767572</v>
      </c>
      <c r="O11" s="1">
        <f t="shared" si="14"/>
        <v>116615.08639917435</v>
      </c>
      <c r="P11" s="1">
        <f>SUM(Table1[Net Revenue])</f>
        <v>1619691.2109799345</v>
      </c>
    </row>
    <row r="12" spans="1:16" x14ac:dyDescent="0.3">
      <c r="A12">
        <f t="shared" si="0"/>
        <v>11</v>
      </c>
      <c r="B12">
        <f t="shared" si="2"/>
        <v>500</v>
      </c>
      <c r="C12">
        <f t="shared" si="3"/>
        <v>0.05</v>
      </c>
      <c r="D12">
        <f t="shared" si="4"/>
        <v>100</v>
      </c>
      <c r="E12">
        <f t="shared" si="5"/>
        <v>15</v>
      </c>
      <c r="F12">
        <f t="shared" si="6"/>
        <v>0.1</v>
      </c>
      <c r="G12">
        <f t="shared" si="7"/>
        <v>0.33</v>
      </c>
      <c r="H12">
        <f t="shared" si="8"/>
        <v>1</v>
      </c>
      <c r="I12">
        <v>6</v>
      </c>
      <c r="J12">
        <f t="shared" si="9"/>
        <v>0.6</v>
      </c>
      <c r="K12">
        <f t="shared" si="10"/>
        <v>-59.873693923837862</v>
      </c>
      <c r="L12">
        <f t="shared" si="11"/>
        <v>-122.81127519284186</v>
      </c>
      <c r="M12">
        <f t="shared" si="12"/>
        <v>-3070.2818798210465</v>
      </c>
      <c r="N12">
        <f t="shared" si="13"/>
        <v>-113760.01845529194</v>
      </c>
      <c r="O12" s="1">
        <f t="shared" si="14"/>
        <v>110689.73657547089</v>
      </c>
      <c r="P12" s="1">
        <f>SUM(Table1[Net Revenue])</f>
        <v>1619691.2109799345</v>
      </c>
    </row>
    <row r="13" spans="1:16" x14ac:dyDescent="0.3">
      <c r="A13">
        <f t="shared" si="0"/>
        <v>12</v>
      </c>
      <c r="B13">
        <f t="shared" si="2"/>
        <v>500</v>
      </c>
      <c r="C13">
        <f t="shared" si="3"/>
        <v>0.05</v>
      </c>
      <c r="D13">
        <f t="shared" si="4"/>
        <v>100</v>
      </c>
      <c r="E13">
        <f t="shared" si="5"/>
        <v>15</v>
      </c>
      <c r="F13">
        <f t="shared" si="6"/>
        <v>0.1</v>
      </c>
      <c r="G13">
        <f t="shared" si="7"/>
        <v>0.33</v>
      </c>
      <c r="H13">
        <f t="shared" si="8"/>
        <v>1</v>
      </c>
      <c r="I13">
        <v>6</v>
      </c>
      <c r="J13">
        <f t="shared" si="9"/>
        <v>0.6</v>
      </c>
      <c r="K13">
        <f t="shared" si="10"/>
        <v>-56.880009227645964</v>
      </c>
      <c r="L13">
        <f t="shared" si="11"/>
        <v>-120.37961194402359</v>
      </c>
      <c r="M13">
        <f t="shared" si="12"/>
        <v>-3009.49029860059</v>
      </c>
      <c r="N13">
        <f t="shared" si="13"/>
        <v>-108072.01753252733</v>
      </c>
      <c r="O13" s="1">
        <f t="shared" si="14"/>
        <v>105062.52723392674</v>
      </c>
      <c r="P13" s="1">
        <f>SUM(Table1[Net Revenue])</f>
        <v>1619691.2109799345</v>
      </c>
    </row>
    <row r="14" spans="1:16" x14ac:dyDescent="0.3">
      <c r="A14">
        <f>A13+1</f>
        <v>13</v>
      </c>
      <c r="B14">
        <f>B13</f>
        <v>500</v>
      </c>
      <c r="C14">
        <f>C13</f>
        <v>0.05</v>
      </c>
      <c r="D14">
        <f>D13</f>
        <v>100</v>
      </c>
      <c r="E14">
        <f>E13</f>
        <v>15</v>
      </c>
      <c r="F14">
        <f>F13</f>
        <v>0.1</v>
      </c>
      <c r="G14">
        <f>G13</f>
        <v>0.33</v>
      </c>
      <c r="H14">
        <f>H13</f>
        <v>1</v>
      </c>
      <c r="I14">
        <v>6</v>
      </c>
      <c r="J14">
        <f>IF(I14=3,0.93,J13)</f>
        <v>0.6</v>
      </c>
      <c r="K14">
        <f>K13*(1-C14)+IF(J14&gt;0.6,(J14-0.6)*L13,0)</f>
        <v>-54.036008766263663</v>
      </c>
      <c r="L14">
        <f>L13*(1-(F14*(IF(J14&gt;=1,1,0)+G14*(IF(J14&lt;1,J14,0)))))</f>
        <v>-117.99609562753193</v>
      </c>
      <c r="M14">
        <f>L14*H14*25</f>
        <v>-2949.9023906882981</v>
      </c>
      <c r="N14">
        <f>K14*D14*(25-I14)</f>
        <v>-102668.41665590096</v>
      </c>
      <c r="O14" s="1">
        <f>M14-N14</f>
        <v>99718.514265212667</v>
      </c>
      <c r="P14" s="1">
        <f>SUM(Table1[Net Revenue])</f>
        <v>1619691.2109799345</v>
      </c>
    </row>
    <row r="17" spans="1:16" x14ac:dyDescent="0.3">
      <c r="A17" s="2" t="s">
        <v>0</v>
      </c>
      <c r="B17" t="s">
        <v>1</v>
      </c>
      <c r="C17" t="s">
        <v>2</v>
      </c>
      <c r="D17" t="s">
        <v>14</v>
      </c>
      <c r="E17" t="s">
        <v>13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M17" t="s">
        <v>10</v>
      </c>
      <c r="N17" t="s">
        <v>11</v>
      </c>
      <c r="O17" s="1" t="s">
        <v>12</v>
      </c>
      <c r="P17" t="s">
        <v>16</v>
      </c>
    </row>
    <row r="18" spans="1:16" x14ac:dyDescent="0.3">
      <c r="A18" s="3">
        <v>1</v>
      </c>
      <c r="B18">
        <v>500</v>
      </c>
      <c r="C18">
        <v>0.05</v>
      </c>
      <c r="D18" s="5">
        <v>100</v>
      </c>
      <c r="E18">
        <f>(10+20)/2</f>
        <v>15</v>
      </c>
      <c r="F18">
        <v>0.1</v>
      </c>
      <c r="G18">
        <v>0.33</v>
      </c>
      <c r="H18">
        <v>1</v>
      </c>
      <c r="I18">
        <v>6</v>
      </c>
      <c r="J18">
        <v>0.6</v>
      </c>
      <c r="K18">
        <f>-B18/C18/D18</f>
        <v>-100</v>
      </c>
      <c r="L18">
        <f>-E18/F18/H18</f>
        <v>-150</v>
      </c>
      <c r="M18">
        <v>0</v>
      </c>
      <c r="N18">
        <v>0</v>
      </c>
      <c r="O18" s="1">
        <v>0</v>
      </c>
      <c r="P18" s="1">
        <f>SUM(Table2[Net Revenue])</f>
        <v>7267987.5867931889</v>
      </c>
    </row>
    <row r="19" spans="1:16" x14ac:dyDescent="0.3">
      <c r="A19" s="3">
        <f t="shared" ref="A19:A29" si="15">A18+1</f>
        <v>2</v>
      </c>
      <c r="B19">
        <f>B18</f>
        <v>500</v>
      </c>
      <c r="C19">
        <f>C18</f>
        <v>0.05</v>
      </c>
      <c r="D19">
        <f t="shared" ref="D19:D29" si="16">D18</f>
        <v>100</v>
      </c>
      <c r="E19">
        <f t="shared" ref="E19:E29" si="17">E18</f>
        <v>15</v>
      </c>
      <c r="F19">
        <f t="shared" ref="F19:F29" si="18">F18</f>
        <v>0.1</v>
      </c>
      <c r="G19">
        <f t="shared" ref="G19:G29" si="19">G18</f>
        <v>0.33</v>
      </c>
      <c r="H19">
        <f t="shared" ref="H19:H29" si="20">H18</f>
        <v>1</v>
      </c>
      <c r="I19">
        <v>3</v>
      </c>
      <c r="J19">
        <f>IF(I19=3,0.93,J18)</f>
        <v>0.93</v>
      </c>
      <c r="K19">
        <f>K18*(1-C19)+IF(J19&gt;0.6,(J19-0.6)*L18,0)</f>
        <v>-144.5</v>
      </c>
      <c r="L19">
        <f>L18*(1-(F19*(IF(J19&gt;=1,1,0)+G19*(IF(J19&lt;1,J19,0)))))</f>
        <v>-145.3965</v>
      </c>
      <c r="M19">
        <f>L19*H19*25</f>
        <v>-3634.9124999999999</v>
      </c>
      <c r="N19">
        <f>K19*D19*(25-I19)</f>
        <v>-317900</v>
      </c>
      <c r="O19" s="1">
        <f>M19-N19</f>
        <v>314265.08750000002</v>
      </c>
      <c r="P19" s="1">
        <f>SUM(Table2[Net Revenue])</f>
        <v>7267987.5867931889</v>
      </c>
    </row>
    <row r="20" spans="1:16" x14ac:dyDescent="0.3">
      <c r="A20" s="3">
        <f t="shared" si="15"/>
        <v>3</v>
      </c>
      <c r="B20">
        <f t="shared" ref="B20:B29" si="21">B19</f>
        <v>500</v>
      </c>
      <c r="C20">
        <f t="shared" ref="C20:C29" si="22">C19</f>
        <v>0.05</v>
      </c>
      <c r="D20">
        <f t="shared" si="16"/>
        <v>100</v>
      </c>
      <c r="E20">
        <f t="shared" si="17"/>
        <v>15</v>
      </c>
      <c r="F20">
        <f t="shared" si="18"/>
        <v>0.1</v>
      </c>
      <c r="G20">
        <f t="shared" si="19"/>
        <v>0.33</v>
      </c>
      <c r="H20">
        <f t="shared" si="20"/>
        <v>1</v>
      </c>
      <c r="I20">
        <v>3</v>
      </c>
      <c r="J20">
        <f t="shared" ref="J20:J29" si="23">IF(I20=3,0.93,J19)</f>
        <v>0.93</v>
      </c>
      <c r="K20">
        <f t="shared" ref="K20:K29" si="24">K19*(1-C20)+IF(J20&gt;0.6,(J20-0.6)*L19,0)</f>
        <v>-185.25584500000002</v>
      </c>
      <c r="L20">
        <f t="shared" ref="L20:L29" si="25">L19*(1-(F20*(IF(J20&gt;=1,1,0)+G20*(IF(J20&lt;1,J20,0)))))</f>
        <v>-140.93428141500002</v>
      </c>
      <c r="M20">
        <f t="shared" ref="M20:M29" si="26">L20*H20*25</f>
        <v>-3523.3570353750006</v>
      </c>
      <c r="N20">
        <f>K20*D20*(25-I20)</f>
        <v>-407562.859</v>
      </c>
      <c r="O20" s="1">
        <f t="shared" ref="O20:O28" si="27">M20-N20</f>
        <v>404039.50196462497</v>
      </c>
      <c r="P20" s="1">
        <f>SUM(Table2[Net Revenue])</f>
        <v>7267987.5867931889</v>
      </c>
    </row>
    <row r="21" spans="1:16" x14ac:dyDescent="0.3">
      <c r="A21" s="3">
        <f t="shared" si="15"/>
        <v>4</v>
      </c>
      <c r="B21">
        <f t="shared" si="21"/>
        <v>500</v>
      </c>
      <c r="C21">
        <f t="shared" si="22"/>
        <v>0.05</v>
      </c>
      <c r="D21">
        <f t="shared" si="16"/>
        <v>100</v>
      </c>
      <c r="E21">
        <f t="shared" si="17"/>
        <v>15</v>
      </c>
      <c r="F21">
        <f t="shared" si="18"/>
        <v>0.1</v>
      </c>
      <c r="G21">
        <f t="shared" si="19"/>
        <v>0.33</v>
      </c>
      <c r="H21">
        <f t="shared" si="20"/>
        <v>1</v>
      </c>
      <c r="I21">
        <v>3</v>
      </c>
      <c r="J21">
        <f t="shared" si="23"/>
        <v>0.93</v>
      </c>
      <c r="K21">
        <f>K20*(1-C21)+IF(J21&gt;0.6,(J21-0.6)*L20,0)</f>
        <v>-222.50136561695001</v>
      </c>
      <c r="L21">
        <f t="shared" si="25"/>
        <v>-136.60900831837367</v>
      </c>
      <c r="M21">
        <f t="shared" si="26"/>
        <v>-3415.2252079593418</v>
      </c>
      <c r="N21">
        <f t="shared" ref="N21:N29" si="28">K21*D21*(25-I21)</f>
        <v>-489503.00435729005</v>
      </c>
      <c r="O21" s="1">
        <f t="shared" si="27"/>
        <v>486087.77914933069</v>
      </c>
      <c r="P21" s="1">
        <f>SUM(Table2[Net Revenue])</f>
        <v>7267987.5867931889</v>
      </c>
    </row>
    <row r="22" spans="1:16" x14ac:dyDescent="0.3">
      <c r="A22" s="3">
        <f t="shared" si="15"/>
        <v>5</v>
      </c>
      <c r="B22">
        <f t="shared" si="21"/>
        <v>500</v>
      </c>
      <c r="C22">
        <f t="shared" si="22"/>
        <v>0.05</v>
      </c>
      <c r="D22">
        <f t="shared" si="16"/>
        <v>100</v>
      </c>
      <c r="E22">
        <f t="shared" si="17"/>
        <v>15</v>
      </c>
      <c r="F22">
        <f t="shared" si="18"/>
        <v>0.1</v>
      </c>
      <c r="G22">
        <f t="shared" si="19"/>
        <v>0.33</v>
      </c>
      <c r="H22">
        <f t="shared" si="20"/>
        <v>1</v>
      </c>
      <c r="I22">
        <v>3</v>
      </c>
      <c r="J22">
        <f t="shared" si="23"/>
        <v>0.93</v>
      </c>
      <c r="K22">
        <f t="shared" si="24"/>
        <v>-256.4572700811658</v>
      </c>
      <c r="L22">
        <f t="shared" si="25"/>
        <v>-132.41647785308277</v>
      </c>
      <c r="M22">
        <f t="shared" si="26"/>
        <v>-3310.411946327069</v>
      </c>
      <c r="N22">
        <f t="shared" si="28"/>
        <v>-564205.99417856475</v>
      </c>
      <c r="O22" s="1">
        <f t="shared" si="27"/>
        <v>560895.58223223768</v>
      </c>
      <c r="P22" s="1">
        <f>SUM(Table2[Net Revenue])</f>
        <v>7267987.5867931889</v>
      </c>
    </row>
    <row r="23" spans="1:16" x14ac:dyDescent="0.3">
      <c r="A23" s="3">
        <f t="shared" si="15"/>
        <v>6</v>
      </c>
      <c r="B23">
        <f t="shared" si="21"/>
        <v>500</v>
      </c>
      <c r="C23">
        <f t="shared" si="22"/>
        <v>0.05</v>
      </c>
      <c r="D23">
        <f t="shared" si="16"/>
        <v>100</v>
      </c>
      <c r="E23">
        <f t="shared" si="17"/>
        <v>15</v>
      </c>
      <c r="F23">
        <f t="shared" si="18"/>
        <v>0.1</v>
      </c>
      <c r="G23">
        <f t="shared" si="19"/>
        <v>0.33</v>
      </c>
      <c r="H23">
        <f t="shared" si="20"/>
        <v>1</v>
      </c>
      <c r="I23">
        <v>3</v>
      </c>
      <c r="J23">
        <f t="shared" si="23"/>
        <v>0.93</v>
      </c>
      <c r="K23">
        <f t="shared" si="24"/>
        <v>-287.33184426862482</v>
      </c>
      <c r="L23">
        <f t="shared" si="25"/>
        <v>-128.35261614777167</v>
      </c>
      <c r="M23">
        <f t="shared" si="26"/>
        <v>-3208.8154036942919</v>
      </c>
      <c r="N23">
        <f t="shared" si="28"/>
        <v>-632130.0573909746</v>
      </c>
      <c r="O23" s="1">
        <f t="shared" si="27"/>
        <v>628921.24198728031</v>
      </c>
      <c r="P23" s="1">
        <f>SUM(Table2[Net Revenue])</f>
        <v>7267987.5867931889</v>
      </c>
    </row>
    <row r="24" spans="1:16" x14ac:dyDescent="0.3">
      <c r="A24" s="3">
        <f t="shared" si="15"/>
        <v>7</v>
      </c>
      <c r="B24">
        <f t="shared" si="21"/>
        <v>500</v>
      </c>
      <c r="C24">
        <f t="shared" si="22"/>
        <v>0.05</v>
      </c>
      <c r="D24">
        <f t="shared" si="16"/>
        <v>100</v>
      </c>
      <c r="E24">
        <f t="shared" si="17"/>
        <v>15</v>
      </c>
      <c r="F24">
        <f t="shared" si="18"/>
        <v>0.1</v>
      </c>
      <c r="G24">
        <f t="shared" si="19"/>
        <v>0.33</v>
      </c>
      <c r="H24">
        <f t="shared" si="20"/>
        <v>1</v>
      </c>
      <c r="I24">
        <v>3</v>
      </c>
      <c r="J24">
        <f t="shared" si="23"/>
        <v>0.93</v>
      </c>
      <c r="K24">
        <f t="shared" si="24"/>
        <v>-315.3216153839582</v>
      </c>
      <c r="L24">
        <f t="shared" si="25"/>
        <v>-124.41347435819655</v>
      </c>
      <c r="M24">
        <f t="shared" si="26"/>
        <v>-3110.3368589549136</v>
      </c>
      <c r="N24">
        <f t="shared" si="28"/>
        <v>-693707.55384470802</v>
      </c>
      <c r="O24" s="1">
        <f t="shared" si="27"/>
        <v>690597.21698575316</v>
      </c>
      <c r="P24" s="1">
        <f>SUM(Table2[Net Revenue])</f>
        <v>7267987.5867931889</v>
      </c>
    </row>
    <row r="25" spans="1:16" x14ac:dyDescent="0.3">
      <c r="A25" s="3">
        <f t="shared" si="15"/>
        <v>8</v>
      </c>
      <c r="B25">
        <f t="shared" si="21"/>
        <v>500</v>
      </c>
      <c r="C25">
        <f t="shared" si="22"/>
        <v>0.05</v>
      </c>
      <c r="D25">
        <f t="shared" si="16"/>
        <v>100</v>
      </c>
      <c r="E25">
        <f t="shared" si="17"/>
        <v>15</v>
      </c>
      <c r="F25">
        <f t="shared" si="18"/>
        <v>0.1</v>
      </c>
      <c r="G25">
        <f t="shared" si="19"/>
        <v>0.33</v>
      </c>
      <c r="H25">
        <f t="shared" si="20"/>
        <v>1</v>
      </c>
      <c r="I25">
        <v>3</v>
      </c>
      <c r="J25">
        <f t="shared" si="23"/>
        <v>0.93</v>
      </c>
      <c r="K25">
        <f t="shared" si="24"/>
        <v>-340.61198115296514</v>
      </c>
      <c r="L25">
        <f t="shared" si="25"/>
        <v>-120.59522483014351</v>
      </c>
      <c r="M25">
        <f t="shared" si="26"/>
        <v>-3014.8806207535877</v>
      </c>
      <c r="N25">
        <f t="shared" si="28"/>
        <v>-749346.3585365233</v>
      </c>
      <c r="O25" s="1">
        <f t="shared" si="27"/>
        <v>746331.47791576968</v>
      </c>
      <c r="P25" s="1">
        <f>SUM(Table2[Net Revenue])</f>
        <v>7267987.5867931889</v>
      </c>
    </row>
    <row r="26" spans="1:16" x14ac:dyDescent="0.3">
      <c r="A26" s="3">
        <f t="shared" si="15"/>
        <v>9</v>
      </c>
      <c r="B26">
        <f t="shared" si="21"/>
        <v>500</v>
      </c>
      <c r="C26">
        <f t="shared" si="22"/>
        <v>0.05</v>
      </c>
      <c r="D26">
        <f t="shared" si="16"/>
        <v>100</v>
      </c>
      <c r="E26">
        <f t="shared" si="17"/>
        <v>15</v>
      </c>
      <c r="F26">
        <f t="shared" si="18"/>
        <v>0.1</v>
      </c>
      <c r="G26">
        <f t="shared" si="19"/>
        <v>0.33</v>
      </c>
      <c r="H26">
        <f t="shared" si="20"/>
        <v>1</v>
      </c>
      <c r="I26">
        <v>3</v>
      </c>
      <c r="J26">
        <f t="shared" si="23"/>
        <v>0.93</v>
      </c>
      <c r="K26">
        <f t="shared" si="24"/>
        <v>-363.37780628926424</v>
      </c>
      <c r="L26">
        <f t="shared" si="25"/>
        <v>-116.89415738010641</v>
      </c>
      <c r="M26">
        <f t="shared" si="26"/>
        <v>-2922.3539345026602</v>
      </c>
      <c r="N26">
        <f t="shared" si="28"/>
        <v>-799431.17383638141</v>
      </c>
      <c r="O26" s="1">
        <f t="shared" si="27"/>
        <v>796508.81990187871</v>
      </c>
      <c r="P26" s="1">
        <f>SUM(Table2[Net Revenue])</f>
        <v>7267987.5867931889</v>
      </c>
    </row>
    <row r="27" spans="1:16" x14ac:dyDescent="0.3">
      <c r="A27" s="3">
        <f t="shared" si="15"/>
        <v>10</v>
      </c>
      <c r="B27">
        <f t="shared" si="21"/>
        <v>500</v>
      </c>
      <c r="C27">
        <f t="shared" si="22"/>
        <v>0.05</v>
      </c>
      <c r="D27">
        <f t="shared" si="16"/>
        <v>100</v>
      </c>
      <c r="E27">
        <f t="shared" si="17"/>
        <v>15</v>
      </c>
      <c r="F27">
        <f t="shared" si="18"/>
        <v>0.1</v>
      </c>
      <c r="G27">
        <f t="shared" si="19"/>
        <v>0.33</v>
      </c>
      <c r="H27">
        <f t="shared" si="20"/>
        <v>1</v>
      </c>
      <c r="I27">
        <v>3</v>
      </c>
      <c r="J27">
        <f t="shared" si="23"/>
        <v>0.93</v>
      </c>
      <c r="K27">
        <f t="shared" si="24"/>
        <v>-383.78398791023614</v>
      </c>
      <c r="L27">
        <f t="shared" si="25"/>
        <v>-113.30667569011094</v>
      </c>
      <c r="M27">
        <f t="shared" si="26"/>
        <v>-2832.6668922527733</v>
      </c>
      <c r="N27">
        <f t="shared" si="28"/>
        <v>-844324.77340251941</v>
      </c>
      <c r="O27" s="1">
        <f t="shared" si="27"/>
        <v>841492.10651026666</v>
      </c>
      <c r="P27" s="1">
        <f>SUM(Table2[Net Revenue])</f>
        <v>7267987.5867931889</v>
      </c>
    </row>
    <row r="28" spans="1:16" x14ac:dyDescent="0.3">
      <c r="A28" s="3">
        <f t="shared" si="15"/>
        <v>11</v>
      </c>
      <c r="B28">
        <f t="shared" si="21"/>
        <v>500</v>
      </c>
      <c r="C28">
        <f t="shared" si="22"/>
        <v>0.05</v>
      </c>
      <c r="D28">
        <f t="shared" si="16"/>
        <v>100</v>
      </c>
      <c r="E28">
        <f t="shared" si="17"/>
        <v>15</v>
      </c>
      <c r="F28">
        <f t="shared" si="18"/>
        <v>0.1</v>
      </c>
      <c r="G28">
        <f t="shared" si="19"/>
        <v>0.33</v>
      </c>
      <c r="H28">
        <f t="shared" si="20"/>
        <v>1</v>
      </c>
      <c r="I28">
        <v>3</v>
      </c>
      <c r="J28">
        <f t="shared" si="23"/>
        <v>0.93</v>
      </c>
      <c r="K28">
        <f t="shared" si="24"/>
        <v>-401.98599149246093</v>
      </c>
      <c r="L28">
        <f t="shared" si="25"/>
        <v>-109.82929381318144</v>
      </c>
      <c r="M28">
        <f t="shared" si="26"/>
        <v>-2745.7323453295357</v>
      </c>
      <c r="N28">
        <f t="shared" si="28"/>
        <v>-884369.1812834139</v>
      </c>
      <c r="O28" s="1">
        <f t="shared" si="27"/>
        <v>881623.44893808442</v>
      </c>
      <c r="P28" s="1">
        <f>SUM(Table2[Net Revenue])</f>
        <v>7267987.5867931889</v>
      </c>
    </row>
    <row r="29" spans="1:16" x14ac:dyDescent="0.3">
      <c r="A29" s="4">
        <f t="shared" si="15"/>
        <v>12</v>
      </c>
      <c r="B29">
        <f t="shared" si="21"/>
        <v>500</v>
      </c>
      <c r="C29">
        <f t="shared" si="22"/>
        <v>0.05</v>
      </c>
      <c r="D29">
        <f t="shared" si="16"/>
        <v>100</v>
      </c>
      <c r="E29">
        <f t="shared" si="17"/>
        <v>15</v>
      </c>
      <c r="F29">
        <f t="shared" si="18"/>
        <v>0.1</v>
      </c>
      <c r="G29">
        <f t="shared" si="19"/>
        <v>0.33</v>
      </c>
      <c r="H29">
        <f t="shared" si="20"/>
        <v>1</v>
      </c>
      <c r="I29">
        <v>3</v>
      </c>
      <c r="J29">
        <f t="shared" si="23"/>
        <v>0.93</v>
      </c>
      <c r="K29">
        <f t="shared" si="24"/>
        <v>-418.13035887618776</v>
      </c>
      <c r="L29">
        <f t="shared" si="25"/>
        <v>-106.45863278605489</v>
      </c>
      <c r="M29">
        <f t="shared" si="26"/>
        <v>-2661.4658196513724</v>
      </c>
      <c r="N29">
        <f t="shared" si="28"/>
        <v>-919886.78952761309</v>
      </c>
      <c r="O29" s="1">
        <f>M29-N29</f>
        <v>917225.32370796171</v>
      </c>
      <c r="P29" s="1">
        <f>SUM(Table2[Net Revenue])</f>
        <v>7267987.5867931889</v>
      </c>
    </row>
    <row r="30" spans="1:16" x14ac:dyDescent="0.3">
      <c r="P30" s="1"/>
    </row>
    <row r="32" spans="1:16" x14ac:dyDescent="0.3">
      <c r="A32" s="2" t="s">
        <v>0</v>
      </c>
      <c r="B32" t="s">
        <v>1</v>
      </c>
      <c r="C32" t="s">
        <v>2</v>
      </c>
      <c r="D32" t="s">
        <v>14</v>
      </c>
      <c r="E32" t="s">
        <v>13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  <c r="L32" t="s">
        <v>9</v>
      </c>
      <c r="M32" t="s">
        <v>10</v>
      </c>
      <c r="N32" t="s">
        <v>11</v>
      </c>
      <c r="O32" s="1" t="s">
        <v>12</v>
      </c>
    </row>
    <row r="33" spans="1:16" x14ac:dyDescent="0.3">
      <c r="A33" s="3">
        <v>1</v>
      </c>
      <c r="B33">
        <v>500</v>
      </c>
      <c r="C33">
        <v>0.05</v>
      </c>
      <c r="D33">
        <v>100</v>
      </c>
      <c r="E33">
        <f>(10+20)/2</f>
        <v>15</v>
      </c>
      <c r="F33">
        <v>0.1</v>
      </c>
      <c r="G33">
        <v>0.33</v>
      </c>
      <c r="H33">
        <v>1</v>
      </c>
      <c r="I33">
        <v>6</v>
      </c>
      <c r="J33">
        <f>0.93+((Table3[[#This Row],[Lyft''s Take per Ride]]-3)*(-0.33/3))</f>
        <v>0.60000000000000009</v>
      </c>
      <c r="K33">
        <f>-B33/C33/D33</f>
        <v>-100</v>
      </c>
      <c r="L33">
        <f>-E33/F33/H33</f>
        <v>-150</v>
      </c>
      <c r="M33">
        <v>0</v>
      </c>
      <c r="N33">
        <v>0</v>
      </c>
      <c r="O33" s="1">
        <v>0</v>
      </c>
    </row>
    <row r="34" spans="1:16" x14ac:dyDescent="0.3">
      <c r="A34" s="3">
        <f t="shared" ref="A34:A44" si="29">A33+1</f>
        <v>2</v>
      </c>
      <c r="B34">
        <f>B33</f>
        <v>500</v>
      </c>
      <c r="C34">
        <f>C33</f>
        <v>0.05</v>
      </c>
      <c r="D34">
        <f t="shared" ref="D34:D44" si="30">D33</f>
        <v>100</v>
      </c>
      <c r="E34">
        <f t="shared" ref="E34:E44" si="31">E33</f>
        <v>15</v>
      </c>
      <c r="F34">
        <f t="shared" ref="F34:F44" si="32">F33</f>
        <v>0.1</v>
      </c>
      <c r="G34">
        <f t="shared" ref="G34:G44" si="33">G33</f>
        <v>0.33</v>
      </c>
      <c r="H34">
        <f t="shared" ref="H34:H44" si="34">H33</f>
        <v>1</v>
      </c>
      <c r="I34">
        <v>4.5</v>
      </c>
      <c r="J34">
        <f>0.93+((Table3[[#This Row],[Lyft''s Take per Ride]]-3)*(-0.33/3))</f>
        <v>0.76500000000000001</v>
      </c>
      <c r="K34">
        <f>K33*(1-C34)+IF(J34&gt;0.6,(J34-0.6)*L33,0)</f>
        <v>-119.75</v>
      </c>
      <c r="L34">
        <f>L33*(1-(F34*(IF(J34&gt;=1,1,0)+G34*(IF(J34&lt;1,J34,0)))))</f>
        <v>-146.21325000000002</v>
      </c>
      <c r="M34">
        <f>L34*H34*25</f>
        <v>-3655.3312500000002</v>
      </c>
      <c r="N34">
        <f>K34*D34*(25-I34)</f>
        <v>-245487.5</v>
      </c>
      <c r="O34" s="1">
        <f>M34-N34</f>
        <v>241832.16875000001</v>
      </c>
    </row>
    <row r="35" spans="1:16" x14ac:dyDescent="0.3">
      <c r="A35" s="3">
        <f t="shared" si="29"/>
        <v>3</v>
      </c>
      <c r="B35">
        <f t="shared" ref="B35:B44" si="35">B34</f>
        <v>500</v>
      </c>
      <c r="C35">
        <f t="shared" ref="C35:C44" si="36">C34</f>
        <v>0.05</v>
      </c>
      <c r="D35">
        <f t="shared" si="30"/>
        <v>100</v>
      </c>
      <c r="E35">
        <f t="shared" si="31"/>
        <v>15</v>
      </c>
      <c r="F35">
        <f t="shared" si="32"/>
        <v>0.1</v>
      </c>
      <c r="G35">
        <f t="shared" si="33"/>
        <v>0.33</v>
      </c>
      <c r="H35">
        <f t="shared" si="34"/>
        <v>1</v>
      </c>
      <c r="I35">
        <f t="shared" ref="I35:I44" si="37">I34</f>
        <v>4.5</v>
      </c>
      <c r="J35">
        <f>0.93+((Table3[[#This Row],[Lyft''s Take per Ride]]-3)*(-0.33/3))</f>
        <v>0.76500000000000001</v>
      </c>
      <c r="K35">
        <f t="shared" ref="K35:K44" si="38">K34*(1-C35)+IF(J35&gt;0.6,(J35-0.6)*L34,0)</f>
        <v>-137.88768625</v>
      </c>
      <c r="L35">
        <f t="shared" ref="L35:L44" si="39">L34*(1-(F35*(IF(J35&gt;=1,1,0)+G35*(IF(J35&lt;1,J35,0)))))</f>
        <v>-142.52209650375002</v>
      </c>
      <c r="M35">
        <f t="shared" ref="M35:M44" si="40">L35*H35*25</f>
        <v>-3563.0524125937504</v>
      </c>
      <c r="N35">
        <f t="shared" ref="N35:N44" si="41">K35*D35*(25-I35)</f>
        <v>-282669.75681250001</v>
      </c>
      <c r="O35" s="1">
        <f t="shared" ref="O35:O44" si="42">M35-N35</f>
        <v>279106.70439990627</v>
      </c>
    </row>
    <row r="36" spans="1:16" x14ac:dyDescent="0.3">
      <c r="A36" s="3">
        <f t="shared" si="29"/>
        <v>4</v>
      </c>
      <c r="B36">
        <f t="shared" si="35"/>
        <v>500</v>
      </c>
      <c r="C36">
        <f t="shared" si="36"/>
        <v>0.05</v>
      </c>
      <c r="D36">
        <f t="shared" si="30"/>
        <v>100</v>
      </c>
      <c r="E36">
        <f t="shared" si="31"/>
        <v>15</v>
      </c>
      <c r="F36">
        <f t="shared" si="32"/>
        <v>0.1</v>
      </c>
      <c r="G36">
        <f t="shared" si="33"/>
        <v>0.33</v>
      </c>
      <c r="H36">
        <f t="shared" si="34"/>
        <v>1</v>
      </c>
      <c r="I36">
        <f t="shared" si="37"/>
        <v>4.5</v>
      </c>
      <c r="J36">
        <f>0.93+((Table3[[#This Row],[Lyft''s Take per Ride]]-3)*(-0.33/3))</f>
        <v>0.76500000000000001</v>
      </c>
      <c r="K36">
        <f t="shared" si="38"/>
        <v>-154.50944786061876</v>
      </c>
      <c r="L36">
        <f t="shared" si="39"/>
        <v>-138.92412617751285</v>
      </c>
      <c r="M36">
        <f t="shared" si="40"/>
        <v>-3473.1031544378211</v>
      </c>
      <c r="N36">
        <f t="shared" si="41"/>
        <v>-316744.36811426847</v>
      </c>
      <c r="O36" s="1">
        <f t="shared" si="42"/>
        <v>313271.26495983062</v>
      </c>
    </row>
    <row r="37" spans="1:16" x14ac:dyDescent="0.3">
      <c r="A37" s="3">
        <f t="shared" si="29"/>
        <v>5</v>
      </c>
      <c r="B37">
        <f t="shared" si="35"/>
        <v>500</v>
      </c>
      <c r="C37">
        <f t="shared" si="36"/>
        <v>0.05</v>
      </c>
      <c r="D37">
        <f t="shared" si="30"/>
        <v>100</v>
      </c>
      <c r="E37">
        <f t="shared" si="31"/>
        <v>15</v>
      </c>
      <c r="F37">
        <f t="shared" si="32"/>
        <v>0.1</v>
      </c>
      <c r="G37">
        <f t="shared" si="33"/>
        <v>0.33</v>
      </c>
      <c r="H37">
        <f t="shared" si="34"/>
        <v>1</v>
      </c>
      <c r="I37">
        <f t="shared" si="37"/>
        <v>4.5</v>
      </c>
      <c r="J37">
        <f>0.93+((Table3[[#This Row],[Lyft''s Take per Ride]]-3)*(-0.33/3))</f>
        <v>0.76500000000000001</v>
      </c>
      <c r="K37">
        <f t="shared" si="38"/>
        <v>-169.70645628687745</v>
      </c>
      <c r="L37">
        <f t="shared" si="39"/>
        <v>-135.41698661216154</v>
      </c>
      <c r="M37">
        <f t="shared" si="40"/>
        <v>-3385.4246653040386</v>
      </c>
      <c r="N37">
        <f t="shared" si="41"/>
        <v>-347898.23538809875</v>
      </c>
      <c r="O37" s="1">
        <f t="shared" si="42"/>
        <v>344512.81072279473</v>
      </c>
    </row>
    <row r="38" spans="1:16" x14ac:dyDescent="0.3">
      <c r="A38" s="3">
        <f t="shared" si="29"/>
        <v>6</v>
      </c>
      <c r="B38">
        <f t="shared" si="35"/>
        <v>500</v>
      </c>
      <c r="C38">
        <f t="shared" si="36"/>
        <v>0.05</v>
      </c>
      <c r="D38">
        <f t="shared" si="30"/>
        <v>100</v>
      </c>
      <c r="E38">
        <f t="shared" si="31"/>
        <v>15</v>
      </c>
      <c r="F38">
        <f t="shared" si="32"/>
        <v>0.1</v>
      </c>
      <c r="G38">
        <f t="shared" si="33"/>
        <v>0.33</v>
      </c>
      <c r="H38">
        <f t="shared" si="34"/>
        <v>1</v>
      </c>
      <c r="I38">
        <f t="shared" si="37"/>
        <v>4.5</v>
      </c>
      <c r="J38">
        <f>0.93+((Table3[[#This Row],[Lyft''s Take per Ride]]-3)*(-0.33/3))</f>
        <v>0.76500000000000001</v>
      </c>
      <c r="K38">
        <f t="shared" si="38"/>
        <v>-183.56493626354023</v>
      </c>
      <c r="L38">
        <f t="shared" si="39"/>
        <v>-131.99838478513752</v>
      </c>
      <c r="M38">
        <f t="shared" si="40"/>
        <v>-3299.9596196284378</v>
      </c>
      <c r="N38">
        <f t="shared" si="41"/>
        <v>-376308.11934025743</v>
      </c>
      <c r="O38" s="1">
        <f t="shared" si="42"/>
        <v>373008.15972062899</v>
      </c>
    </row>
    <row r="39" spans="1:16" x14ac:dyDescent="0.3">
      <c r="A39" s="3">
        <f t="shared" si="29"/>
        <v>7</v>
      </c>
      <c r="B39">
        <f t="shared" si="35"/>
        <v>500</v>
      </c>
      <c r="C39">
        <f t="shared" si="36"/>
        <v>0.05</v>
      </c>
      <c r="D39">
        <f t="shared" si="30"/>
        <v>100</v>
      </c>
      <c r="E39">
        <f t="shared" si="31"/>
        <v>15</v>
      </c>
      <c r="F39">
        <f t="shared" si="32"/>
        <v>0.1</v>
      </c>
      <c r="G39">
        <f t="shared" si="33"/>
        <v>0.33</v>
      </c>
      <c r="H39">
        <f t="shared" si="34"/>
        <v>1</v>
      </c>
      <c r="I39">
        <f t="shared" si="37"/>
        <v>4.5</v>
      </c>
      <c r="J39">
        <f>0.93+((Table3[[#This Row],[Lyft''s Take per Ride]]-3)*(-0.33/3))</f>
        <v>0.76500000000000001</v>
      </c>
      <c r="K39">
        <f t="shared" si="38"/>
        <v>-196.16642293991089</v>
      </c>
      <c r="L39">
        <f t="shared" si="39"/>
        <v>-128.66608556123671</v>
      </c>
      <c r="M39">
        <f t="shared" si="40"/>
        <v>-3216.6521390309176</v>
      </c>
      <c r="N39">
        <f t="shared" si="41"/>
        <v>-402141.16702681733</v>
      </c>
      <c r="O39" s="1">
        <f t="shared" si="42"/>
        <v>398924.51488778641</v>
      </c>
    </row>
    <row r="40" spans="1:16" x14ac:dyDescent="0.3">
      <c r="A40" s="3">
        <f t="shared" si="29"/>
        <v>8</v>
      </c>
      <c r="B40">
        <f t="shared" si="35"/>
        <v>500</v>
      </c>
      <c r="C40">
        <f t="shared" si="36"/>
        <v>0.05</v>
      </c>
      <c r="D40">
        <f t="shared" si="30"/>
        <v>100</v>
      </c>
      <c r="E40">
        <f t="shared" si="31"/>
        <v>15</v>
      </c>
      <c r="F40">
        <f t="shared" si="32"/>
        <v>0.1</v>
      </c>
      <c r="G40">
        <f t="shared" si="33"/>
        <v>0.33</v>
      </c>
      <c r="H40">
        <f t="shared" si="34"/>
        <v>1</v>
      </c>
      <c r="I40">
        <f t="shared" si="37"/>
        <v>4.5</v>
      </c>
      <c r="J40">
        <f>0.93+((Table3[[#This Row],[Lyft''s Take per Ride]]-3)*(-0.33/3))</f>
        <v>0.76500000000000001</v>
      </c>
      <c r="K40">
        <f t="shared" si="38"/>
        <v>-207.5880059105194</v>
      </c>
      <c r="L40">
        <f t="shared" si="39"/>
        <v>-125.4179102312433</v>
      </c>
      <c r="M40">
        <f t="shared" si="40"/>
        <v>-3135.4477557810824</v>
      </c>
      <c r="N40">
        <f t="shared" si="41"/>
        <v>-425555.41211656475</v>
      </c>
      <c r="O40" s="1">
        <f t="shared" si="42"/>
        <v>422419.96436078369</v>
      </c>
    </row>
    <row r="41" spans="1:16" x14ac:dyDescent="0.3">
      <c r="A41" s="3">
        <f t="shared" si="29"/>
        <v>9</v>
      </c>
      <c r="B41">
        <f t="shared" si="35"/>
        <v>500</v>
      </c>
      <c r="C41">
        <f t="shared" si="36"/>
        <v>0.05</v>
      </c>
      <c r="D41">
        <f t="shared" si="30"/>
        <v>100</v>
      </c>
      <c r="E41">
        <f t="shared" si="31"/>
        <v>15</v>
      </c>
      <c r="F41">
        <f t="shared" si="32"/>
        <v>0.1</v>
      </c>
      <c r="G41">
        <f t="shared" si="33"/>
        <v>0.33</v>
      </c>
      <c r="H41">
        <f t="shared" si="34"/>
        <v>1</v>
      </c>
      <c r="I41">
        <f t="shared" si="37"/>
        <v>4.5</v>
      </c>
      <c r="J41">
        <f>0.93+((Table3[[#This Row],[Lyft''s Take per Ride]]-3)*(-0.33/3))</f>
        <v>0.76500000000000001</v>
      </c>
      <c r="K41">
        <f t="shared" si="38"/>
        <v>-217.90256080314856</v>
      </c>
      <c r="L41">
        <f t="shared" si="39"/>
        <v>-122.25173508745557</v>
      </c>
      <c r="M41">
        <f t="shared" si="40"/>
        <v>-3056.2933771863891</v>
      </c>
      <c r="N41">
        <f t="shared" si="41"/>
        <v>-446700.24964645453</v>
      </c>
      <c r="O41" s="1">
        <f t="shared" si="42"/>
        <v>443643.95626926812</v>
      </c>
    </row>
    <row r="42" spans="1:16" x14ac:dyDescent="0.3">
      <c r="A42" s="3">
        <f t="shared" si="29"/>
        <v>10</v>
      </c>
      <c r="B42">
        <f t="shared" si="35"/>
        <v>500</v>
      </c>
      <c r="C42">
        <f t="shared" si="36"/>
        <v>0.05</v>
      </c>
      <c r="D42">
        <f t="shared" si="30"/>
        <v>100</v>
      </c>
      <c r="E42">
        <f t="shared" si="31"/>
        <v>15</v>
      </c>
      <c r="F42">
        <f t="shared" si="32"/>
        <v>0.1</v>
      </c>
      <c r="G42">
        <f t="shared" si="33"/>
        <v>0.33</v>
      </c>
      <c r="H42">
        <f t="shared" si="34"/>
        <v>1</v>
      </c>
      <c r="I42">
        <f t="shared" si="37"/>
        <v>4.5</v>
      </c>
      <c r="J42">
        <f>0.93+((Table3[[#This Row],[Lyft''s Take per Ride]]-3)*(-0.33/3))</f>
        <v>0.76500000000000001</v>
      </c>
      <c r="K42">
        <f t="shared" si="38"/>
        <v>-227.17896905242131</v>
      </c>
      <c r="L42">
        <f t="shared" si="39"/>
        <v>-119.16549003517277</v>
      </c>
      <c r="M42">
        <f t="shared" si="40"/>
        <v>-2979.1372508793193</v>
      </c>
      <c r="N42">
        <f t="shared" si="41"/>
        <v>-465716.88655746367</v>
      </c>
      <c r="O42" s="1">
        <f t="shared" si="42"/>
        <v>462737.74930658436</v>
      </c>
    </row>
    <row r="43" spans="1:16" x14ac:dyDescent="0.3">
      <c r="A43" s="3">
        <f t="shared" si="29"/>
        <v>11</v>
      </c>
      <c r="B43">
        <f t="shared" si="35"/>
        <v>500</v>
      </c>
      <c r="C43">
        <f t="shared" si="36"/>
        <v>0.05</v>
      </c>
      <c r="D43">
        <f t="shared" si="30"/>
        <v>100</v>
      </c>
      <c r="E43">
        <f t="shared" si="31"/>
        <v>15</v>
      </c>
      <c r="F43">
        <f t="shared" si="32"/>
        <v>0.1</v>
      </c>
      <c r="G43">
        <f t="shared" si="33"/>
        <v>0.33</v>
      </c>
      <c r="H43">
        <f t="shared" si="34"/>
        <v>1</v>
      </c>
      <c r="I43">
        <f t="shared" si="37"/>
        <v>4.5</v>
      </c>
      <c r="J43">
        <f>0.93+((Table3[[#This Row],[Lyft''s Take per Ride]]-3)*(-0.33/3))</f>
        <v>0.76500000000000001</v>
      </c>
      <c r="K43">
        <f t="shared" si="38"/>
        <v>-235.48232645560375</v>
      </c>
      <c r="L43">
        <f t="shared" si="39"/>
        <v>-116.15715723923483</v>
      </c>
      <c r="M43">
        <f t="shared" si="40"/>
        <v>-2903.928930980871</v>
      </c>
      <c r="N43">
        <f t="shared" si="41"/>
        <v>-482738.76923398772</v>
      </c>
      <c r="O43" s="1">
        <f t="shared" si="42"/>
        <v>479834.84030300687</v>
      </c>
    </row>
    <row r="44" spans="1:16" x14ac:dyDescent="0.3">
      <c r="A44" s="4">
        <f t="shared" si="29"/>
        <v>12</v>
      </c>
      <c r="B44">
        <f t="shared" si="35"/>
        <v>500</v>
      </c>
      <c r="C44">
        <f t="shared" si="36"/>
        <v>0.05</v>
      </c>
      <c r="D44">
        <f t="shared" si="30"/>
        <v>100</v>
      </c>
      <c r="E44">
        <f t="shared" si="31"/>
        <v>15</v>
      </c>
      <c r="F44">
        <f t="shared" si="32"/>
        <v>0.1</v>
      </c>
      <c r="G44">
        <f t="shared" si="33"/>
        <v>0.33</v>
      </c>
      <c r="H44">
        <f t="shared" si="34"/>
        <v>1</v>
      </c>
      <c r="I44">
        <f t="shared" si="37"/>
        <v>4.5</v>
      </c>
      <c r="J44">
        <f>0.93+((Table3[[#This Row],[Lyft''s Take per Ride]]-3)*(-0.33/3))</f>
        <v>0.76500000000000001</v>
      </c>
      <c r="K44">
        <f t="shared" si="38"/>
        <v>-242.87414107729731</v>
      </c>
      <c r="L44">
        <f t="shared" si="39"/>
        <v>-113.22476980473036</v>
      </c>
      <c r="M44">
        <f t="shared" si="40"/>
        <v>-2830.6192451182587</v>
      </c>
      <c r="N44">
        <f t="shared" si="41"/>
        <v>-497891.9892084595</v>
      </c>
      <c r="O44" s="1">
        <f t="shared" si="42"/>
        <v>495061.36996334122</v>
      </c>
    </row>
    <row r="47" spans="1:16" x14ac:dyDescent="0.3">
      <c r="A47" s="2" t="s">
        <v>0</v>
      </c>
      <c r="B47" t="s">
        <v>1</v>
      </c>
      <c r="C47" t="s">
        <v>2</v>
      </c>
      <c r="D47" t="s">
        <v>14</v>
      </c>
      <c r="E47" t="s">
        <v>13</v>
      </c>
      <c r="F47" t="s">
        <v>3</v>
      </c>
      <c r="G47" t="s">
        <v>4</v>
      </c>
      <c r="H47" t="s">
        <v>5</v>
      </c>
      <c r="I47" t="s">
        <v>6</v>
      </c>
      <c r="J47" t="s">
        <v>7</v>
      </c>
      <c r="K47" t="s">
        <v>8</v>
      </c>
      <c r="L47" t="s">
        <v>9</v>
      </c>
      <c r="M47" t="s">
        <v>10</v>
      </c>
      <c r="N47" t="s">
        <v>11</v>
      </c>
      <c r="O47" s="1" t="s">
        <v>12</v>
      </c>
      <c r="P47" t="s">
        <v>16</v>
      </c>
    </row>
    <row r="48" spans="1:16" x14ac:dyDescent="0.3">
      <c r="A48" s="3">
        <v>1</v>
      </c>
      <c r="B48">
        <v>500</v>
      </c>
      <c r="C48">
        <v>0.05</v>
      </c>
      <c r="D48">
        <v>100</v>
      </c>
      <c r="E48">
        <f>(10+20)/2</f>
        <v>15</v>
      </c>
      <c r="F48">
        <v>0.1</v>
      </c>
      <c r="G48">
        <v>0.33</v>
      </c>
      <c r="H48">
        <v>1</v>
      </c>
      <c r="I48">
        <v>6</v>
      </c>
      <c r="J48">
        <f>0.93+((Table4[[#This Row],[Lyft''s Take per Ride]]-3)*(-0.33/3))</f>
        <v>0.60000000000000009</v>
      </c>
      <c r="K48">
        <f>-B48/C48/D48</f>
        <v>-100</v>
      </c>
      <c r="L48">
        <f>-E48/F48/H48</f>
        <v>-150</v>
      </c>
      <c r="M48">
        <v>0</v>
      </c>
      <c r="N48">
        <v>0</v>
      </c>
      <c r="O48" s="1">
        <v>0</v>
      </c>
      <c r="P48" s="1">
        <f>SUM(Table4[Net Revenue])</f>
        <v>8331635.73649156</v>
      </c>
    </row>
    <row r="49" spans="1:16" x14ac:dyDescent="0.3">
      <c r="A49" s="3">
        <f t="shared" ref="A49:A59" si="43">A48+1</f>
        <v>2</v>
      </c>
      <c r="B49">
        <f>B48</f>
        <v>500</v>
      </c>
      <c r="C49">
        <f>C48</f>
        <v>0.05</v>
      </c>
      <c r="D49">
        <f t="shared" ref="D49:D59" si="44">D48</f>
        <v>100</v>
      </c>
      <c r="E49">
        <f t="shared" ref="E49:E59" si="45">E48</f>
        <v>15</v>
      </c>
      <c r="F49">
        <f t="shared" ref="F49:F59" si="46">F48</f>
        <v>0.1</v>
      </c>
      <c r="G49">
        <f t="shared" ref="G49:G59" si="47">G48</f>
        <v>0.33</v>
      </c>
      <c r="H49">
        <f t="shared" ref="H49:H59" si="48">H48</f>
        <v>1</v>
      </c>
      <c r="I49">
        <v>2.5</v>
      </c>
      <c r="J49">
        <f>0.93+((Table4[[#This Row],[Lyft''s Take per Ride]]-3)*(-0.33/3))</f>
        <v>0.9850000000000001</v>
      </c>
      <c r="K49">
        <f>K48*(1-C49)+IF(J49&gt;0.6,(J49-0.6)*L48,0)</f>
        <v>-152.75000000000003</v>
      </c>
      <c r="L49">
        <f>L48*(1-(F49*(IF(J49&gt;=1,1,0)+G49*(IF(J49&lt;1,J49,0)))))</f>
        <v>-145.12424999999999</v>
      </c>
      <c r="M49">
        <f>L49*H49*25</f>
        <v>-3628.1062499999998</v>
      </c>
      <c r="N49">
        <f>K49*D49*(25-I49)</f>
        <v>-343687.50000000006</v>
      </c>
      <c r="O49" s="1">
        <f>M49-N49</f>
        <v>340059.39375000005</v>
      </c>
      <c r="P49" s="1">
        <f>SUM(Table4[Net Revenue])</f>
        <v>8331635.73649156</v>
      </c>
    </row>
    <row r="50" spans="1:16" x14ac:dyDescent="0.3">
      <c r="A50" s="3">
        <f t="shared" si="43"/>
        <v>3</v>
      </c>
      <c r="B50">
        <f t="shared" ref="B50:B59" si="49">B49</f>
        <v>500</v>
      </c>
      <c r="C50">
        <f t="shared" ref="C50:C59" si="50">C49</f>
        <v>0.05</v>
      </c>
      <c r="D50">
        <f t="shared" si="44"/>
        <v>100</v>
      </c>
      <c r="E50">
        <f t="shared" si="45"/>
        <v>15</v>
      </c>
      <c r="F50">
        <f t="shared" si="46"/>
        <v>0.1</v>
      </c>
      <c r="G50">
        <f t="shared" si="47"/>
        <v>0.33</v>
      </c>
      <c r="H50">
        <f t="shared" si="48"/>
        <v>1</v>
      </c>
      <c r="I50">
        <f>I49</f>
        <v>2.5</v>
      </c>
      <c r="J50">
        <f>0.93+((Table4[[#This Row],[Lyft''s Take per Ride]]-3)*(-0.33/3))</f>
        <v>0.9850000000000001</v>
      </c>
      <c r="K50">
        <f t="shared" ref="K50:K59" si="51">K49*(1-C50)+IF(J50&gt;0.6,(J50-0.6)*L49,0)</f>
        <v>-200.98533625000002</v>
      </c>
      <c r="L50">
        <f t="shared" ref="L50:L59" si="52">L49*(1-(F50*(IF(J50&gt;=1,1,0)+G50*(IF(J50&lt;1,J50,0)))))</f>
        <v>-140.40698625374998</v>
      </c>
      <c r="M50">
        <f t="shared" ref="M50:M59" si="53">L50*H50*25</f>
        <v>-3510.1746563437496</v>
      </c>
      <c r="N50">
        <f>K50*D50*(25-I50)</f>
        <v>-452217.00656250003</v>
      </c>
      <c r="O50" s="1">
        <f t="shared" ref="O50:O56" si="54">M50-N50</f>
        <v>448706.83190615627</v>
      </c>
      <c r="P50" s="1">
        <f>SUM(Table4[Net Revenue])</f>
        <v>8331635.73649156</v>
      </c>
    </row>
    <row r="51" spans="1:16" x14ac:dyDescent="0.3">
      <c r="A51" s="3">
        <f t="shared" si="43"/>
        <v>4</v>
      </c>
      <c r="B51">
        <f t="shared" si="49"/>
        <v>500</v>
      </c>
      <c r="C51">
        <f t="shared" si="50"/>
        <v>0.05</v>
      </c>
      <c r="D51">
        <f t="shared" si="44"/>
        <v>100</v>
      </c>
      <c r="E51">
        <f t="shared" si="45"/>
        <v>15</v>
      </c>
      <c r="F51">
        <f t="shared" si="46"/>
        <v>0.1</v>
      </c>
      <c r="G51">
        <f t="shared" si="47"/>
        <v>0.33</v>
      </c>
      <c r="H51">
        <f t="shared" si="48"/>
        <v>1</v>
      </c>
      <c r="I51">
        <f>I50</f>
        <v>2.5</v>
      </c>
      <c r="J51">
        <f>0.93+((Table4[[#This Row],[Lyft''s Take per Ride]]-3)*(-0.33/3))</f>
        <v>0.9850000000000001</v>
      </c>
      <c r="K51">
        <f t="shared" si="51"/>
        <v>-244.99275914519376</v>
      </c>
      <c r="L51">
        <f t="shared" si="52"/>
        <v>-135.84305716557182</v>
      </c>
      <c r="M51">
        <f t="shared" si="53"/>
        <v>-3396.0764291392957</v>
      </c>
      <c r="N51">
        <f t="shared" ref="N51:N59" si="55">K51*D51*(25-I51)</f>
        <v>-551233.70807668602</v>
      </c>
      <c r="O51" s="1">
        <f t="shared" si="54"/>
        <v>547837.63164754678</v>
      </c>
      <c r="P51" s="1">
        <f>SUM(Table4[Net Revenue])</f>
        <v>8331635.73649156</v>
      </c>
    </row>
    <row r="52" spans="1:16" x14ac:dyDescent="0.3">
      <c r="A52" s="3">
        <f t="shared" si="43"/>
        <v>5</v>
      </c>
      <c r="B52">
        <f t="shared" si="49"/>
        <v>500</v>
      </c>
      <c r="C52">
        <f t="shared" si="50"/>
        <v>0.05</v>
      </c>
      <c r="D52">
        <f t="shared" si="44"/>
        <v>100</v>
      </c>
      <c r="E52">
        <f t="shared" si="45"/>
        <v>15</v>
      </c>
      <c r="F52">
        <f t="shared" si="46"/>
        <v>0.1</v>
      </c>
      <c r="G52">
        <f t="shared" si="47"/>
        <v>0.33</v>
      </c>
      <c r="H52">
        <f t="shared" si="48"/>
        <v>1</v>
      </c>
      <c r="I52">
        <f t="shared" ref="I52:I59" si="56">I51</f>
        <v>2.5</v>
      </c>
      <c r="J52">
        <f>0.93+((Table4[[#This Row],[Lyft''s Take per Ride]]-3)*(-0.33/3))</f>
        <v>0.9850000000000001</v>
      </c>
      <c r="K52">
        <f t="shared" si="51"/>
        <v>-285.04269819667923</v>
      </c>
      <c r="L52">
        <f t="shared" si="52"/>
        <v>-131.4274785924049</v>
      </c>
      <c r="M52">
        <f t="shared" si="53"/>
        <v>-3285.6869648101224</v>
      </c>
      <c r="N52">
        <f t="shared" si="55"/>
        <v>-641346.07094252831</v>
      </c>
      <c r="O52" s="1">
        <f t="shared" si="54"/>
        <v>638060.38397771819</v>
      </c>
      <c r="P52" s="1">
        <f>SUM(Table4[Net Revenue])</f>
        <v>8331635.73649156</v>
      </c>
    </row>
    <row r="53" spans="1:16" x14ac:dyDescent="0.3">
      <c r="A53" s="3">
        <f t="shared" si="43"/>
        <v>6</v>
      </c>
      <c r="B53">
        <f t="shared" si="49"/>
        <v>500</v>
      </c>
      <c r="C53">
        <f t="shared" si="50"/>
        <v>0.05</v>
      </c>
      <c r="D53">
        <f t="shared" si="44"/>
        <v>100</v>
      </c>
      <c r="E53">
        <f t="shared" si="45"/>
        <v>15</v>
      </c>
      <c r="F53">
        <f t="shared" si="46"/>
        <v>0.1</v>
      </c>
      <c r="G53">
        <f t="shared" si="47"/>
        <v>0.33</v>
      </c>
      <c r="H53">
        <f t="shared" si="48"/>
        <v>1</v>
      </c>
      <c r="I53">
        <f t="shared" si="56"/>
        <v>2.5</v>
      </c>
      <c r="J53">
        <f>0.93+((Table4[[#This Row],[Lyft''s Take per Ride]]-3)*(-0.33/3))</f>
        <v>0.9850000000000001</v>
      </c>
      <c r="K53">
        <f t="shared" si="51"/>
        <v>-321.39014254492116</v>
      </c>
      <c r="L53">
        <f t="shared" si="52"/>
        <v>-127.15542840075878</v>
      </c>
      <c r="M53">
        <f t="shared" si="53"/>
        <v>-3178.8857100189693</v>
      </c>
      <c r="N53">
        <f t="shared" si="55"/>
        <v>-723127.82072607253</v>
      </c>
      <c r="O53" s="1">
        <f t="shared" si="54"/>
        <v>719948.93501605361</v>
      </c>
      <c r="P53" s="1">
        <f>SUM(Table4[Net Revenue])</f>
        <v>8331635.73649156</v>
      </c>
    </row>
    <row r="54" spans="1:16" x14ac:dyDescent="0.3">
      <c r="A54" s="3">
        <f t="shared" si="43"/>
        <v>7</v>
      </c>
      <c r="B54">
        <f t="shared" si="49"/>
        <v>500</v>
      </c>
      <c r="C54">
        <f t="shared" si="50"/>
        <v>0.05</v>
      </c>
      <c r="D54">
        <f t="shared" si="44"/>
        <v>100</v>
      </c>
      <c r="E54">
        <f t="shared" si="45"/>
        <v>15</v>
      </c>
      <c r="F54">
        <f t="shared" si="46"/>
        <v>0.1</v>
      </c>
      <c r="G54">
        <f t="shared" si="47"/>
        <v>0.33</v>
      </c>
      <c r="H54">
        <f t="shared" si="48"/>
        <v>1</v>
      </c>
      <c r="I54">
        <f t="shared" si="56"/>
        <v>2.5</v>
      </c>
      <c r="J54">
        <f>0.93+((Table4[[#This Row],[Lyft''s Take per Ride]]-3)*(-0.33/3))</f>
        <v>0.9850000000000001</v>
      </c>
      <c r="K54">
        <f t="shared" si="51"/>
        <v>-354.2754753519672</v>
      </c>
      <c r="L54">
        <f t="shared" si="52"/>
        <v>-123.02224120059212</v>
      </c>
      <c r="M54">
        <f t="shared" si="53"/>
        <v>-3075.5560300148031</v>
      </c>
      <c r="N54">
        <f t="shared" si="55"/>
        <v>-797119.81954192615</v>
      </c>
      <c r="O54" s="1">
        <f t="shared" si="54"/>
        <v>794044.26351191138</v>
      </c>
      <c r="P54" s="1">
        <f>SUM(Table4[Net Revenue])</f>
        <v>8331635.73649156</v>
      </c>
    </row>
    <row r="55" spans="1:16" x14ac:dyDescent="0.3">
      <c r="A55" s="3">
        <f t="shared" si="43"/>
        <v>8</v>
      </c>
      <c r="B55">
        <f t="shared" si="49"/>
        <v>500</v>
      </c>
      <c r="C55">
        <f t="shared" si="50"/>
        <v>0.05</v>
      </c>
      <c r="D55">
        <f t="shared" si="44"/>
        <v>100</v>
      </c>
      <c r="E55">
        <f t="shared" si="45"/>
        <v>15</v>
      </c>
      <c r="F55">
        <f t="shared" si="46"/>
        <v>0.1</v>
      </c>
      <c r="G55">
        <f t="shared" si="47"/>
        <v>0.33</v>
      </c>
      <c r="H55">
        <f t="shared" si="48"/>
        <v>1</v>
      </c>
      <c r="I55">
        <f t="shared" si="56"/>
        <v>2.5</v>
      </c>
      <c r="J55">
        <f>0.93+((Table4[[#This Row],[Lyft''s Take per Ride]]-3)*(-0.33/3))</f>
        <v>0.9850000000000001</v>
      </c>
      <c r="K55">
        <f t="shared" si="51"/>
        <v>-383.92526444659683</v>
      </c>
      <c r="L55">
        <f t="shared" si="52"/>
        <v>-119.02340325036687</v>
      </c>
      <c r="M55">
        <f t="shared" si="53"/>
        <v>-2975.5850812591716</v>
      </c>
      <c r="N55">
        <f t="shared" si="55"/>
        <v>-863831.84500484285</v>
      </c>
      <c r="O55" s="1">
        <f t="shared" si="54"/>
        <v>860856.25992358371</v>
      </c>
      <c r="P55" s="1">
        <f>SUM(Table4[Net Revenue])</f>
        <v>8331635.73649156</v>
      </c>
    </row>
    <row r="56" spans="1:16" x14ac:dyDescent="0.3">
      <c r="A56" s="3">
        <f t="shared" si="43"/>
        <v>9</v>
      </c>
      <c r="B56">
        <f t="shared" si="49"/>
        <v>500</v>
      </c>
      <c r="C56">
        <f t="shared" si="50"/>
        <v>0.05</v>
      </c>
      <c r="D56">
        <f t="shared" si="44"/>
        <v>100</v>
      </c>
      <c r="E56">
        <f t="shared" si="45"/>
        <v>15</v>
      </c>
      <c r="F56">
        <f t="shared" si="46"/>
        <v>0.1</v>
      </c>
      <c r="G56">
        <f t="shared" si="47"/>
        <v>0.33</v>
      </c>
      <c r="H56">
        <f t="shared" si="48"/>
        <v>1</v>
      </c>
      <c r="I56">
        <f t="shared" si="56"/>
        <v>2.5</v>
      </c>
      <c r="J56">
        <f>0.93+((Table4[[#This Row],[Lyft''s Take per Ride]]-3)*(-0.33/3))</f>
        <v>0.9850000000000001</v>
      </c>
      <c r="K56">
        <f t="shared" si="51"/>
        <v>-410.55301147565825</v>
      </c>
      <c r="L56">
        <f t="shared" si="52"/>
        <v>-115.15454752771369</v>
      </c>
      <c r="M56">
        <f t="shared" si="53"/>
        <v>-2878.8636881928423</v>
      </c>
      <c r="N56">
        <f t="shared" si="55"/>
        <v>-923744.27582023107</v>
      </c>
      <c r="O56" s="1">
        <f t="shared" si="54"/>
        <v>920865.41213203827</v>
      </c>
      <c r="P56" s="1">
        <f>SUM(Table4[Net Revenue])</f>
        <v>8331635.73649156</v>
      </c>
    </row>
    <row r="57" spans="1:16" x14ac:dyDescent="0.3">
      <c r="A57" s="3">
        <f t="shared" si="43"/>
        <v>10</v>
      </c>
      <c r="B57">
        <f t="shared" si="49"/>
        <v>500</v>
      </c>
      <c r="C57">
        <f t="shared" si="50"/>
        <v>0.05</v>
      </c>
      <c r="D57">
        <f t="shared" si="44"/>
        <v>100</v>
      </c>
      <c r="E57">
        <f t="shared" si="45"/>
        <v>15</v>
      </c>
      <c r="F57">
        <f t="shared" si="46"/>
        <v>0.1</v>
      </c>
      <c r="G57">
        <f t="shared" si="47"/>
        <v>0.33</v>
      </c>
      <c r="H57">
        <f t="shared" si="48"/>
        <v>1</v>
      </c>
      <c r="I57">
        <f t="shared" si="56"/>
        <v>2.5</v>
      </c>
      <c r="J57">
        <f>0.93+((Table4[[#This Row],[Lyft''s Take per Ride]]-3)*(-0.33/3))</f>
        <v>0.9850000000000001</v>
      </c>
      <c r="K57">
        <f t="shared" si="51"/>
        <v>-434.35986170004514</v>
      </c>
      <c r="L57">
        <f t="shared" si="52"/>
        <v>-111.41144896032536</v>
      </c>
      <c r="M57">
        <f t="shared" si="53"/>
        <v>-2785.286224008134</v>
      </c>
      <c r="N57">
        <f t="shared" si="55"/>
        <v>-977309.68882510159</v>
      </c>
      <c r="O57" s="1">
        <f>M57-N57</f>
        <v>974524.4026010934</v>
      </c>
      <c r="P57" s="1">
        <f>SUM(Table4[Net Revenue])</f>
        <v>8331635.73649156</v>
      </c>
    </row>
    <row r="58" spans="1:16" x14ac:dyDescent="0.3">
      <c r="A58" s="3">
        <f t="shared" si="43"/>
        <v>11</v>
      </c>
      <c r="B58">
        <f t="shared" si="49"/>
        <v>500</v>
      </c>
      <c r="C58">
        <f t="shared" si="50"/>
        <v>0.05</v>
      </c>
      <c r="D58">
        <f t="shared" si="44"/>
        <v>100</v>
      </c>
      <c r="E58">
        <f t="shared" si="45"/>
        <v>15</v>
      </c>
      <c r="F58">
        <f t="shared" si="46"/>
        <v>0.1</v>
      </c>
      <c r="G58">
        <f t="shared" si="47"/>
        <v>0.33</v>
      </c>
      <c r="H58">
        <f t="shared" si="48"/>
        <v>1</v>
      </c>
      <c r="I58">
        <f t="shared" si="56"/>
        <v>2.5</v>
      </c>
      <c r="J58">
        <f>0.93+((Table4[[#This Row],[Lyft''s Take per Ride]]-3)*(-0.33/3))</f>
        <v>0.9850000000000001</v>
      </c>
      <c r="K58">
        <f t="shared" si="51"/>
        <v>-455.53527646476817</v>
      </c>
      <c r="L58">
        <f t="shared" si="52"/>
        <v>-107.79001981186998</v>
      </c>
      <c r="M58">
        <f t="shared" si="53"/>
        <v>-2694.7504952967497</v>
      </c>
      <c r="N58">
        <f t="shared" si="55"/>
        <v>-1024954.3720457284</v>
      </c>
      <c r="O58" s="1">
        <f>M58-N58</f>
        <v>1022259.6215504316</v>
      </c>
      <c r="P58" s="1">
        <f>SUM(Table4[Net Revenue])</f>
        <v>8331635.73649156</v>
      </c>
    </row>
    <row r="59" spans="1:16" x14ac:dyDescent="0.3">
      <c r="A59" s="4">
        <f t="shared" si="43"/>
        <v>12</v>
      </c>
      <c r="B59">
        <f t="shared" si="49"/>
        <v>500</v>
      </c>
      <c r="C59">
        <f t="shared" si="50"/>
        <v>0.05</v>
      </c>
      <c r="D59">
        <f t="shared" si="44"/>
        <v>100</v>
      </c>
      <c r="E59">
        <f t="shared" si="45"/>
        <v>15</v>
      </c>
      <c r="F59">
        <f t="shared" si="46"/>
        <v>0.1</v>
      </c>
      <c r="G59">
        <f t="shared" si="47"/>
        <v>0.33</v>
      </c>
      <c r="H59">
        <f t="shared" si="48"/>
        <v>1</v>
      </c>
      <c r="I59">
        <f t="shared" si="56"/>
        <v>2.5</v>
      </c>
      <c r="J59">
        <f>0.93+((Table4[[#This Row],[Lyft''s Take per Ride]]-3)*(-0.33/3))</f>
        <v>0.9850000000000001</v>
      </c>
      <c r="K59">
        <f t="shared" si="51"/>
        <v>-474.25767026909972</v>
      </c>
      <c r="L59">
        <f t="shared" si="52"/>
        <v>-104.28630521788514</v>
      </c>
      <c r="M59">
        <f t="shared" si="53"/>
        <v>-2607.1576304471287</v>
      </c>
      <c r="N59">
        <f t="shared" si="55"/>
        <v>-1067079.7581054743</v>
      </c>
      <c r="O59" s="1">
        <f>M59-N59</f>
        <v>1064472.6004750272</v>
      </c>
      <c r="P59" s="1">
        <f>SUM(Table4[Net Revenue])</f>
        <v>8331635.73649156</v>
      </c>
    </row>
    <row r="60" spans="1:16" x14ac:dyDescent="0.3">
      <c r="P60" s="1"/>
    </row>
    <row r="63" spans="1:16" x14ac:dyDescent="0.3">
      <c r="A63" s="2" t="s">
        <v>0</v>
      </c>
      <c r="B63" t="s">
        <v>1</v>
      </c>
      <c r="C63" t="s">
        <v>2</v>
      </c>
      <c r="D63" t="s">
        <v>14</v>
      </c>
      <c r="E63" t="s">
        <v>13</v>
      </c>
      <c r="F63" t="s">
        <v>3</v>
      </c>
      <c r="G63" t="s">
        <v>4</v>
      </c>
      <c r="H63" t="s">
        <v>5</v>
      </c>
      <c r="I63" t="s">
        <v>6</v>
      </c>
      <c r="J63" t="s">
        <v>7</v>
      </c>
      <c r="K63" t="s">
        <v>8</v>
      </c>
      <c r="L63" t="s">
        <v>9</v>
      </c>
      <c r="M63" t="s">
        <v>10</v>
      </c>
      <c r="N63" t="s">
        <v>11</v>
      </c>
      <c r="O63" s="1" t="s">
        <v>12</v>
      </c>
      <c r="P63" t="s">
        <v>16</v>
      </c>
    </row>
    <row r="64" spans="1:16" x14ac:dyDescent="0.3">
      <c r="A64" s="3">
        <v>1</v>
      </c>
      <c r="B64">
        <v>500</v>
      </c>
      <c r="C64">
        <v>0.05</v>
      </c>
      <c r="D64">
        <v>100</v>
      </c>
      <c r="E64">
        <f>(10+20)/2</f>
        <v>15</v>
      </c>
      <c r="F64">
        <v>0.1</v>
      </c>
      <c r="G64">
        <v>0.33</v>
      </c>
      <c r="H64">
        <v>1</v>
      </c>
      <c r="I64">
        <v>6</v>
      </c>
      <c r="J64">
        <f>0.93+((Table5[[#This Row],[Lyft''s Take per Ride]]-3)*(-0.33/3))</f>
        <v>0.60000000000000009</v>
      </c>
      <c r="K64">
        <f>-B64/C64/D64</f>
        <v>-100</v>
      </c>
      <c r="L64">
        <f>-E64/F64/H64</f>
        <v>-150</v>
      </c>
      <c r="M64">
        <v>0</v>
      </c>
      <c r="N64">
        <v>0</v>
      </c>
      <c r="O64" s="1">
        <v>0</v>
      </c>
      <c r="P64" s="1">
        <f>SUM(Table5[Net Revenue])</f>
        <v>8612882.3725231737</v>
      </c>
    </row>
    <row r="65" spans="1:16" x14ac:dyDescent="0.3">
      <c r="A65" s="3">
        <f t="shared" ref="A65:A75" si="57">A64+1</f>
        <v>2</v>
      </c>
      <c r="B65">
        <f>B64</f>
        <v>500</v>
      </c>
      <c r="C65">
        <f>C64</f>
        <v>0.05</v>
      </c>
      <c r="D65">
        <f t="shared" ref="D65:D75" si="58">D64</f>
        <v>100</v>
      </c>
      <c r="E65">
        <f t="shared" ref="E65:E75" si="59">E64</f>
        <v>15</v>
      </c>
      <c r="F65">
        <f t="shared" ref="F65:F75" si="60">F64</f>
        <v>0.1</v>
      </c>
      <c r="G65">
        <f t="shared" ref="G65:G75" si="61">G64</f>
        <v>0.33</v>
      </c>
      <c r="H65">
        <f t="shared" ref="H65:H75" si="62">H64</f>
        <v>1</v>
      </c>
      <c r="I65">
        <v>2.37</v>
      </c>
      <c r="J65">
        <f>0.93+((Table5[[#This Row],[Lyft''s Take per Ride]]-3)*(-0.33/3))</f>
        <v>0.99930000000000008</v>
      </c>
      <c r="K65">
        <f>K64*(1-C65)+IF(J65&gt;0.6,(J65-0.6)*L64,0)</f>
        <v>-154.89500000000001</v>
      </c>
      <c r="L65">
        <f>L64*(1-(F65*(IF(J65&gt;=1,1,0)+G65*(IF(J65&lt;1,J65,0)))))</f>
        <v>-145.05346500000002</v>
      </c>
      <c r="M65">
        <f>L65*H65*25</f>
        <v>-3626.3366250000004</v>
      </c>
      <c r="N65">
        <f>K65*D65*(25-I65)</f>
        <v>-350527.38500000001</v>
      </c>
      <c r="O65" s="1">
        <f>M65-N65</f>
        <v>346901.04837500001</v>
      </c>
      <c r="P65" s="1">
        <f>SUM(Table5[Net Revenue])</f>
        <v>8612882.3725231737</v>
      </c>
    </row>
    <row r="66" spans="1:16" x14ac:dyDescent="0.3">
      <c r="A66" s="3">
        <f t="shared" si="57"/>
        <v>3</v>
      </c>
      <c r="B66">
        <f t="shared" ref="B66:B75" si="63">B65</f>
        <v>500</v>
      </c>
      <c r="C66">
        <f t="shared" ref="C66:C75" si="64">C65</f>
        <v>0.05</v>
      </c>
      <c r="D66">
        <f t="shared" si="58"/>
        <v>100</v>
      </c>
      <c r="E66">
        <f t="shared" si="59"/>
        <v>15</v>
      </c>
      <c r="F66">
        <f t="shared" si="60"/>
        <v>0.1</v>
      </c>
      <c r="G66">
        <f t="shared" si="61"/>
        <v>0.33</v>
      </c>
      <c r="H66">
        <f t="shared" si="62"/>
        <v>1</v>
      </c>
      <c r="I66">
        <f>I65</f>
        <v>2.37</v>
      </c>
      <c r="J66">
        <f>0.93+((Table5[[#This Row],[Lyft''s Take per Ride]]-3)*(-0.33/3))</f>
        <v>0.99930000000000008</v>
      </c>
      <c r="K66">
        <f t="shared" ref="K66:K75" si="65">K65*(1-C66)+IF(J66&gt;0.6,(J66-0.6)*L65,0)</f>
        <v>-205.07009857450004</v>
      </c>
      <c r="L66">
        <f t="shared" ref="L66:L75" si="66">L65*(1-(F66*(IF(J66&gt;=1,1,0)+G66*(IF(J66&lt;1,J66,0)))))</f>
        <v>-140.27005139004152</v>
      </c>
      <c r="M66">
        <f t="shared" ref="M66:M75" si="67">L66*H66*25</f>
        <v>-3506.7512847510379</v>
      </c>
      <c r="N66">
        <f>K66*D66*(25-I66)</f>
        <v>-464073.63307409355</v>
      </c>
      <c r="O66" s="1">
        <f t="shared" ref="O66:O72" si="68">M66-N66</f>
        <v>460566.8817893425</v>
      </c>
      <c r="P66" s="1">
        <f>SUM(Table5[Net Revenue])</f>
        <v>8612882.3725231737</v>
      </c>
    </row>
    <row r="67" spans="1:16" x14ac:dyDescent="0.3">
      <c r="A67" s="3">
        <f t="shared" si="57"/>
        <v>4</v>
      </c>
      <c r="B67">
        <f t="shared" si="63"/>
        <v>500</v>
      </c>
      <c r="C67">
        <f t="shared" si="64"/>
        <v>0.05</v>
      </c>
      <c r="D67">
        <f t="shared" si="58"/>
        <v>100</v>
      </c>
      <c r="E67">
        <f t="shared" si="59"/>
        <v>15</v>
      </c>
      <c r="F67">
        <f t="shared" si="60"/>
        <v>0.1</v>
      </c>
      <c r="G67">
        <f t="shared" si="61"/>
        <v>0.33</v>
      </c>
      <c r="H67">
        <f t="shared" si="62"/>
        <v>1</v>
      </c>
      <c r="I67">
        <f>I66</f>
        <v>2.37</v>
      </c>
      <c r="J67">
        <f>0.93+((Table5[[#This Row],[Lyft''s Take per Ride]]-3)*(-0.33/3))</f>
        <v>0.99930000000000008</v>
      </c>
      <c r="K67">
        <f t="shared" si="65"/>
        <v>-250.82642516581859</v>
      </c>
      <c r="L67">
        <f t="shared" si="66"/>
        <v>-135.64437993235725</v>
      </c>
      <c r="M67">
        <f t="shared" si="67"/>
        <v>-3391.1094983089315</v>
      </c>
      <c r="N67">
        <f t="shared" ref="N66:N75" si="69">K67*D67*(25-I67)</f>
        <v>-567620.20015024743</v>
      </c>
      <c r="O67" s="1">
        <f t="shared" si="68"/>
        <v>564229.09065193846</v>
      </c>
      <c r="P67" s="1">
        <f>SUM(Table5[Net Revenue])</f>
        <v>8612882.3725231737</v>
      </c>
    </row>
    <row r="68" spans="1:16" x14ac:dyDescent="0.3">
      <c r="A68" s="3">
        <f t="shared" si="57"/>
        <v>5</v>
      </c>
      <c r="B68">
        <f t="shared" si="63"/>
        <v>500</v>
      </c>
      <c r="C68">
        <f t="shared" si="64"/>
        <v>0.05</v>
      </c>
      <c r="D68">
        <f t="shared" si="58"/>
        <v>100</v>
      </c>
      <c r="E68">
        <f t="shared" si="59"/>
        <v>15</v>
      </c>
      <c r="F68">
        <f t="shared" si="60"/>
        <v>0.1</v>
      </c>
      <c r="G68">
        <f t="shared" si="61"/>
        <v>0.33</v>
      </c>
      <c r="H68">
        <f t="shared" si="62"/>
        <v>1</v>
      </c>
      <c r="I68">
        <f t="shared" ref="I67:I75" si="70">I67</f>
        <v>2.37</v>
      </c>
      <c r="J68">
        <f>0.93+((Table5[[#This Row],[Lyft''s Take per Ride]]-3)*(-0.33/3))</f>
        <v>0.99930000000000008</v>
      </c>
      <c r="K68">
        <f t="shared" si="65"/>
        <v>-292.44790481451793</v>
      </c>
      <c r="L68">
        <f t="shared" si="66"/>
        <v>-131.1712487797659</v>
      </c>
      <c r="M68">
        <f t="shared" si="67"/>
        <v>-3279.2812194941475</v>
      </c>
      <c r="N68">
        <f t="shared" si="69"/>
        <v>-661809.60859525402</v>
      </c>
      <c r="O68" s="1">
        <f t="shared" si="68"/>
        <v>658530.32737575984</v>
      </c>
      <c r="P68" s="1">
        <f>SUM(Table5[Net Revenue])</f>
        <v>8612882.3725231737</v>
      </c>
    </row>
    <row r="69" spans="1:16" x14ac:dyDescent="0.3">
      <c r="A69" s="3">
        <f t="shared" si="57"/>
        <v>6</v>
      </c>
      <c r="B69">
        <f t="shared" si="63"/>
        <v>500</v>
      </c>
      <c r="C69">
        <f t="shared" si="64"/>
        <v>0.05</v>
      </c>
      <c r="D69">
        <f t="shared" si="58"/>
        <v>100</v>
      </c>
      <c r="E69">
        <f t="shared" si="59"/>
        <v>15</v>
      </c>
      <c r="F69">
        <f t="shared" si="60"/>
        <v>0.1</v>
      </c>
      <c r="G69">
        <f t="shared" si="61"/>
        <v>0.33</v>
      </c>
      <c r="H69">
        <f t="shared" si="62"/>
        <v>1</v>
      </c>
      <c r="I69">
        <f t="shared" si="70"/>
        <v>2.37</v>
      </c>
      <c r="J69">
        <f>0.93+((Table5[[#This Row],[Lyft''s Take per Ride]]-3)*(-0.33/3))</f>
        <v>0.99930000000000008</v>
      </c>
      <c r="K69">
        <f t="shared" si="65"/>
        <v>-330.20218921155259</v>
      </c>
      <c r="L69">
        <f t="shared" si="66"/>
        <v>-126.84562762588044</v>
      </c>
      <c r="M69">
        <f t="shared" si="67"/>
        <v>-3171.1406906470111</v>
      </c>
      <c r="N69">
        <f t="shared" si="69"/>
        <v>-747247.55418574356</v>
      </c>
      <c r="O69" s="1">
        <f t="shared" si="68"/>
        <v>744076.41349509649</v>
      </c>
      <c r="P69" s="1">
        <f>SUM(Table5[Net Revenue])</f>
        <v>8612882.3725231737</v>
      </c>
    </row>
    <row r="70" spans="1:16" x14ac:dyDescent="0.3">
      <c r="A70" s="3">
        <f t="shared" si="57"/>
        <v>7</v>
      </c>
      <c r="B70">
        <f t="shared" si="63"/>
        <v>500</v>
      </c>
      <c r="C70">
        <f t="shared" si="64"/>
        <v>0.05</v>
      </c>
      <c r="D70">
        <f t="shared" si="58"/>
        <v>100</v>
      </c>
      <c r="E70">
        <f t="shared" si="59"/>
        <v>15</v>
      </c>
      <c r="F70">
        <f t="shared" si="60"/>
        <v>0.1</v>
      </c>
      <c r="G70">
        <f t="shared" si="61"/>
        <v>0.33</v>
      </c>
      <c r="H70">
        <f t="shared" si="62"/>
        <v>1</v>
      </c>
      <c r="I70">
        <f t="shared" si="70"/>
        <v>2.37</v>
      </c>
      <c r="J70">
        <f>0.93+((Table5[[#This Row],[Lyft''s Take per Ride]]-3)*(-0.33/3))</f>
        <v>0.99930000000000008</v>
      </c>
      <c r="K70">
        <f t="shared" si="65"/>
        <v>-364.34153886198902</v>
      </c>
      <c r="L70">
        <f t="shared" si="66"/>
        <v>-122.66265204822454</v>
      </c>
      <c r="M70">
        <f t="shared" si="67"/>
        <v>-3066.5663012056134</v>
      </c>
      <c r="N70">
        <f t="shared" si="69"/>
        <v>-824504.90244468115</v>
      </c>
      <c r="O70" s="1">
        <f t="shared" si="68"/>
        <v>821438.33614347549</v>
      </c>
      <c r="P70" s="1">
        <f>SUM(Table5[Net Revenue])</f>
        <v>8612882.3725231737</v>
      </c>
    </row>
    <row r="71" spans="1:16" x14ac:dyDescent="0.3">
      <c r="A71" s="3">
        <f t="shared" si="57"/>
        <v>8</v>
      </c>
      <c r="B71">
        <f t="shared" si="63"/>
        <v>500</v>
      </c>
      <c r="C71">
        <f t="shared" si="64"/>
        <v>0.05</v>
      </c>
      <c r="D71">
        <f t="shared" si="58"/>
        <v>100</v>
      </c>
      <c r="E71">
        <f t="shared" si="59"/>
        <v>15</v>
      </c>
      <c r="F71">
        <f t="shared" si="60"/>
        <v>0.1</v>
      </c>
      <c r="G71">
        <f t="shared" si="61"/>
        <v>0.33</v>
      </c>
      <c r="H71">
        <f t="shared" si="62"/>
        <v>1</v>
      </c>
      <c r="I71">
        <f t="shared" si="70"/>
        <v>2.37</v>
      </c>
      <c r="J71">
        <f>0.93+((Table5[[#This Row],[Lyft''s Take per Ride]]-3)*(-0.33/3))</f>
        <v>0.99930000000000008</v>
      </c>
      <c r="K71">
        <f t="shared" si="65"/>
        <v>-395.10365888174562</v>
      </c>
      <c r="L71">
        <f t="shared" si="66"/>
        <v>-118.61761803789545</v>
      </c>
      <c r="M71">
        <f t="shared" si="67"/>
        <v>-2965.4404509473861</v>
      </c>
      <c r="N71">
        <f t="shared" si="69"/>
        <v>-894119.58004939032</v>
      </c>
      <c r="O71" s="1">
        <f t="shared" si="68"/>
        <v>891154.13959844294</v>
      </c>
      <c r="P71" s="1">
        <f>SUM(Table5[Net Revenue])</f>
        <v>8612882.3725231737</v>
      </c>
    </row>
    <row r="72" spans="1:16" x14ac:dyDescent="0.3">
      <c r="A72" s="3">
        <f t="shared" si="57"/>
        <v>9</v>
      </c>
      <c r="B72">
        <f t="shared" si="63"/>
        <v>500</v>
      </c>
      <c r="C72">
        <f t="shared" si="64"/>
        <v>0.05</v>
      </c>
      <c r="D72">
        <f t="shared" si="58"/>
        <v>100</v>
      </c>
      <c r="E72">
        <f t="shared" si="59"/>
        <v>15</v>
      </c>
      <c r="F72">
        <f t="shared" si="60"/>
        <v>0.1</v>
      </c>
      <c r="G72">
        <f t="shared" si="61"/>
        <v>0.33</v>
      </c>
      <c r="H72">
        <f t="shared" si="62"/>
        <v>1</v>
      </c>
      <c r="I72">
        <f t="shared" si="70"/>
        <v>2.37</v>
      </c>
      <c r="J72">
        <f>0.93+((Table5[[#This Row],[Lyft''s Take per Ride]]-3)*(-0.33/3))</f>
        <v>0.99930000000000008</v>
      </c>
      <c r="K72">
        <f t="shared" si="65"/>
        <v>-422.71249082018994</v>
      </c>
      <c r="L72">
        <f t="shared" si="66"/>
        <v>-114.70597670962158</v>
      </c>
      <c r="M72">
        <f t="shared" si="67"/>
        <v>-2867.6494177405393</v>
      </c>
      <c r="N72">
        <f t="shared" si="69"/>
        <v>-956598.36672608973</v>
      </c>
      <c r="O72" s="1">
        <f t="shared" si="68"/>
        <v>953730.71730834921</v>
      </c>
      <c r="P72" s="1">
        <f>SUM(Table5[Net Revenue])</f>
        <v>8612882.3725231737</v>
      </c>
    </row>
    <row r="73" spans="1:16" x14ac:dyDescent="0.3">
      <c r="A73" s="3">
        <f t="shared" si="57"/>
        <v>10</v>
      </c>
      <c r="B73">
        <f t="shared" si="63"/>
        <v>500</v>
      </c>
      <c r="C73">
        <f t="shared" si="64"/>
        <v>0.05</v>
      </c>
      <c r="D73">
        <f t="shared" si="58"/>
        <v>100</v>
      </c>
      <c r="E73">
        <f t="shared" si="59"/>
        <v>15</v>
      </c>
      <c r="F73">
        <f t="shared" si="60"/>
        <v>0.1</v>
      </c>
      <c r="G73">
        <f t="shared" si="61"/>
        <v>0.33</v>
      </c>
      <c r="H73">
        <f t="shared" si="62"/>
        <v>1</v>
      </c>
      <c r="I73">
        <f t="shared" si="70"/>
        <v>2.37</v>
      </c>
      <c r="J73">
        <f>0.93+((Table5[[#This Row],[Lyft''s Take per Ride]]-3)*(-0.33/3))</f>
        <v>0.99930000000000008</v>
      </c>
      <c r="K73">
        <f t="shared" si="65"/>
        <v>-447.37896277933231</v>
      </c>
      <c r="L73">
        <f t="shared" si="66"/>
        <v>-110.92332918626606</v>
      </c>
      <c r="M73">
        <f t="shared" si="67"/>
        <v>-2773.0832296566514</v>
      </c>
      <c r="N73">
        <f t="shared" si="69"/>
        <v>-1012418.592769629</v>
      </c>
      <c r="O73" s="1">
        <f>M73-N73</f>
        <v>1009645.5095399723</v>
      </c>
      <c r="P73" s="1">
        <f>SUM(Table5[Net Revenue])</f>
        <v>8612882.3725231737</v>
      </c>
    </row>
    <row r="74" spans="1:16" x14ac:dyDescent="0.3">
      <c r="A74" s="3">
        <f t="shared" si="57"/>
        <v>11</v>
      </c>
      <c r="B74">
        <f t="shared" si="63"/>
        <v>500</v>
      </c>
      <c r="C74">
        <f t="shared" si="64"/>
        <v>0.05</v>
      </c>
      <c r="D74">
        <f t="shared" si="58"/>
        <v>100</v>
      </c>
      <c r="E74">
        <f t="shared" si="59"/>
        <v>15</v>
      </c>
      <c r="F74">
        <f t="shared" si="60"/>
        <v>0.1</v>
      </c>
      <c r="G74">
        <f t="shared" si="61"/>
        <v>0.33</v>
      </c>
      <c r="H74">
        <f t="shared" si="62"/>
        <v>1</v>
      </c>
      <c r="I74">
        <f t="shared" si="70"/>
        <v>2.37</v>
      </c>
      <c r="J74">
        <f>0.93+((Table5[[#This Row],[Lyft''s Take per Ride]]-3)*(-0.33/3))</f>
        <v>0.99930000000000008</v>
      </c>
      <c r="K74">
        <f t="shared" si="65"/>
        <v>-469.30169998444171</v>
      </c>
      <c r="L74">
        <f t="shared" si="66"/>
        <v>-107.26542165202349</v>
      </c>
      <c r="M74">
        <f t="shared" si="67"/>
        <v>-2681.6355413005872</v>
      </c>
      <c r="N74">
        <f t="shared" si="69"/>
        <v>-1062029.7470647916</v>
      </c>
      <c r="O74" s="1">
        <f>M74-N74</f>
        <v>1059348.1115234911</v>
      </c>
      <c r="P74" s="1">
        <f>SUM(Table5[Net Revenue])</f>
        <v>8612882.3725231737</v>
      </c>
    </row>
    <row r="75" spans="1:16" x14ac:dyDescent="0.3">
      <c r="A75" s="4">
        <f t="shared" si="57"/>
        <v>12</v>
      </c>
      <c r="B75">
        <f t="shared" si="63"/>
        <v>500</v>
      </c>
      <c r="C75">
        <f t="shared" si="64"/>
        <v>0.05</v>
      </c>
      <c r="D75">
        <f t="shared" si="58"/>
        <v>100</v>
      </c>
      <c r="E75">
        <f t="shared" si="59"/>
        <v>15</v>
      </c>
      <c r="F75">
        <f t="shared" si="60"/>
        <v>0.1</v>
      </c>
      <c r="G75">
        <f t="shared" si="61"/>
        <v>0.33</v>
      </c>
      <c r="H75">
        <f t="shared" si="62"/>
        <v>1</v>
      </c>
      <c r="I75">
        <f t="shared" si="70"/>
        <v>2.37</v>
      </c>
      <c r="J75">
        <f>0.93+((Table5[[#This Row],[Lyft''s Take per Ride]]-3)*(-0.33/3))</f>
        <v>0.99930000000000008</v>
      </c>
      <c r="K75">
        <f t="shared" si="65"/>
        <v>-488.66769785087263</v>
      </c>
      <c r="L75">
        <f t="shared" si="66"/>
        <v>-103.72814056874688</v>
      </c>
      <c r="M75">
        <f t="shared" si="67"/>
        <v>-2593.2035142186719</v>
      </c>
      <c r="N75">
        <f t="shared" si="69"/>
        <v>-1105855.0002365247</v>
      </c>
      <c r="O75" s="1">
        <f>M75-N75</f>
        <v>1103261.7967223062</v>
      </c>
      <c r="P75" s="1">
        <f>SUM(Table5[Net Revenue])</f>
        <v>8612882.3725231737</v>
      </c>
    </row>
    <row r="78" spans="1:16" x14ac:dyDescent="0.3">
      <c r="C78" s="5"/>
    </row>
  </sheetData>
  <phoneticPr fontId="2" type="noConversion"/>
  <pageMargins left="0.7" right="0.7" top="0.75" bottom="0.75" header="0.3" footer="0.3"/>
  <pageSetup orientation="portrait" r:id="rId1"/>
  <ignoredErrors>
    <ignoredError sqref="I19:I29 I35:I44 I51:I57 H64:I64 I66:I75 B18:O18 B33:I33 C48:I48 B64:C64 F64 K48:O48 I34 K33:O33" calculatedColumn="1"/>
  </ignoredErrors>
  <drawing r:id="rId2"/>
  <legacyDrawing r:id="rId3"/>
  <tableParts count="5"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 Melton</cp:lastModifiedBy>
  <cp:lastPrinted>2023-03-29T23:54:37Z</cp:lastPrinted>
  <dcterms:created xsi:type="dcterms:W3CDTF">2023-03-29T21:05:57Z</dcterms:created>
  <dcterms:modified xsi:type="dcterms:W3CDTF">2023-04-04T06:45:37Z</dcterms:modified>
</cp:coreProperties>
</file>