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/>
  </bookViews>
  <sheets>
    <sheet name="Scale Factors" sheetId="1" r:id="rId1"/>
    <sheet name="Coefficients" sheetId="2" r:id="rId2"/>
    <sheet name="Calculation" sheetId="3" r:id="rId3"/>
  </sheets>
  <calcPr calcId="144525"/>
</workbook>
</file>

<file path=xl/sharedStrings.xml><?xml version="1.0" encoding="utf-8"?>
<sst xmlns="http://schemas.openxmlformats.org/spreadsheetml/2006/main" count="150" uniqueCount="124">
  <si>
    <t>Oversampling Rate</t>
  </si>
  <si>
    <t>Scale Factor
(kP or kT)</t>
  </si>
  <si>
    <t>Scale Factor
(Hex)</t>
  </si>
  <si>
    <t>Scale Factor
(Binary)</t>
  </si>
  <si>
    <t>BitWidth
(Singned)</t>
  </si>
  <si>
    <t>Scale Factor
(Power)</t>
  </si>
  <si>
    <t>Result shift
(bit 2and 3 address 0x09)</t>
  </si>
  <si>
    <t>X</t>
  </si>
  <si>
    <t>Y</t>
  </si>
  <si>
    <t>1 (single)</t>
  </si>
  <si>
    <t>11 + 21</t>
  </si>
  <si>
    <t>1 * (2 ^ 19)</t>
  </si>
  <si>
    <t>2 times (Low Power)</t>
  </si>
  <si>
    <t>10 + 22</t>
  </si>
  <si>
    <t>3 * (2 ^ 19)</t>
  </si>
  <si>
    <t>4 times</t>
  </si>
  <si>
    <t>09 + 23</t>
  </si>
  <si>
    <t>7 * (2 ^ 19)</t>
  </si>
  <si>
    <t>8 times</t>
  </si>
  <si>
    <t>08 + 24</t>
  </si>
  <si>
    <t>15 * (2 ^ 19)</t>
  </si>
  <si>
    <t>16 times (Standard)</t>
  </si>
  <si>
    <t>13 + 19</t>
  </si>
  <si>
    <t>31 * (2 ^ 13)</t>
  </si>
  <si>
    <t>enable pressure or temperature shift</t>
  </si>
  <si>
    <t>32 times</t>
  </si>
  <si>
    <t>12 + 20</t>
  </si>
  <si>
    <t>63 * (2 ^ 13)</t>
  </si>
  <si>
    <t>64 times (High Precision)</t>
  </si>
  <si>
    <t>127 * (2 ^ 13)</t>
  </si>
  <si>
    <t>128 times</t>
  </si>
  <si>
    <t>255 * (2 ^ 13)</t>
  </si>
  <si>
    <t xml:space="preserve">regs:0d ee d9 14 29 4f 27 d1 f2 58 06 09 d3 6c 00 d8 f9 24
</t>
  </si>
  <si>
    <t>c0: 0x000000DE, c1: 0xFFFFFED9, c00: 0x00014294, c10: 0xFFFF27D1, c01: 0xFFFFF258, c11: 0x00000609, c20: 0xFFFFD36C, c21: 0x000000D8, c30: 0xFFFFF924</t>
  </si>
  <si>
    <t>c0: 222, c1: -295, c00: 82580, c10: -55343, c01: -3496, c11: 1545, c20: -11412, c21: 216, c30: -1756</t>
  </si>
  <si>
    <t>Temperature Oversampling Rate</t>
  </si>
  <si>
    <t>32</t>
  </si>
  <si>
    <t>Scale Factor</t>
  </si>
  <si>
    <t>516096</t>
  </si>
  <si>
    <t>T(raw)</t>
  </si>
  <si>
    <t>0x0002388B</t>
  </si>
  <si>
    <t>T(raw_sc)</t>
  </si>
  <si>
    <t>Pressure Oversampling Rate</t>
  </si>
  <si>
    <t>64</t>
  </si>
  <si>
    <t>1040384</t>
  </si>
  <si>
    <t>P(raw)</t>
  </si>
  <si>
    <t>0xFFF9CA44</t>
  </si>
  <si>
    <t>P(raw_sc)</t>
  </si>
  <si>
    <t>Calibration Coefficients</t>
  </si>
  <si>
    <t>Hex Value</t>
  </si>
  <si>
    <t>Dec Value</t>
  </si>
  <si>
    <t>Reg. Bitwidth</t>
  </si>
  <si>
    <t>Temperature Polynomial</t>
  </si>
  <si>
    <t>Pressure Polynomial</t>
  </si>
  <si>
    <t>C0</t>
  </si>
  <si>
    <t>000000DE</t>
  </si>
  <si>
    <t>C1</t>
  </si>
  <si>
    <t>FFFFFED9</t>
  </si>
  <si>
    <t>C00</t>
  </si>
  <si>
    <t>00014294</t>
  </si>
  <si>
    <t>C10</t>
  </si>
  <si>
    <t>FFFF27D1</t>
  </si>
  <si>
    <t>C01</t>
  </si>
  <si>
    <t>FFFFF258</t>
  </si>
  <si>
    <t>C11</t>
  </si>
  <si>
    <t>00000609</t>
  </si>
  <si>
    <t>C20</t>
  </si>
  <si>
    <t>FFFFD36C</t>
  </si>
  <si>
    <t>C21</t>
  </si>
  <si>
    <t>000000D8</t>
  </si>
  <si>
    <t>C30</t>
  </si>
  <si>
    <t>FFFFF924</t>
  </si>
  <si>
    <t>Value</t>
  </si>
  <si>
    <t>device-&gt;coes.c00</t>
  </si>
  <si>
    <t>scaled_pressure * (device-&gt;coes.c10 + scaled_pressure *(device-&gt;coes.c20 + scaled_pressure * device-&gt;coes.c30))</t>
  </si>
  <si>
    <t>scaled_pressure * device-&gt;coes.c30</t>
  </si>
  <si>
    <t>+ device-&gt;coes.c20</t>
  </si>
  <si>
    <t>* scaled_pressure</t>
  </si>
  <si>
    <t>+ device-&gt;coes.c10</t>
  </si>
  <si>
    <t>scaled_temperature * device-&gt;coes.c01</t>
  </si>
  <si>
    <t>scaled_temperature * scaled_pressure * (device-&gt;coes.c11 + scaled_pressure * device-&gt;coes.c21)</t>
  </si>
  <si>
    <t>scaled_pressure * device-&gt;coes.c21</t>
  </si>
  <si>
    <t xml:space="preserve">+ device-&gt;coes.c11 </t>
  </si>
  <si>
    <t>* scaled_temperature * scaled_pressure</t>
  </si>
  <si>
    <t>final value:</t>
  </si>
  <si>
    <t>Scale Factors</t>
  </si>
  <si>
    <t>Test Value</t>
  </si>
  <si>
    <t>Coefficients</t>
  </si>
  <si>
    <t>Scaled Coefficents</t>
  </si>
  <si>
    <t>Pre-calculated Value</t>
  </si>
  <si>
    <t>Raw Datas</t>
  </si>
  <si>
    <t>Hex</t>
  </si>
  <si>
    <t>Individual Contribution</t>
  </si>
  <si>
    <t>Calculated Result</t>
  </si>
  <si>
    <t>Final Result</t>
  </si>
  <si>
    <t>SC32</t>
  </si>
  <si>
    <t>C0_SC  = C0 / 2</t>
  </si>
  <si>
    <t>T_RAW</t>
  </si>
  <si>
    <t>C0_IC  = C0_SC</t>
  </si>
  <si>
    <t>C1_SC  = C1 / SC32</t>
  </si>
  <si>
    <t>C1_IC  = C1_SC  * T_RAW</t>
  </si>
  <si>
    <t>SC64</t>
  </si>
  <si>
    <t>C00_SC = C00</t>
  </si>
  <si>
    <t>P_RAW</t>
  </si>
  <si>
    <t>0xfff9c21b</t>
  </si>
  <si>
    <t>C00_IC = C00_SC</t>
  </si>
  <si>
    <t>C10_SC = C10 / SC64</t>
  </si>
  <si>
    <t>0xfff9c22b</t>
  </si>
  <si>
    <t>C10_IC = C10_SC * P_RAW</t>
  </si>
  <si>
    <t>C01_SC = C01 / SC32</t>
  </si>
  <si>
    <t>0xfff9c23b</t>
  </si>
  <si>
    <t>C01_IC = C01_SC * T_RAW</t>
  </si>
  <si>
    <t>C11_SC = C11 / SC64 / SC32</t>
  </si>
  <si>
    <t>0xfff9c24b</t>
  </si>
  <si>
    <t>C11_IC = C11_SC * P_RAW * T_RAW</t>
  </si>
  <si>
    <t>C20_SC = C20 / SC64 / SC64</t>
  </si>
  <si>
    <t>0xfff9c25b</t>
  </si>
  <si>
    <t>C20_IC = C20_SC * P_RAW * P_RAW</t>
  </si>
  <si>
    <t>C21_SC = C21 / SC64 / SC64 / SC32</t>
  </si>
  <si>
    <t>0xfff9c26b</t>
  </si>
  <si>
    <t>C21_IC = C21_SC * P_RAW * P_RAW * T_RAW</t>
  </si>
  <si>
    <t>C30_SC = C30 / SC64 / SC64 / SC64</t>
  </si>
  <si>
    <t>0xfff9c27b</t>
  </si>
  <si>
    <t>C30_IC = C30_SC * P_RAW * P_RAW * P_RAW</t>
  </si>
</sst>
</file>

<file path=xl/styles.xml><?xml version="1.0" encoding="utf-8"?>
<styleSheet xmlns="http://schemas.openxmlformats.org/spreadsheetml/2006/main">
  <numFmts count="12">
    <numFmt numFmtId="176" formatCode="0_ "/>
    <numFmt numFmtId="177" formatCode="0.0000000_ "/>
    <numFmt numFmtId="178" formatCode="0.00000000_);[Red]\(0.00000000\)"/>
    <numFmt numFmtId="179" formatCode="0.00_);[Red]\(0.00\)"/>
    <numFmt numFmtId="180" formatCode="_ * #,##0_ ;_ * \-#,##0_ ;_ * &quot;-&quot;_ ;_ @_ "/>
    <numFmt numFmtId="181" formatCode="0.000000E+00"/>
    <numFmt numFmtId="182" formatCode="0_);[Red]\(0\)"/>
    <numFmt numFmtId="183" formatCode="0.000000000_ "/>
    <numFmt numFmtId="42" formatCode="_(&quot;$&quot;* #,##0_);_(&quot;$&quot;* \(#,##0\);_(&quot;$&quot;* &quot;-&quot;_);_(@_)"/>
    <numFmt numFmtId="184" formatCode="0.00000000_ "/>
    <numFmt numFmtId="185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1"/>
      <color theme="1"/>
      <name val="Noto Sans Mono CJK SC"/>
      <charset val="134"/>
    </font>
    <font>
      <sz val="11"/>
      <name val="Noto Sans Mono CJK SC"/>
      <charset val="134"/>
    </font>
    <font>
      <sz val="11"/>
      <color theme="5" tint="-0.25"/>
      <name val="Noto Sans Mono CJK SC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4" fillId="14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2" fillId="8" borderId="1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9" fillId="27" borderId="20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82" fontId="2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181" fontId="1" fillId="3" borderId="1" xfId="0" applyNumberFormat="1" applyFont="1" applyFill="1" applyBorder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>
      <alignment vertical="center"/>
    </xf>
    <xf numFmtId="179" fontId="1" fillId="3" borderId="1" xfId="0" applyNumberFormat="1" applyFont="1" applyFill="1" applyBorder="1">
      <alignment vertical="center"/>
    </xf>
    <xf numFmtId="178" fontId="1" fillId="3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NumberFormat="1" applyFont="1">
      <alignment vertical="center"/>
    </xf>
    <xf numFmtId="0" fontId="3" fillId="0" borderId="2" xfId="0" applyNumberFormat="1" applyFont="1" applyBorder="1" applyAlignment="1">
      <alignment horizontal="left" vertical="center"/>
    </xf>
    <xf numFmtId="0" fontId="3" fillId="0" borderId="3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3" fillId="0" borderId="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83" fontId="1" fillId="0" borderId="0" xfId="0" applyNumberFormat="1" applyFont="1" applyAlignment="1">
      <alignment vertical="center"/>
    </xf>
    <xf numFmtId="184" fontId="1" fillId="0" borderId="1" xfId="0" applyNumberFormat="1" applyFont="1" applyBorder="1" applyAlignment="1">
      <alignment horizontal="right" vertical="center"/>
    </xf>
    <xf numFmtId="184" fontId="1" fillId="0" borderId="1" xfId="0" applyNumberFormat="1" applyFont="1" applyBorder="1">
      <alignment vertical="center"/>
    </xf>
    <xf numFmtId="177" fontId="1" fillId="0" borderId="1" xfId="0" applyNumberFormat="1" applyFont="1" applyBorder="1">
      <alignment vertical="center"/>
    </xf>
    <xf numFmtId="0" fontId="1" fillId="0" borderId="9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left" vertical="center"/>
    </xf>
    <xf numFmtId="0" fontId="3" fillId="0" borderId="11" xfId="0" applyNumberFormat="1" applyFont="1" applyBorder="1" applyAlignment="1">
      <alignment horizontal="left" vertical="center"/>
    </xf>
    <xf numFmtId="0" fontId="3" fillId="0" borderId="12" xfId="0" applyNumberFormat="1" applyFont="1" applyBorder="1" applyAlignment="1">
      <alignment horizontal="left" vertical="center"/>
    </xf>
    <xf numFmtId="182" fontId="1" fillId="0" borderId="0" xfId="0" applyNumberFormat="1" applyFo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>
      <alignment vertical="center"/>
    </xf>
    <xf numFmtId="182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left" vertical="center"/>
    </xf>
    <xf numFmtId="182" fontId="1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 quotePrefix="1">
      <alignment horizontal="right" vertical="center"/>
    </xf>
    <xf numFmtId="0" fontId="1" fillId="0" borderId="1" xfId="0" applyNumberFormat="1" applyFont="1" applyBorder="1" applyAlignment="1" quotePrefix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workbookViewId="0">
      <selection activeCell="D18" sqref="D18"/>
    </sheetView>
  </sheetViews>
  <sheetFormatPr defaultColWidth="8.88888888888889" defaultRowHeight="18"/>
  <cols>
    <col min="1" max="1" width="24.7777777777778" style="2" customWidth="1"/>
    <col min="2" max="3" width="11.2222222222222" style="2" customWidth="1"/>
    <col min="4" max="4" width="31.6666666666667" style="2" customWidth="1"/>
    <col min="5" max="5" width="8.55555555555556" style="2" customWidth="1"/>
    <col min="6" max="6" width="14.1111111111111" style="2" customWidth="1"/>
    <col min="7" max="7" width="35.5555555555556" style="2" customWidth="1"/>
    <col min="8" max="8" width="8.88888888888889" style="2"/>
    <col min="9" max="9" width="3.88888888888889" style="42" customWidth="1"/>
    <col min="10" max="10" width="11.1111111111111" style="42" customWidth="1"/>
    <col min="11" max="16384" width="8.88888888888889" style="2"/>
  </cols>
  <sheetData>
    <row r="1" s="2" customFormat="1" ht="36" spans="1:10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I1" s="48" t="s">
        <v>7</v>
      </c>
      <c r="J1" s="48" t="s">
        <v>8</v>
      </c>
    </row>
    <row r="2" spans="1:10">
      <c r="A2" s="45" t="s">
        <v>9</v>
      </c>
      <c r="B2" s="5">
        <v>524288</v>
      </c>
      <c r="C2" s="5" t="str">
        <f>"0x"&amp;DEC2HEX(B2,8)</f>
        <v>0x00080000</v>
      </c>
      <c r="D2" s="5" t="str">
        <f>DEC2BIN(B2/16777216,8)&amp;DEC2BIN(B2/65536,8)&amp;DEC2BIN(MOD(B2,65536)/256,8)&amp;DEC2BIN(MOD(B2,256),8)</f>
        <v>00000000000010000000000000000000</v>
      </c>
      <c r="E2" s="46" t="s">
        <v>10</v>
      </c>
      <c r="F2" s="5" t="s">
        <v>11</v>
      </c>
      <c r="G2" s="47">
        <v>0</v>
      </c>
      <c r="I2" s="42">
        <v>1</v>
      </c>
      <c r="J2" s="42">
        <f>POWER(2,I2)</f>
        <v>2</v>
      </c>
    </row>
    <row r="3" spans="1:10">
      <c r="A3" s="45" t="s">
        <v>12</v>
      </c>
      <c r="B3" s="5">
        <v>1572864</v>
      </c>
      <c r="C3" s="5" t="str">
        <f t="shared" ref="C3:C9" si="0">"0x"&amp;DEC2HEX(B3,8)</f>
        <v>0x00180000</v>
      </c>
      <c r="D3" s="5" t="str">
        <f t="shared" ref="D3:D9" si="1">DEC2BIN(B3/16777216,8)&amp;DEC2BIN(B3/65536,8)&amp;DEC2BIN(MOD(B3,65536)/256,8)&amp;DEC2BIN(MOD(B3,256),8)</f>
        <v>00000000000110000000000000000000</v>
      </c>
      <c r="E3" s="46" t="s">
        <v>13</v>
      </c>
      <c r="F3" s="5" t="s">
        <v>14</v>
      </c>
      <c r="G3" s="47">
        <v>0</v>
      </c>
      <c r="I3" s="42">
        <v>2</v>
      </c>
      <c r="J3" s="42">
        <f t="shared" ref="J3:J33" si="2">POWER(2,I3)</f>
        <v>4</v>
      </c>
    </row>
    <row r="4" spans="1:10">
      <c r="A4" s="45" t="s">
        <v>15</v>
      </c>
      <c r="B4" s="5">
        <v>3670016</v>
      </c>
      <c r="C4" s="5" t="str">
        <f t="shared" si="0"/>
        <v>0x00380000</v>
      </c>
      <c r="D4" s="5" t="str">
        <f t="shared" si="1"/>
        <v>00000000001110000000000000000000</v>
      </c>
      <c r="E4" s="46" t="s">
        <v>16</v>
      </c>
      <c r="F4" s="5" t="s">
        <v>17</v>
      </c>
      <c r="G4" s="47">
        <v>0</v>
      </c>
      <c r="I4" s="42">
        <v>3</v>
      </c>
      <c r="J4" s="42">
        <f t="shared" si="2"/>
        <v>8</v>
      </c>
    </row>
    <row r="5" spans="1:10">
      <c r="A5" s="45" t="s">
        <v>18</v>
      </c>
      <c r="B5" s="5">
        <v>7864320</v>
      </c>
      <c r="C5" s="5" t="str">
        <f t="shared" si="0"/>
        <v>0x00780000</v>
      </c>
      <c r="D5" s="5" t="str">
        <f t="shared" si="1"/>
        <v>00000000011110000000000000000000</v>
      </c>
      <c r="E5" s="46" t="s">
        <v>19</v>
      </c>
      <c r="F5" s="5" t="s">
        <v>20</v>
      </c>
      <c r="G5" s="47">
        <v>0</v>
      </c>
      <c r="I5" s="42">
        <v>4</v>
      </c>
      <c r="J5" s="42">
        <f t="shared" si="2"/>
        <v>16</v>
      </c>
    </row>
    <row r="6" spans="1:10">
      <c r="A6" s="45" t="s">
        <v>21</v>
      </c>
      <c r="B6" s="5">
        <v>253952</v>
      </c>
      <c r="C6" s="5" t="str">
        <f t="shared" si="0"/>
        <v>0x0003E000</v>
      </c>
      <c r="D6" s="5" t="str">
        <f t="shared" si="1"/>
        <v>00000000000000111110000000000000</v>
      </c>
      <c r="E6" s="46" t="s">
        <v>22</v>
      </c>
      <c r="F6" s="5" t="s">
        <v>23</v>
      </c>
      <c r="G6" s="45" t="s">
        <v>24</v>
      </c>
      <c r="I6" s="42">
        <v>5</v>
      </c>
      <c r="J6" s="42">
        <f t="shared" si="2"/>
        <v>32</v>
      </c>
    </row>
    <row r="7" spans="1:10">
      <c r="A7" s="45" t="s">
        <v>25</v>
      </c>
      <c r="B7" s="5">
        <v>516096</v>
      </c>
      <c r="C7" s="5" t="str">
        <f t="shared" si="0"/>
        <v>0x0007E000</v>
      </c>
      <c r="D7" s="5" t="str">
        <f t="shared" si="1"/>
        <v>00000000000001111110000000000000</v>
      </c>
      <c r="E7" s="46" t="s">
        <v>26</v>
      </c>
      <c r="F7" s="5" t="s">
        <v>27</v>
      </c>
      <c r="G7" s="45" t="s">
        <v>24</v>
      </c>
      <c r="I7" s="42">
        <v>6</v>
      </c>
      <c r="J7" s="42">
        <f t="shared" si="2"/>
        <v>64</v>
      </c>
    </row>
    <row r="8" spans="1:10">
      <c r="A8" s="45" t="s">
        <v>28</v>
      </c>
      <c r="B8" s="5">
        <v>1040384</v>
      </c>
      <c r="C8" s="5" t="str">
        <f t="shared" si="0"/>
        <v>0x000FE000</v>
      </c>
      <c r="D8" s="5" t="str">
        <f t="shared" si="1"/>
        <v>00000000000011111110000000000000</v>
      </c>
      <c r="E8" s="46" t="s">
        <v>10</v>
      </c>
      <c r="F8" s="5" t="s">
        <v>29</v>
      </c>
      <c r="G8" s="45" t="s">
        <v>24</v>
      </c>
      <c r="I8" s="42">
        <v>7</v>
      </c>
      <c r="J8" s="42">
        <f t="shared" si="2"/>
        <v>128</v>
      </c>
    </row>
    <row r="9" spans="1:10">
      <c r="A9" s="45" t="s">
        <v>30</v>
      </c>
      <c r="B9" s="5">
        <v>2088960</v>
      </c>
      <c r="C9" s="5" t="str">
        <f t="shared" si="0"/>
        <v>0x001FE000</v>
      </c>
      <c r="D9" s="5" t="str">
        <f t="shared" si="1"/>
        <v>00000000000111111110000000000000</v>
      </c>
      <c r="E9" s="46" t="s">
        <v>13</v>
      </c>
      <c r="F9" s="5" t="s">
        <v>31</v>
      </c>
      <c r="G9" s="45" t="s">
        <v>24</v>
      </c>
      <c r="I9" s="42">
        <v>8</v>
      </c>
      <c r="J9" s="42">
        <f t="shared" si="2"/>
        <v>256</v>
      </c>
    </row>
    <row r="10" spans="9:10">
      <c r="I10" s="42">
        <v>9</v>
      </c>
      <c r="J10" s="42">
        <f t="shared" si="2"/>
        <v>512</v>
      </c>
    </row>
    <row r="11" spans="9:10">
      <c r="I11" s="42">
        <v>10</v>
      </c>
      <c r="J11" s="42">
        <f t="shared" si="2"/>
        <v>1024</v>
      </c>
    </row>
    <row r="12" spans="9:10">
      <c r="I12" s="42">
        <v>11</v>
      </c>
      <c r="J12" s="42">
        <f t="shared" si="2"/>
        <v>2048</v>
      </c>
    </row>
    <row r="13" spans="9:10">
      <c r="I13" s="42">
        <v>12</v>
      </c>
      <c r="J13" s="42">
        <f t="shared" si="2"/>
        <v>4096</v>
      </c>
    </row>
    <row r="14" spans="9:10">
      <c r="I14" s="42">
        <v>13</v>
      </c>
      <c r="J14" s="42">
        <f t="shared" si="2"/>
        <v>8192</v>
      </c>
    </row>
    <row r="15" spans="9:10">
      <c r="I15" s="42">
        <v>14</v>
      </c>
      <c r="J15" s="42">
        <f t="shared" si="2"/>
        <v>16384</v>
      </c>
    </row>
    <row r="16" spans="9:10">
      <c r="I16" s="42">
        <v>15</v>
      </c>
      <c r="J16" s="42">
        <f t="shared" si="2"/>
        <v>32768</v>
      </c>
    </row>
    <row r="17" spans="9:10">
      <c r="I17" s="42">
        <v>16</v>
      </c>
      <c r="J17" s="42">
        <f t="shared" si="2"/>
        <v>65536</v>
      </c>
    </row>
    <row r="18" spans="9:10">
      <c r="I18" s="42">
        <v>17</v>
      </c>
      <c r="J18" s="42">
        <f t="shared" si="2"/>
        <v>131072</v>
      </c>
    </row>
    <row r="19" spans="9:10">
      <c r="I19" s="42">
        <v>18</v>
      </c>
      <c r="J19" s="42">
        <f t="shared" si="2"/>
        <v>262144</v>
      </c>
    </row>
    <row r="20" spans="9:10">
      <c r="I20" s="42">
        <v>19</v>
      </c>
      <c r="J20" s="42">
        <f t="shared" si="2"/>
        <v>524288</v>
      </c>
    </row>
    <row r="21" spans="9:10">
      <c r="I21" s="42">
        <v>20</v>
      </c>
      <c r="J21" s="42">
        <f t="shared" si="2"/>
        <v>1048576</v>
      </c>
    </row>
    <row r="22" spans="9:10">
      <c r="I22" s="42">
        <v>21</v>
      </c>
      <c r="J22" s="42">
        <f t="shared" si="2"/>
        <v>2097152</v>
      </c>
    </row>
    <row r="23" spans="9:10">
      <c r="I23" s="42">
        <v>22</v>
      </c>
      <c r="J23" s="42">
        <f t="shared" si="2"/>
        <v>4194304</v>
      </c>
    </row>
    <row r="24" spans="9:10">
      <c r="I24" s="42">
        <v>23</v>
      </c>
      <c r="J24" s="42">
        <f t="shared" si="2"/>
        <v>8388608</v>
      </c>
    </row>
    <row r="25" spans="9:10">
      <c r="I25" s="42">
        <v>24</v>
      </c>
      <c r="J25" s="42">
        <f t="shared" si="2"/>
        <v>16777216</v>
      </c>
    </row>
    <row r="26" spans="9:10">
      <c r="I26" s="42">
        <v>25</v>
      </c>
      <c r="J26" s="42">
        <f t="shared" si="2"/>
        <v>33554432</v>
      </c>
    </row>
    <row r="27" spans="9:10">
      <c r="I27" s="42">
        <v>26</v>
      </c>
      <c r="J27" s="42">
        <f t="shared" si="2"/>
        <v>67108864</v>
      </c>
    </row>
    <row r="28" spans="9:10">
      <c r="I28" s="42">
        <v>27</v>
      </c>
      <c r="J28" s="42">
        <f t="shared" si="2"/>
        <v>134217728</v>
      </c>
    </row>
    <row r="29" spans="9:10">
      <c r="I29" s="42">
        <v>28</v>
      </c>
      <c r="J29" s="42">
        <f t="shared" si="2"/>
        <v>268435456</v>
      </c>
    </row>
    <row r="30" spans="9:10">
      <c r="I30" s="42">
        <v>29</v>
      </c>
      <c r="J30" s="42">
        <f t="shared" si="2"/>
        <v>536870912</v>
      </c>
    </row>
    <row r="31" spans="9:10">
      <c r="I31" s="42">
        <v>30</v>
      </c>
      <c r="J31" s="42">
        <f t="shared" si="2"/>
        <v>1073741824</v>
      </c>
    </row>
    <row r="32" spans="9:10">
      <c r="I32" s="42">
        <v>31</v>
      </c>
      <c r="J32" s="42">
        <f t="shared" si="2"/>
        <v>2147483648</v>
      </c>
    </row>
    <row r="33" spans="9:10">
      <c r="I33" s="42">
        <v>32</v>
      </c>
      <c r="J33" s="42">
        <f t="shared" si="2"/>
        <v>4294967296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opLeftCell="A3" workbookViewId="0">
      <selection activeCell="E11" sqref="E11"/>
    </sheetView>
  </sheetViews>
  <sheetFormatPr defaultColWidth="8.88888888888889" defaultRowHeight="18"/>
  <cols>
    <col min="1" max="1" width="28.7777777777778" style="17" customWidth="1"/>
    <col min="2" max="2" width="12.1111111111111" style="17" customWidth="1"/>
    <col min="3" max="3" width="10.1111111111111" style="17" customWidth="1"/>
    <col min="4" max="4" width="13.1111111111111" style="17" customWidth="1"/>
    <col min="5" max="5" width="21.8888888888889" style="17" customWidth="1"/>
    <col min="6" max="6" width="19" style="17" customWidth="1"/>
    <col min="7" max="7" width="16" style="17" customWidth="1"/>
    <col min="8" max="9" width="12.1111111111111" style="17"/>
    <col min="10" max="16384" width="8.88888888888889" style="17"/>
  </cols>
  <sheetData>
    <row r="1" spans="1:9">
      <c r="A1" s="18" t="s">
        <v>32</v>
      </c>
      <c r="B1" s="19"/>
      <c r="C1" s="19"/>
      <c r="D1" s="19"/>
      <c r="E1" s="19"/>
      <c r="F1" s="19"/>
      <c r="G1" s="19"/>
      <c r="H1" s="19"/>
      <c r="I1" s="39"/>
    </row>
    <row r="2" spans="1:9">
      <c r="A2" s="20" t="s">
        <v>33</v>
      </c>
      <c r="B2" s="21"/>
      <c r="C2" s="21"/>
      <c r="D2" s="21"/>
      <c r="E2" s="21"/>
      <c r="F2" s="21"/>
      <c r="G2" s="21"/>
      <c r="H2" s="21"/>
      <c r="I2" s="40"/>
    </row>
    <row r="3" spans="1:9">
      <c r="A3" s="22" t="s">
        <v>34</v>
      </c>
      <c r="B3" s="23"/>
      <c r="C3" s="23"/>
      <c r="D3" s="23"/>
      <c r="E3" s="23"/>
      <c r="F3" s="23"/>
      <c r="G3" s="23"/>
      <c r="H3" s="23"/>
      <c r="I3" s="41"/>
    </row>
    <row r="4" spans="1:7">
      <c r="A4" s="24"/>
      <c r="B4" s="24"/>
      <c r="C4" s="24"/>
      <c r="F4" s="24"/>
      <c r="G4" s="24"/>
    </row>
    <row r="5" spans="1:5">
      <c r="A5" s="25" t="s">
        <v>35</v>
      </c>
      <c r="B5" s="25" t="s">
        <v>36</v>
      </c>
      <c r="C5" s="25"/>
      <c r="E5" s="33"/>
    </row>
    <row r="6" spans="1:7">
      <c r="A6" s="25" t="s">
        <v>37</v>
      </c>
      <c r="B6" s="25" t="s">
        <v>38</v>
      </c>
      <c r="C6" s="25"/>
      <c r="E6" s="33"/>
      <c r="G6" s="24"/>
    </row>
    <row r="7" spans="1:7">
      <c r="A7" s="25" t="s">
        <v>39</v>
      </c>
      <c r="B7" s="25">
        <v>152376</v>
      </c>
      <c r="C7" s="25" t="s">
        <v>40</v>
      </c>
      <c r="E7" s="33"/>
      <c r="G7" s="24"/>
    </row>
    <row r="8" spans="1:7">
      <c r="A8" s="25" t="s">
        <v>41</v>
      </c>
      <c r="B8" s="25">
        <f>B7/B6</f>
        <v>0.295247395833333</v>
      </c>
      <c r="C8" s="25"/>
      <c r="D8" s="26"/>
      <c r="E8" s="33"/>
      <c r="G8" s="24"/>
    </row>
    <row r="9" spans="1:7">
      <c r="A9" s="25" t="s">
        <v>42</v>
      </c>
      <c r="B9" s="25" t="s">
        <v>43</v>
      </c>
      <c r="C9" s="25"/>
      <c r="D9" s="26"/>
      <c r="E9" s="33"/>
      <c r="G9" s="24"/>
    </row>
    <row r="10" spans="1:7">
      <c r="A10" s="25" t="s">
        <v>37</v>
      </c>
      <c r="B10" s="25" t="s">
        <v>44</v>
      </c>
      <c r="C10" s="25" t="str">
        <f>"0x"&amp;DEC2HEX(B10,8)</f>
        <v>0x000FE000</v>
      </c>
      <c r="E10" s="33"/>
      <c r="G10" s="24"/>
    </row>
    <row r="11" spans="1:7">
      <c r="A11" s="25" t="s">
        <v>45</v>
      </c>
      <c r="B11" s="25">
        <v>-409061</v>
      </c>
      <c r="C11" s="25" t="s">
        <v>46</v>
      </c>
      <c r="D11" s="26"/>
      <c r="E11" s="33"/>
      <c r="G11" s="34"/>
    </row>
    <row r="12" spans="1:7">
      <c r="A12" s="25" t="s">
        <v>47</v>
      </c>
      <c r="B12" s="25">
        <f>B11/B10</f>
        <v>-0.393182709461122</v>
      </c>
      <c r="C12" s="25"/>
      <c r="D12" s="26"/>
      <c r="E12" s="33"/>
      <c r="G12" s="24"/>
    </row>
    <row r="13" spans="1:7">
      <c r="A13" s="26"/>
      <c r="B13" s="26"/>
      <c r="C13" s="26"/>
      <c r="D13" s="26"/>
      <c r="E13" s="33"/>
      <c r="G13" s="24"/>
    </row>
    <row r="14" spans="1:6">
      <c r="A14" s="25" t="s">
        <v>48</v>
      </c>
      <c r="B14" s="25" t="s">
        <v>49</v>
      </c>
      <c r="C14" s="25" t="s">
        <v>50</v>
      </c>
      <c r="D14" s="27" t="s">
        <v>51</v>
      </c>
      <c r="E14" s="25" t="s">
        <v>52</v>
      </c>
      <c r="F14" s="25" t="s">
        <v>53</v>
      </c>
    </row>
    <row r="15" spans="1:10">
      <c r="A15" s="25" t="s">
        <v>54</v>
      </c>
      <c r="B15" s="28" t="s">
        <v>55</v>
      </c>
      <c r="C15" s="27">
        <f>IF(HEX2DEC(B15)&gt;2147483647,HEX2DEC(B15)-4294967296,HEX2DEC(B15))</f>
        <v>222</v>
      </c>
      <c r="D15" s="25">
        <v>12</v>
      </c>
      <c r="E15" s="27">
        <f>C15*0.5</f>
        <v>111</v>
      </c>
      <c r="F15" s="35"/>
      <c r="J15" s="26"/>
    </row>
    <row r="16" spans="1:10">
      <c r="A16" s="25" t="s">
        <v>56</v>
      </c>
      <c r="B16" s="28" t="s">
        <v>57</v>
      </c>
      <c r="C16" s="27">
        <f t="shared" ref="C16:C23" si="0">IF(HEX2DEC(B16)&gt;2147483647,HEX2DEC(B16)-4294967296,HEX2DEC(B16))</f>
        <v>-295</v>
      </c>
      <c r="D16" s="25">
        <v>12</v>
      </c>
      <c r="E16" s="27">
        <f>B8*C16</f>
        <v>-87.0979817708333</v>
      </c>
      <c r="F16" s="35"/>
      <c r="J16" s="26"/>
    </row>
    <row r="17" spans="1:10">
      <c r="A17" s="25" t="s">
        <v>58</v>
      </c>
      <c r="B17" s="28" t="s">
        <v>59</v>
      </c>
      <c r="C17" s="27">
        <f t="shared" si="0"/>
        <v>82580</v>
      </c>
      <c r="D17" s="25">
        <v>20</v>
      </c>
      <c r="E17" s="27"/>
      <c r="F17" s="35">
        <v>82580</v>
      </c>
      <c r="J17" s="26"/>
    </row>
    <row r="18" spans="1:10">
      <c r="A18" s="25" t="s">
        <v>60</v>
      </c>
      <c r="B18" s="28" t="s">
        <v>61</v>
      </c>
      <c r="C18" s="27">
        <f t="shared" si="0"/>
        <v>-55343</v>
      </c>
      <c r="D18" s="25">
        <v>20</v>
      </c>
      <c r="E18" s="27"/>
      <c r="F18" s="35">
        <f>C18*B12</f>
        <v>21759.9106897069</v>
      </c>
      <c r="J18" s="26"/>
    </row>
    <row r="19" spans="1:10">
      <c r="A19" s="25" t="s">
        <v>62</v>
      </c>
      <c r="B19" s="28" t="s">
        <v>63</v>
      </c>
      <c r="C19" s="27">
        <f t="shared" si="0"/>
        <v>-3496</v>
      </c>
      <c r="D19" s="25">
        <v>16</v>
      </c>
      <c r="E19" s="27"/>
      <c r="F19" s="35">
        <f>C19*B8</f>
        <v>-1032.18489583333</v>
      </c>
      <c r="J19" s="26"/>
    </row>
    <row r="20" spans="1:10">
      <c r="A20" s="25" t="s">
        <v>64</v>
      </c>
      <c r="B20" s="49" t="s">
        <v>65</v>
      </c>
      <c r="C20" s="27">
        <f t="shared" si="0"/>
        <v>1545</v>
      </c>
      <c r="D20" s="25">
        <v>16</v>
      </c>
      <c r="E20" s="27"/>
      <c r="F20" s="35">
        <f>C20*B8*B12</f>
        <v>-179.353134280115</v>
      </c>
      <c r="J20" s="26"/>
    </row>
    <row r="21" spans="1:10">
      <c r="A21" s="25" t="s">
        <v>66</v>
      </c>
      <c r="B21" s="28" t="s">
        <v>67</v>
      </c>
      <c r="C21" s="27">
        <f t="shared" si="0"/>
        <v>-11412</v>
      </c>
      <c r="D21" s="25">
        <v>16</v>
      </c>
      <c r="E21" s="27"/>
      <c r="F21" s="35">
        <f>C21*B12*B12</f>
        <v>-1764.21124213499</v>
      </c>
      <c r="J21" s="26"/>
    </row>
    <row r="22" spans="1:10">
      <c r="A22" s="25" t="s">
        <v>68</v>
      </c>
      <c r="B22" s="28" t="s">
        <v>69</v>
      </c>
      <c r="C22" s="27">
        <f t="shared" si="0"/>
        <v>216</v>
      </c>
      <c r="D22" s="25">
        <v>16</v>
      </c>
      <c r="E22" s="27"/>
      <c r="F22" s="35">
        <f>C22*B12*B12*B8</f>
        <v>9.85890425754407</v>
      </c>
      <c r="J22" s="26"/>
    </row>
    <row r="23" spans="1:10">
      <c r="A23" s="25" t="s">
        <v>70</v>
      </c>
      <c r="B23" s="28" t="s">
        <v>71</v>
      </c>
      <c r="C23" s="27">
        <f t="shared" si="0"/>
        <v>-1756</v>
      </c>
      <c r="D23" s="25">
        <v>16</v>
      </c>
      <c r="E23" s="27"/>
      <c r="F23" s="35">
        <f>C23*B12*B12*B12</f>
        <v>106.735218854292</v>
      </c>
      <c r="J23" s="26"/>
    </row>
    <row r="24" spans="1:6">
      <c r="A24" s="25"/>
      <c r="B24" s="25"/>
      <c r="C24" s="25"/>
      <c r="D24" s="27"/>
      <c r="E24" s="27">
        <f>SUM(E15:E23)</f>
        <v>23.9020182291667</v>
      </c>
      <c r="F24" s="36">
        <f>SUM(F15:F23)</f>
        <v>101480.75554057</v>
      </c>
    </row>
    <row r="26" spans="1:7">
      <c r="A26" s="25" t="s">
        <v>53</v>
      </c>
      <c r="B26" s="25"/>
      <c r="C26" s="25"/>
      <c r="D26" s="25"/>
      <c r="E26" s="25"/>
      <c r="F26" s="25"/>
      <c r="G26" s="25" t="s">
        <v>72</v>
      </c>
    </row>
    <row r="27" spans="1:7">
      <c r="A27" s="29" t="s">
        <v>73</v>
      </c>
      <c r="B27" s="29"/>
      <c r="C27" s="29"/>
      <c r="D27" s="29"/>
      <c r="E27" s="29"/>
      <c r="F27" s="29"/>
      <c r="G27" s="36">
        <f>C17</f>
        <v>82580</v>
      </c>
    </row>
    <row r="28" spans="1:7">
      <c r="A28" s="29" t="s">
        <v>74</v>
      </c>
      <c r="B28" s="29"/>
      <c r="C28" s="29"/>
      <c r="D28" s="29"/>
      <c r="E28" s="29"/>
      <c r="F28" s="29"/>
      <c r="G28" s="36"/>
    </row>
    <row r="29" spans="1:7">
      <c r="A29" s="28" t="s">
        <v>75</v>
      </c>
      <c r="B29" s="28"/>
      <c r="C29" s="28"/>
      <c r="D29" s="28"/>
      <c r="E29" s="28"/>
      <c r="F29" s="37">
        <f>B12*C23</f>
        <v>690.42883781373</v>
      </c>
      <c r="G29" s="36"/>
    </row>
    <row r="30" spans="1:7">
      <c r="A30" s="49" t="s">
        <v>76</v>
      </c>
      <c r="B30" s="28"/>
      <c r="C30" s="28"/>
      <c r="D30" s="28"/>
      <c r="E30" s="29">
        <f>C21</f>
        <v>-11412</v>
      </c>
      <c r="F30" s="37">
        <f>F29+C21</f>
        <v>-10721.5711621863</v>
      </c>
      <c r="G30" s="36"/>
    </row>
    <row r="31" spans="1:7">
      <c r="A31" s="49" t="s">
        <v>77</v>
      </c>
      <c r="B31" s="28"/>
      <c r="C31" s="28"/>
      <c r="D31" s="28"/>
      <c r="E31" s="29">
        <f>B12</f>
        <v>-0.393182709461122</v>
      </c>
      <c r="F31" s="37">
        <f>F30*B12</f>
        <v>4215.53639922863</v>
      </c>
      <c r="G31" s="36"/>
    </row>
    <row r="32" spans="1:7">
      <c r="A32" s="49" t="s">
        <v>78</v>
      </c>
      <c r="B32" s="28"/>
      <c r="C32" s="28"/>
      <c r="D32" s="28"/>
      <c r="E32" s="29">
        <f>C18</f>
        <v>-55343</v>
      </c>
      <c r="F32" s="37">
        <f>F31+C18</f>
        <v>-51127.4636007714</v>
      </c>
      <c r="G32" s="36"/>
    </row>
    <row r="33" spans="1:7">
      <c r="A33" s="49" t="s">
        <v>77</v>
      </c>
      <c r="B33" s="28"/>
      <c r="C33" s="28"/>
      <c r="D33" s="28"/>
      <c r="E33" s="29">
        <f>B12</f>
        <v>-0.393182709461122</v>
      </c>
      <c r="F33" s="37">
        <f>F32*B12</f>
        <v>20102.4346664262</v>
      </c>
      <c r="G33" s="36">
        <f>F33</f>
        <v>20102.4346664262</v>
      </c>
    </row>
    <row r="34" spans="1:7">
      <c r="A34" s="29" t="s">
        <v>79</v>
      </c>
      <c r="B34" s="29"/>
      <c r="C34" s="29"/>
      <c r="D34" s="29"/>
      <c r="E34" s="29"/>
      <c r="F34" s="29"/>
      <c r="G34" s="36">
        <f>B8*C19</f>
        <v>-1032.18489583333</v>
      </c>
    </row>
    <row r="35" spans="1:7">
      <c r="A35" s="29" t="s">
        <v>80</v>
      </c>
      <c r="B35" s="29"/>
      <c r="C35" s="29"/>
      <c r="D35" s="29"/>
      <c r="E35" s="29"/>
      <c r="F35" s="29"/>
      <c r="G35" s="36"/>
    </row>
    <row r="36" spans="1:7">
      <c r="A36" s="30" t="s">
        <v>81</v>
      </c>
      <c r="B36" s="30"/>
      <c r="C36" s="30"/>
      <c r="D36" s="30"/>
      <c r="E36" s="30"/>
      <c r="F36" s="27">
        <f>B12*C22</f>
        <v>-84.9274652436024</v>
      </c>
      <c r="G36" s="36"/>
    </row>
    <row r="37" spans="1:7">
      <c r="A37" s="50" t="s">
        <v>82</v>
      </c>
      <c r="B37" s="30"/>
      <c r="C37" s="30"/>
      <c r="D37" s="30"/>
      <c r="E37" s="30"/>
      <c r="F37" s="27">
        <f>F36+C20</f>
        <v>1460.0725347564</v>
      </c>
      <c r="G37" s="36"/>
    </row>
    <row r="38" spans="1:7">
      <c r="A38" s="50" t="s">
        <v>83</v>
      </c>
      <c r="B38" s="30"/>
      <c r="C38" s="30"/>
      <c r="D38" s="30"/>
      <c r="E38" s="30"/>
      <c r="F38" s="27">
        <f>F37*B12*B8</f>
        <v>-169.494230022571</v>
      </c>
      <c r="G38" s="36">
        <f>F38</f>
        <v>-169.494230022571</v>
      </c>
    </row>
    <row r="39" spans="1:7">
      <c r="A39" s="31" t="s">
        <v>84</v>
      </c>
      <c r="B39" s="32"/>
      <c r="C39" s="32"/>
      <c r="D39" s="32"/>
      <c r="E39" s="32"/>
      <c r="F39" s="38"/>
      <c r="G39" s="36">
        <f>SUM(G27:G38)</f>
        <v>101480.75554057</v>
      </c>
    </row>
  </sheetData>
  <mergeCells count="18">
    <mergeCell ref="A1:I1"/>
    <mergeCell ref="A2:I2"/>
    <mergeCell ref="A3:I3"/>
    <mergeCell ref="A24:C24"/>
    <mergeCell ref="A26:F26"/>
    <mergeCell ref="A27:F27"/>
    <mergeCell ref="A28:F28"/>
    <mergeCell ref="A29:E29"/>
    <mergeCell ref="A30:D30"/>
    <mergeCell ref="A31:D31"/>
    <mergeCell ref="A32:D32"/>
    <mergeCell ref="A33:D33"/>
    <mergeCell ref="A34:F34"/>
    <mergeCell ref="A35:F35"/>
    <mergeCell ref="A36:E36"/>
    <mergeCell ref="A37:E37"/>
    <mergeCell ref="A38:E38"/>
    <mergeCell ref="A39:F39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E21" sqref="E21"/>
    </sheetView>
  </sheetViews>
  <sheetFormatPr defaultColWidth="8.88888888888889" defaultRowHeight="18"/>
  <cols>
    <col min="1" max="1" width="13.1111111111111" style="1" customWidth="1"/>
    <col min="2" max="2" width="10.1111111111111" style="2" customWidth="1"/>
    <col min="3" max="3" width="12.1111111111111" style="2" customWidth="1"/>
    <col min="4" max="4" width="10.1111111111111" style="2" customWidth="1"/>
    <col min="5" max="5" width="32.6666666666667" style="2" customWidth="1"/>
    <col min="6" max="6" width="19.8888888888889" style="2" customWidth="1"/>
    <col min="7" max="7" width="9.22222222222222" style="2" customWidth="1"/>
    <col min="8" max="9" width="10.1111111111111" style="2" customWidth="1"/>
    <col min="10" max="10" width="38.5555555555556" style="2" customWidth="1"/>
    <col min="11" max="11" width="17" style="2" customWidth="1"/>
    <col min="12" max="12" width="16.7777777777778" style="2" customWidth="1"/>
    <col min="13" max="16384" width="8.88888888888889" style="2"/>
  </cols>
  <sheetData>
    <row r="1" s="1" customFormat="1" spans="1:12">
      <c r="A1" s="3" t="s">
        <v>85</v>
      </c>
      <c r="B1" s="3" t="s">
        <v>86</v>
      </c>
      <c r="C1" s="3" t="s">
        <v>87</v>
      </c>
      <c r="D1" s="3" t="s">
        <v>86</v>
      </c>
      <c r="E1" s="3" t="s">
        <v>88</v>
      </c>
      <c r="F1" s="3" t="s">
        <v>89</v>
      </c>
      <c r="G1" s="3" t="s">
        <v>90</v>
      </c>
      <c r="H1" s="3" t="s">
        <v>86</v>
      </c>
      <c r="I1" s="3" t="s">
        <v>91</v>
      </c>
      <c r="J1" s="3" t="s">
        <v>92</v>
      </c>
      <c r="K1" s="3" t="s">
        <v>93</v>
      </c>
      <c r="L1" s="3" t="s">
        <v>94</v>
      </c>
    </row>
    <row r="2" spans="1:12">
      <c r="A2" s="4" t="s">
        <v>95</v>
      </c>
      <c r="B2" s="5">
        <v>516096</v>
      </c>
      <c r="C2" s="6" t="s">
        <v>54</v>
      </c>
      <c r="D2" s="7">
        <v>222</v>
      </c>
      <c r="E2" s="8" t="s">
        <v>96</v>
      </c>
      <c r="F2" s="9">
        <f>D2/2</f>
        <v>111</v>
      </c>
      <c r="G2" s="10" t="s">
        <v>97</v>
      </c>
      <c r="H2" s="7">
        <v>152376</v>
      </c>
      <c r="I2" s="11" t="str">
        <f>"0x"&amp;DEC2HEX(H2,8)</f>
        <v>0x00025338</v>
      </c>
      <c r="J2" s="12" t="s">
        <v>98</v>
      </c>
      <c r="K2" s="13">
        <f>F2</f>
        <v>111</v>
      </c>
      <c r="L2" s="14"/>
    </row>
    <row r="3" spans="1:12">
      <c r="A3" s="4" t="s">
        <v>95</v>
      </c>
      <c r="B3" s="5">
        <v>516096</v>
      </c>
      <c r="C3" s="6" t="s">
        <v>56</v>
      </c>
      <c r="D3" s="7">
        <v>-295</v>
      </c>
      <c r="E3" s="8" t="s">
        <v>99</v>
      </c>
      <c r="F3" s="9">
        <f>D3/B3</f>
        <v>-0.00057159908234127</v>
      </c>
      <c r="G3" s="10" t="str">
        <f>G2</f>
        <v>T_RAW</v>
      </c>
      <c r="H3" s="7">
        <f>H2</f>
        <v>152376</v>
      </c>
      <c r="I3" s="11" t="str">
        <f>"0x"&amp;DEC2HEX(H3,8)</f>
        <v>0x00025338</v>
      </c>
      <c r="J3" s="12" t="s">
        <v>100</v>
      </c>
      <c r="K3" s="13">
        <f>F3*H3</f>
        <v>-87.0979817708333</v>
      </c>
      <c r="L3" s="14">
        <f>SUM(K2:K3)</f>
        <v>23.9020182291667</v>
      </c>
    </row>
    <row r="4" spans="1:12">
      <c r="A4" s="4" t="s">
        <v>101</v>
      </c>
      <c r="B4" s="5">
        <v>1040384</v>
      </c>
      <c r="C4" s="6" t="s">
        <v>58</v>
      </c>
      <c r="D4" s="7">
        <v>82580</v>
      </c>
      <c r="E4" s="8" t="s">
        <v>102</v>
      </c>
      <c r="F4" s="9">
        <f>D4</f>
        <v>82580</v>
      </c>
      <c r="G4" s="10" t="s">
        <v>103</v>
      </c>
      <c r="H4" s="7">
        <v>-409061</v>
      </c>
      <c r="I4" s="15" t="s">
        <v>104</v>
      </c>
      <c r="J4" s="12" t="s">
        <v>105</v>
      </c>
      <c r="K4" s="13">
        <f>F4</f>
        <v>82580</v>
      </c>
      <c r="L4" s="14"/>
    </row>
    <row r="5" spans="1:12">
      <c r="A5" s="4" t="s">
        <v>101</v>
      </c>
      <c r="B5" s="5">
        <v>1040384</v>
      </c>
      <c r="C5" s="6" t="s">
        <v>60</v>
      </c>
      <c r="D5" s="7">
        <v>-55343</v>
      </c>
      <c r="E5" s="8" t="s">
        <v>106</v>
      </c>
      <c r="F5" s="9">
        <f>D5/B5</f>
        <v>-0.0531947819266732</v>
      </c>
      <c r="G5" s="10" t="str">
        <f>G4</f>
        <v>P_RAW</v>
      </c>
      <c r="H5" s="7">
        <f>H4</f>
        <v>-409061</v>
      </c>
      <c r="I5" s="15" t="s">
        <v>107</v>
      </c>
      <c r="J5" s="12" t="s">
        <v>108</v>
      </c>
      <c r="K5" s="13">
        <f>F5*H5</f>
        <v>21759.9106897069</v>
      </c>
      <c r="L5" s="14"/>
    </row>
    <row r="6" spans="1:12">
      <c r="A6" s="4" t="s">
        <v>101</v>
      </c>
      <c r="B6" s="5">
        <v>1040384</v>
      </c>
      <c r="C6" s="6" t="s">
        <v>62</v>
      </c>
      <c r="D6" s="7">
        <v>-3496</v>
      </c>
      <c r="E6" s="8" t="s">
        <v>109</v>
      </c>
      <c r="F6" s="9">
        <f>D6/B2</f>
        <v>-0.00677393353174603</v>
      </c>
      <c r="G6" s="10" t="str">
        <f>G4</f>
        <v>P_RAW</v>
      </c>
      <c r="H6" s="7">
        <f>H4</f>
        <v>-409061</v>
      </c>
      <c r="I6" s="15" t="s">
        <v>110</v>
      </c>
      <c r="J6" s="12" t="s">
        <v>111</v>
      </c>
      <c r="K6" s="13">
        <f>F6*H2</f>
        <v>-1032.18489583333</v>
      </c>
      <c r="L6" s="14"/>
    </row>
    <row r="7" spans="1:12">
      <c r="A7" s="4" t="s">
        <v>101</v>
      </c>
      <c r="B7" s="5">
        <v>1040384</v>
      </c>
      <c r="C7" s="6" t="s">
        <v>64</v>
      </c>
      <c r="D7" s="7">
        <v>1545</v>
      </c>
      <c r="E7" s="8" t="s">
        <v>112</v>
      </c>
      <c r="F7" s="9">
        <f>D7/B7/B2</f>
        <v>2.87742707717718e-9</v>
      </c>
      <c r="G7" s="10" t="str">
        <f>G4</f>
        <v>P_RAW</v>
      </c>
      <c r="H7" s="7">
        <f>H4</f>
        <v>-409061</v>
      </c>
      <c r="I7" s="15" t="s">
        <v>113</v>
      </c>
      <c r="J7" s="12" t="s">
        <v>114</v>
      </c>
      <c r="K7" s="13">
        <f>F7*H7*H2</f>
        <v>-179.353134280115</v>
      </c>
      <c r="L7" s="14"/>
    </row>
    <row r="8" spans="1:12">
      <c r="A8" s="4" t="s">
        <v>101</v>
      </c>
      <c r="B8" s="5">
        <v>1040384</v>
      </c>
      <c r="C8" s="6" t="s">
        <v>66</v>
      </c>
      <c r="D8" s="7">
        <v>-11412</v>
      </c>
      <c r="E8" s="8" t="s">
        <v>115</v>
      </c>
      <c r="F8" s="9">
        <f>D8/B8/B8</f>
        <v>-1.05432482822363e-8</v>
      </c>
      <c r="G8" s="10" t="str">
        <f>G4</f>
        <v>P_RAW</v>
      </c>
      <c r="H8" s="7">
        <f>H4</f>
        <v>-409061</v>
      </c>
      <c r="I8" s="15" t="s">
        <v>116</v>
      </c>
      <c r="J8" s="12" t="s">
        <v>117</v>
      </c>
      <c r="K8" s="13">
        <f>F8*H8*H8</f>
        <v>-1764.21124213499</v>
      </c>
      <c r="L8" s="14"/>
    </row>
    <row r="9" spans="1:12">
      <c r="A9" s="4" t="s">
        <v>101</v>
      </c>
      <c r="B9" s="5">
        <v>1040384</v>
      </c>
      <c r="C9" s="6" t="s">
        <v>68</v>
      </c>
      <c r="D9" s="7">
        <v>216</v>
      </c>
      <c r="E9" s="8" t="s">
        <v>118</v>
      </c>
      <c r="F9" s="9">
        <f>D9/B9/B9/B2</f>
        <v>3.86665949399932e-16</v>
      </c>
      <c r="G9" s="10" t="str">
        <f>G4</f>
        <v>P_RAW</v>
      </c>
      <c r="H9" s="7">
        <f>H4</f>
        <v>-409061</v>
      </c>
      <c r="I9" s="15" t="s">
        <v>119</v>
      </c>
      <c r="J9" s="12" t="s">
        <v>120</v>
      </c>
      <c r="K9" s="13">
        <f>F9*H9*H9*H2</f>
        <v>9.85890425754407</v>
      </c>
      <c r="L9" s="14"/>
    </row>
    <row r="10" spans="1:12">
      <c r="A10" s="4" t="s">
        <v>101</v>
      </c>
      <c r="B10" s="5">
        <v>1040384</v>
      </c>
      <c r="C10" s="6" t="s">
        <v>70</v>
      </c>
      <c r="D10" s="7">
        <v>-1756</v>
      </c>
      <c r="E10" s="8" t="s">
        <v>121</v>
      </c>
      <c r="F10" s="9">
        <f>D10/B10/B10/B10</f>
        <v>-1.55934968832807e-15</v>
      </c>
      <c r="G10" s="10" t="str">
        <f>G4</f>
        <v>P_RAW</v>
      </c>
      <c r="H10" s="7">
        <f>H4</f>
        <v>-409061</v>
      </c>
      <c r="I10" s="15" t="s">
        <v>122</v>
      </c>
      <c r="J10" s="12" t="s">
        <v>123</v>
      </c>
      <c r="K10" s="13">
        <f>F10*H10*H10*H10</f>
        <v>106.735218854292</v>
      </c>
      <c r="L10" s="14">
        <f>SUM(K4:K10)</f>
        <v>101480.75554057</v>
      </c>
    </row>
    <row r="11" spans="9:9">
      <c r="I11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Scale Factors</vt:lpstr>
      <vt:lpstr>Coefficients</vt:lpstr>
      <vt:lpstr>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2024-02-29T02:01:00Z</dcterms:created>
  <dcterms:modified xsi:type="dcterms:W3CDTF">2024-03-04T18:04:18Z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