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 activeTab="1"/>
  </bookViews>
  <sheets>
    <sheet name="Scale Factor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<sst xmlns="http://schemas.openxmlformats.org/spreadsheetml/2006/main" count="82" uniqueCount="75">
  <si>
    <t>Oversampling Rate</t>
  </si>
  <si>
    <t>Scale Factor (kP or kT)</t>
  </si>
  <si>
    <t>Scale Factor(Hex)</t>
  </si>
  <si>
    <t>Scale Factor(Power)</t>
  </si>
  <si>
    <t>Result shift ( bit 2and 3 address 0x09)</t>
  </si>
  <si>
    <t>1 (single)</t>
  </si>
  <si>
    <t>1 * (2 ^ 19)</t>
  </si>
  <si>
    <t>2 times (Low Power)</t>
  </si>
  <si>
    <t>3 * (2 ^ 19)</t>
  </si>
  <si>
    <t>4 times</t>
  </si>
  <si>
    <t>7 * (2 ^ 19)</t>
  </si>
  <si>
    <t>8 times</t>
  </si>
  <si>
    <t>15 * (2 ^ 19)</t>
  </si>
  <si>
    <t>16 times (Standard)</t>
  </si>
  <si>
    <t>31 * (2 ^ 13)</t>
  </si>
  <si>
    <t>enable pressure or temperature shift</t>
  </si>
  <si>
    <t>32 times</t>
  </si>
  <si>
    <t>63 * (2 ^ 13)</t>
  </si>
  <si>
    <t>64 times (High Precision)</t>
  </si>
  <si>
    <t>127 * (2 ^ 13)</t>
  </si>
  <si>
    <t>128 times</t>
  </si>
  <si>
    <t>255 * (2 ^ 13)</t>
  </si>
  <si>
    <t xml:space="preserve">regs:0d ee d9 14 29 4f 27 d1 f2 58 06 09 d3 6c 00 d8 f9 24
</t>
  </si>
  <si>
    <t>c0: 0x000000DE, c1: 0xFFFFFED9, c00: 0x00014294, c10: 0xFFFF27D1, c01: 0xFFFFF258, c11: 0x00000609, c20: 0xFFFFD36C, c21: 0x000000D8, c30: 0xFFFFF924</t>
  </si>
  <si>
    <t>c0: 222, c1: -295, c00: 82580, c10: -55343, c01: -3496, c11: 1545, c20: -11412, c21: 216, c30: -1756</t>
  </si>
  <si>
    <t>Temperature Oversampling Rate</t>
  </si>
  <si>
    <t>32</t>
  </si>
  <si>
    <t>Scale Factor</t>
  </si>
  <si>
    <t>516096</t>
  </si>
  <si>
    <t>T(raw)</t>
  </si>
  <si>
    <t>0x0002388B</t>
  </si>
  <si>
    <t>T(raw_sc)</t>
  </si>
  <si>
    <t>Pressure Oversampling Rate</t>
  </si>
  <si>
    <t>64</t>
  </si>
  <si>
    <t>1040384</t>
  </si>
  <si>
    <t>P(raw)</t>
  </si>
  <si>
    <t>0xFFF9CA44</t>
  </si>
  <si>
    <t>P(raw_sc)</t>
  </si>
  <si>
    <t>Calibration Coefficients (COEF)</t>
  </si>
  <si>
    <t>Hex Value</t>
  </si>
  <si>
    <t>Dec Value</t>
  </si>
  <si>
    <t>Reg. Bitwidth</t>
  </si>
  <si>
    <t>Temperature Polynomial</t>
  </si>
  <si>
    <t>Pressure Polynomial</t>
  </si>
  <si>
    <t>C0</t>
  </si>
  <si>
    <t>000000DE</t>
  </si>
  <si>
    <t>C1</t>
  </si>
  <si>
    <t>FFFFFED9</t>
  </si>
  <si>
    <t>C00</t>
  </si>
  <si>
    <t>00014294</t>
  </si>
  <si>
    <t>C10</t>
  </si>
  <si>
    <t>FFFF27D1</t>
  </si>
  <si>
    <t>C01</t>
  </si>
  <si>
    <t>FFFFF258</t>
  </si>
  <si>
    <t>C11</t>
  </si>
  <si>
    <t>00000609</t>
  </si>
  <si>
    <t>C20</t>
  </si>
  <si>
    <t>FFFFD36C</t>
  </si>
  <si>
    <t>C21</t>
  </si>
  <si>
    <t>000000D8</t>
  </si>
  <si>
    <t>C30</t>
  </si>
  <si>
    <t>FFFFF924</t>
  </si>
  <si>
    <t>Value</t>
  </si>
  <si>
    <t>device-&gt;coes.c00</t>
  </si>
  <si>
    <t>scaled_pressure * (device-&gt;coes.c10 + scaled_pressure *(device-&gt;coes.c20 + scaled_pressure * device-&gt;coes.c30))</t>
  </si>
  <si>
    <t>scaled_pressure * device-&gt;coes.c30</t>
  </si>
  <si>
    <t>+ device-&gt;coes.c20</t>
  </si>
  <si>
    <t>* scaled_pressure</t>
  </si>
  <si>
    <t>+ device-&gt;coes.c10</t>
  </si>
  <si>
    <t>scaled_temperature * device-&gt;coes.c01</t>
  </si>
  <si>
    <t>scaled_temperature * scaled_pressure * (device-&gt;coes.c11 + scaled_pressure * device-&gt;coes.c21)</t>
  </si>
  <si>
    <t>scaled_pressure * device-&gt;coes.c21</t>
  </si>
  <si>
    <t xml:space="preserve">+ device-&gt;coes.c11 </t>
  </si>
  <si>
    <t>* scaled_temperature * scaled_pressure</t>
  </si>
  <si>
    <t>final value: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</si>
</sst>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0_);[Red]\(0\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Noto Sans Mono CJK SC"/>
      <charset val="134"/>
    </font>
    <font>
      <sz val="11"/>
      <color theme="0"/>
      <name val="Noto Sans Mono CJK SC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8" fillId="1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30" borderId="21" applyNumberFormat="0" applyFont="0" applyAlignment="0" applyProtection="0">
      <alignment vertical="center"/>
    </xf>
    <xf numFmtId="0" fontId="21" fillId="26" borderId="1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3" borderId="1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6" xfId="0" applyNumberFormat="1" applyFont="1" applyBorder="1">
      <alignment vertical="center"/>
    </xf>
    <xf numFmtId="0" fontId="1" fillId="0" borderId="6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horizontal="right" vertical="center" wrapText="1"/>
    </xf>
    <xf numFmtId="0" fontId="1" fillId="0" borderId="7" xfId="0" applyNumberFormat="1" applyFont="1" applyBorder="1" applyAlignment="1">
      <alignment horizontal="right" vertical="center"/>
    </xf>
    <xf numFmtId="0" fontId="1" fillId="0" borderId="8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6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horizontal="right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3" borderId="13" xfId="0" applyNumberFormat="1" applyFont="1" applyFill="1" applyBorder="1">
      <alignment vertical="center"/>
    </xf>
    <xf numFmtId="178" fontId="2" fillId="3" borderId="13" xfId="0" applyNumberFormat="1" applyFont="1" applyFill="1" applyBorder="1" applyAlignment="1">
      <alignment horizontal="right" vertical="center"/>
    </xf>
    <xf numFmtId="0" fontId="2" fillId="3" borderId="13" xfId="0" applyNumberFormat="1" applyFont="1" applyFill="1" applyBorder="1" applyAlignment="1">
      <alignment horizontal="left" vertical="center"/>
    </xf>
    <xf numFmtId="0" fontId="1" fillId="0" borderId="6" xfId="0" applyNumberFormat="1" applyFont="1" applyBorder="1" applyAlignment="1" quotePrefix="1">
      <alignment horizontal="right" vertical="center"/>
    </xf>
    <xf numFmtId="0" fontId="1" fillId="0" borderId="6" xfId="0" applyNumberFormat="1" applyFont="1" applyBorder="1" applyAlignment="1" quotePrefix="1">
      <alignment horizontal="right" vertical="center"/>
    </xf>
    <xf numFmtId="0" fontId="1" fillId="0" borderId="6" xfId="0" applyNumberFormat="1" applyFont="1" applyBorder="1" applyAlignment="1" quotePrefix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30" zoomScaleNormal="130" workbookViewId="0">
      <selection activeCell="C7" sqref="C7"/>
    </sheetView>
  </sheetViews>
  <sheetFormatPr defaultColWidth="8.88888888888889" defaultRowHeight="18" outlineLevelCol="5"/>
  <cols>
    <col min="1" max="1" width="24.7777777777778" style="28" customWidth="1"/>
    <col min="2" max="2" width="22.8888888888889" style="28" customWidth="1"/>
    <col min="3" max="3" width="17" style="28" customWidth="1"/>
    <col min="4" max="4" width="23.8888888888889" style="28" customWidth="1"/>
    <col min="5" max="5" width="19" style="28" customWidth="1"/>
    <col min="6" max="6" width="38.5555555555556" style="28" customWidth="1"/>
    <col min="7" max="16384" width="8.88888888888889" style="28"/>
  </cols>
  <sheetData>
    <row r="1" s="28" customFormat="1" spans="1:6">
      <c r="A1" s="29" t="s">
        <v>0</v>
      </c>
      <c r="B1" s="29" t="s">
        <v>1</v>
      </c>
      <c r="C1" s="29" t="s">
        <v>2</v>
      </c>
      <c r="D1" s="29" t="s">
        <v>2</v>
      </c>
      <c r="E1" s="29" t="s">
        <v>3</v>
      </c>
      <c r="F1" s="29" t="s">
        <v>4</v>
      </c>
    </row>
    <row r="2" spans="1:6">
      <c r="A2" s="30" t="s">
        <v>5</v>
      </c>
      <c r="B2" s="31">
        <v>524288</v>
      </c>
      <c r="C2" s="31" t="str">
        <f>DEC2HEX(B2)</f>
        <v>80000</v>
      </c>
      <c r="D2" s="31" t="str">
        <f>DEC2BIN(B2/65536,8)&amp;DEC2BIN(MOD(B2,65536)/256,8)&amp;DEC2BIN(MOD(B2,256),8)</f>
        <v>000010000000000000000000</v>
      </c>
      <c r="E2" s="31" t="s">
        <v>6</v>
      </c>
      <c r="F2" s="32">
        <v>0</v>
      </c>
    </row>
    <row r="3" spans="1:6">
      <c r="A3" s="30" t="s">
        <v>7</v>
      </c>
      <c r="B3" s="31">
        <v>1572864</v>
      </c>
      <c r="C3" s="31" t="str">
        <f t="shared" ref="C3:C9" si="0">DEC2HEX(B3)</f>
        <v>180000</v>
      </c>
      <c r="D3" s="31" t="str">
        <f t="shared" ref="D3:D9" si="1">DEC2BIN(B3/65536,8)&amp;DEC2BIN(MOD(B3,65536)/256,8)&amp;DEC2BIN(MOD(B3,256),8)</f>
        <v>000110000000000000000000</v>
      </c>
      <c r="E3" s="31" t="s">
        <v>8</v>
      </c>
      <c r="F3" s="32">
        <v>0</v>
      </c>
    </row>
    <row r="4" spans="1:6">
      <c r="A4" s="30" t="s">
        <v>9</v>
      </c>
      <c r="B4" s="31">
        <v>3670016</v>
      </c>
      <c r="C4" s="31" t="str">
        <f t="shared" si="0"/>
        <v>380000</v>
      </c>
      <c r="D4" s="31" t="str">
        <f t="shared" si="1"/>
        <v>001110000000000000000000</v>
      </c>
      <c r="E4" s="31" t="s">
        <v>10</v>
      </c>
      <c r="F4" s="32">
        <v>0</v>
      </c>
    </row>
    <row r="5" spans="1:6">
      <c r="A5" s="30" t="s">
        <v>11</v>
      </c>
      <c r="B5" s="31">
        <v>7864320</v>
      </c>
      <c r="C5" s="31" t="str">
        <f t="shared" si="0"/>
        <v>780000</v>
      </c>
      <c r="D5" s="31" t="str">
        <f t="shared" si="1"/>
        <v>011110000000000000000000</v>
      </c>
      <c r="E5" s="31" t="s">
        <v>12</v>
      </c>
      <c r="F5" s="32">
        <v>0</v>
      </c>
    </row>
    <row r="6" spans="1:6">
      <c r="A6" s="30" t="s">
        <v>13</v>
      </c>
      <c r="B6" s="31">
        <v>253952</v>
      </c>
      <c r="C6" s="31" t="str">
        <f t="shared" si="0"/>
        <v>3E000</v>
      </c>
      <c r="D6" s="31" t="str">
        <f t="shared" si="1"/>
        <v>000000111110000000000000</v>
      </c>
      <c r="E6" s="31" t="s">
        <v>14</v>
      </c>
      <c r="F6" s="30" t="s">
        <v>15</v>
      </c>
    </row>
    <row r="7" spans="1:6">
      <c r="A7" s="30" t="s">
        <v>16</v>
      </c>
      <c r="B7" s="31">
        <v>516096</v>
      </c>
      <c r="C7" s="31" t="str">
        <f t="shared" si="0"/>
        <v>7E000</v>
      </c>
      <c r="D7" s="31" t="str">
        <f t="shared" si="1"/>
        <v>000001111110000000000000</v>
      </c>
      <c r="E7" s="31" t="s">
        <v>17</v>
      </c>
      <c r="F7" s="30" t="s">
        <v>15</v>
      </c>
    </row>
    <row r="8" spans="1:6">
      <c r="A8" s="30" t="s">
        <v>18</v>
      </c>
      <c r="B8" s="31">
        <v>1040384</v>
      </c>
      <c r="C8" s="31" t="str">
        <f t="shared" si="0"/>
        <v>FE000</v>
      </c>
      <c r="D8" s="31" t="str">
        <f t="shared" si="1"/>
        <v>000011111110000000000000</v>
      </c>
      <c r="E8" s="31" t="s">
        <v>19</v>
      </c>
      <c r="F8" s="30" t="s">
        <v>15</v>
      </c>
    </row>
    <row r="9" spans="1:6">
      <c r="A9" s="30" t="s">
        <v>20</v>
      </c>
      <c r="B9" s="31">
        <v>2088960</v>
      </c>
      <c r="C9" s="31" t="str">
        <f t="shared" si="0"/>
        <v>1FE000</v>
      </c>
      <c r="D9" s="31" t="str">
        <f t="shared" si="1"/>
        <v>000111111110000000000000</v>
      </c>
      <c r="E9" s="31" t="s">
        <v>21</v>
      </c>
      <c r="F9" s="30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topLeftCell="A13" workbookViewId="0">
      <selection activeCell="A25" sqref="A25:I25"/>
    </sheetView>
  </sheetViews>
  <sheetFormatPr defaultColWidth="8.88888888888889" defaultRowHeight="18"/>
  <cols>
    <col min="1" max="1" width="33.6666666666667" style="1" customWidth="1"/>
    <col min="2" max="2" width="12.1111111111111" style="1" customWidth="1"/>
    <col min="3" max="3" width="10.1111111111111" style="1" customWidth="1"/>
    <col min="4" max="4" width="13.1111111111111" style="1" customWidth="1"/>
    <col min="5" max="5" width="21.8888888888889" style="1" customWidth="1"/>
    <col min="6" max="6" width="19" style="1" customWidth="1"/>
    <col min="7" max="7" width="13.1111111111111" style="1" customWidth="1"/>
    <col min="8" max="9" width="12.1111111111111" style="1"/>
    <col min="10" max="16384" width="8.88888888888889" style="1"/>
  </cols>
  <sheetData>
    <row r="1" spans="1:9">
      <c r="A1" s="2" t="s">
        <v>22</v>
      </c>
      <c r="B1" s="3"/>
      <c r="C1" s="3"/>
      <c r="D1" s="3"/>
      <c r="E1" s="3"/>
      <c r="F1" s="3"/>
      <c r="G1" s="3"/>
      <c r="H1" s="3"/>
      <c r="I1" s="24"/>
    </row>
    <row r="2" spans="1:9">
      <c r="A2" s="4" t="s">
        <v>23</v>
      </c>
      <c r="B2" s="5"/>
      <c r="C2" s="5"/>
      <c r="D2" s="5"/>
      <c r="E2" s="5"/>
      <c r="F2" s="5"/>
      <c r="G2" s="5"/>
      <c r="H2" s="5"/>
      <c r="I2" s="25"/>
    </row>
    <row r="3" spans="1:9">
      <c r="A3" s="6" t="s">
        <v>24</v>
      </c>
      <c r="B3" s="7"/>
      <c r="C3" s="7"/>
      <c r="D3" s="7"/>
      <c r="E3" s="7"/>
      <c r="F3" s="7"/>
      <c r="G3" s="7"/>
      <c r="H3" s="7"/>
      <c r="I3" s="26"/>
    </row>
    <row r="4" spans="1:7">
      <c r="A4" s="8"/>
      <c r="B4" s="8"/>
      <c r="C4" s="8"/>
      <c r="F4" s="8"/>
      <c r="G4" s="8"/>
    </row>
    <row r="5" spans="1:5">
      <c r="A5" s="9" t="s">
        <v>25</v>
      </c>
      <c r="B5" s="9" t="s">
        <v>26</v>
      </c>
      <c r="C5" s="9"/>
      <c r="E5" s="19"/>
    </row>
    <row r="6" spans="1:7">
      <c r="A6" s="9" t="s">
        <v>27</v>
      </c>
      <c r="B6" s="9" t="s">
        <v>28</v>
      </c>
      <c r="C6" s="9"/>
      <c r="E6" s="19"/>
      <c r="F6" s="1"/>
      <c r="G6" s="8"/>
    </row>
    <row r="7" spans="1:7">
      <c r="A7" s="9" t="s">
        <v>29</v>
      </c>
      <c r="B7" s="9">
        <v>152376</v>
      </c>
      <c r="C7" s="9" t="s">
        <v>30</v>
      </c>
      <c r="D7" s="1"/>
      <c r="E7" s="20"/>
      <c r="F7" s="1"/>
      <c r="G7" s="8"/>
    </row>
    <row r="8" spans="1:7">
      <c r="A8" s="9" t="s">
        <v>31</v>
      </c>
      <c r="B8" s="9">
        <f>B7/B6</f>
        <v>0.295247395833333</v>
      </c>
      <c r="C8" s="9"/>
      <c r="D8" s="10"/>
      <c r="E8" s="20"/>
      <c r="F8" s="1"/>
      <c r="G8" s="8"/>
    </row>
    <row r="9" spans="1:7">
      <c r="A9" s="9" t="s">
        <v>32</v>
      </c>
      <c r="B9" s="9" t="s">
        <v>33</v>
      </c>
      <c r="C9" s="9"/>
      <c r="D9" s="10"/>
      <c r="E9" s="20"/>
      <c r="F9" s="1"/>
      <c r="G9" s="8"/>
    </row>
    <row r="10" spans="1:7">
      <c r="A10" s="9" t="s">
        <v>27</v>
      </c>
      <c r="B10" s="9" t="s">
        <v>34</v>
      </c>
      <c r="C10" s="9"/>
      <c r="E10" s="20"/>
      <c r="F10" s="1"/>
      <c r="G10" s="8"/>
    </row>
    <row r="11" spans="1:7">
      <c r="A11" s="9" t="s">
        <v>35</v>
      </c>
      <c r="B11" s="9">
        <v>-409061</v>
      </c>
      <c r="C11" s="9" t="s">
        <v>36</v>
      </c>
      <c r="D11" s="10"/>
      <c r="E11" s="20"/>
      <c r="F11" s="1"/>
      <c r="G11" s="8"/>
    </row>
    <row r="12" spans="1:7">
      <c r="A12" s="9" t="s">
        <v>37</v>
      </c>
      <c r="B12" s="9">
        <f>B11/B10</f>
        <v>-0.393182709461122</v>
      </c>
      <c r="C12" s="9"/>
      <c r="D12" s="10"/>
      <c r="E12" s="20"/>
      <c r="F12" s="1"/>
      <c r="G12" s="8"/>
    </row>
    <row r="13" spans="1:7">
      <c r="A13" s="10"/>
      <c r="B13" s="10"/>
      <c r="C13" s="10"/>
      <c r="D13" s="10"/>
      <c r="E13" s="20"/>
      <c r="F13" s="1"/>
      <c r="G13" s="8"/>
    </row>
    <row r="14" spans="1:6">
      <c r="A14" s="9" t="s">
        <v>38</v>
      </c>
      <c r="B14" s="9" t="s">
        <v>39</v>
      </c>
      <c r="C14" s="9" t="s">
        <v>40</v>
      </c>
      <c r="D14" s="11" t="s">
        <v>41</v>
      </c>
      <c r="E14" s="9" t="s">
        <v>42</v>
      </c>
      <c r="F14" s="9" t="s">
        <v>43</v>
      </c>
    </row>
    <row r="15" spans="1:10">
      <c r="A15" s="9" t="s">
        <v>44</v>
      </c>
      <c r="B15" s="12" t="s">
        <v>45</v>
      </c>
      <c r="C15" s="11">
        <f>IF(HEX2DEC(B15)&gt;2147483647,HEX2DEC(B15)-4294967296,HEX2DEC(B15))</f>
        <v>222</v>
      </c>
      <c r="D15" s="13">
        <v>12</v>
      </c>
      <c r="E15" s="11">
        <f>C15*0.5</f>
        <v>111</v>
      </c>
      <c r="F15" s="12"/>
      <c r="J15" s="27"/>
    </row>
    <row r="16" spans="1:10">
      <c r="A16" s="9" t="s">
        <v>46</v>
      </c>
      <c r="B16" s="12" t="s">
        <v>47</v>
      </c>
      <c r="C16" s="11">
        <f t="shared" ref="C16:C23" si="0">IF(HEX2DEC(B16)&gt;2147483647,HEX2DEC(B16)-4294967296,HEX2DEC(B16))</f>
        <v>-295</v>
      </c>
      <c r="D16" s="13">
        <v>12</v>
      </c>
      <c r="E16" s="11">
        <f>B8*C16</f>
        <v>-87.0979817708332</v>
      </c>
      <c r="F16" s="12"/>
      <c r="J16" s="27"/>
    </row>
    <row r="17" spans="1:10">
      <c r="A17" s="9" t="s">
        <v>48</v>
      </c>
      <c r="B17" s="12" t="s">
        <v>49</v>
      </c>
      <c r="C17" s="11">
        <f t="shared" si="0"/>
        <v>82580</v>
      </c>
      <c r="D17" s="13">
        <v>20</v>
      </c>
      <c r="E17" s="11"/>
      <c r="F17" s="12">
        <v>82580</v>
      </c>
      <c r="J17" s="27"/>
    </row>
    <row r="18" spans="1:10">
      <c r="A18" s="9" t="s">
        <v>50</v>
      </c>
      <c r="B18" s="12" t="s">
        <v>51</v>
      </c>
      <c r="C18" s="11">
        <f t="shared" si="0"/>
        <v>-55343</v>
      </c>
      <c r="D18" s="13">
        <v>20</v>
      </c>
      <c r="E18" s="11"/>
      <c r="F18" s="12">
        <f>C18*B12</f>
        <v>21759.9106897069</v>
      </c>
      <c r="J18" s="27"/>
    </row>
    <row r="19" spans="1:10">
      <c r="A19" s="9" t="s">
        <v>52</v>
      </c>
      <c r="B19" s="12" t="s">
        <v>53</v>
      </c>
      <c r="C19" s="11">
        <f t="shared" si="0"/>
        <v>-3496</v>
      </c>
      <c r="D19" s="13">
        <v>16</v>
      </c>
      <c r="E19" s="11"/>
      <c r="F19" s="12">
        <f>C19*B8</f>
        <v>-1032.18489583333</v>
      </c>
      <c r="J19" s="27"/>
    </row>
    <row r="20" spans="1:10">
      <c r="A20" s="9" t="s">
        <v>54</v>
      </c>
      <c r="B20" s="33" t="s">
        <v>55</v>
      </c>
      <c r="C20" s="11">
        <f t="shared" si="0"/>
        <v>1545</v>
      </c>
      <c r="D20" s="13">
        <v>16</v>
      </c>
      <c r="E20" s="11"/>
      <c r="F20" s="12">
        <f>C20*B8*B12</f>
        <v>-179.353134280114</v>
      </c>
      <c r="J20" s="27"/>
    </row>
    <row r="21" spans="1:10">
      <c r="A21" s="9" t="s">
        <v>56</v>
      </c>
      <c r="B21" s="12" t="s">
        <v>57</v>
      </c>
      <c r="C21" s="11">
        <f t="shared" si="0"/>
        <v>-11412</v>
      </c>
      <c r="D21" s="13">
        <v>16</v>
      </c>
      <c r="E21" s="11"/>
      <c r="F21" s="12">
        <f>C21*B12*B12</f>
        <v>-1764.21124213499</v>
      </c>
      <c r="J21" s="27"/>
    </row>
    <row r="22" spans="1:10">
      <c r="A22" s="9" t="s">
        <v>58</v>
      </c>
      <c r="B22" s="12" t="s">
        <v>59</v>
      </c>
      <c r="C22" s="11">
        <f t="shared" si="0"/>
        <v>216</v>
      </c>
      <c r="D22" s="13">
        <v>16</v>
      </c>
      <c r="E22" s="11"/>
      <c r="F22" s="12">
        <f>C22*B12*B12*B8</f>
        <v>9.85890425754406</v>
      </c>
      <c r="J22" s="27"/>
    </row>
    <row r="23" spans="1:10">
      <c r="A23" s="9" t="s">
        <v>60</v>
      </c>
      <c r="B23" s="12" t="s">
        <v>61</v>
      </c>
      <c r="C23" s="11">
        <f t="shared" si="0"/>
        <v>-1756</v>
      </c>
      <c r="D23" s="13">
        <v>16</v>
      </c>
      <c r="E23" s="11"/>
      <c r="F23" s="12">
        <f>C23*B12*B12*B12</f>
        <v>106.735218854292</v>
      </c>
      <c r="J23" s="27"/>
    </row>
    <row r="24" spans="1:6">
      <c r="A24" s="13"/>
      <c r="B24" s="13"/>
      <c r="C24" s="13"/>
      <c r="D24" s="11"/>
      <c r="E24" s="11">
        <f>SUM(E15:E23)</f>
        <v>23.9020182291668</v>
      </c>
      <c r="F24" s="11">
        <f>SUM(F15:F23)</f>
        <v>101480.75554057</v>
      </c>
    </row>
    <row r="26" spans="1:7">
      <c r="A26" s="13" t="s">
        <v>43</v>
      </c>
      <c r="B26" s="13"/>
      <c r="C26" s="13"/>
      <c r="D26" s="13"/>
      <c r="E26" s="13"/>
      <c r="F26" s="13"/>
      <c r="G26" s="13" t="s">
        <v>62</v>
      </c>
    </row>
    <row r="27" spans="1:7">
      <c r="A27" s="14" t="s">
        <v>63</v>
      </c>
      <c r="B27" s="14"/>
      <c r="C27" s="14"/>
      <c r="D27" s="14"/>
      <c r="E27" s="14"/>
      <c r="F27" s="14"/>
      <c r="G27" s="21">
        <f>C17</f>
        <v>82580</v>
      </c>
    </row>
    <row r="28" spans="1:7">
      <c r="A28" s="14" t="s">
        <v>64</v>
      </c>
      <c r="B28" s="14"/>
      <c r="C28" s="14"/>
      <c r="D28" s="14"/>
      <c r="E28" s="14"/>
      <c r="F28" s="14"/>
      <c r="G28" s="11"/>
    </row>
    <row r="29" spans="1:7">
      <c r="A29" s="12" t="s">
        <v>65</v>
      </c>
      <c r="B29" s="12"/>
      <c r="C29" s="12"/>
      <c r="D29" s="12"/>
      <c r="E29" s="12"/>
      <c r="F29" s="11">
        <f>B12*C23</f>
        <v>690.42883781373</v>
      </c>
      <c r="G29" s="11"/>
    </row>
    <row r="30" spans="1:7">
      <c r="A30" s="34" t="s">
        <v>66</v>
      </c>
      <c r="B30" s="15"/>
      <c r="C30" s="15"/>
      <c r="D30" s="15"/>
      <c r="E30" s="22">
        <f>C21</f>
        <v>-11412</v>
      </c>
      <c r="F30" s="11">
        <f>F29+C21</f>
        <v>-10721.5711621863</v>
      </c>
      <c r="G30" s="11"/>
    </row>
    <row r="31" spans="1:7">
      <c r="A31" s="34" t="s">
        <v>67</v>
      </c>
      <c r="B31" s="15"/>
      <c r="C31" s="15"/>
      <c r="D31" s="15"/>
      <c r="E31" s="22">
        <f>B12</f>
        <v>-0.393182709461122</v>
      </c>
      <c r="F31" s="11">
        <f>F30*B12</f>
        <v>4215.53639922863</v>
      </c>
      <c r="G31" s="11"/>
    </row>
    <row r="32" spans="1:7">
      <c r="A32" s="34" t="s">
        <v>68</v>
      </c>
      <c r="B32" s="15"/>
      <c r="C32" s="15"/>
      <c r="D32" s="15"/>
      <c r="E32" s="22">
        <f>C18</f>
        <v>-55343</v>
      </c>
      <c r="F32" s="11">
        <f>F31+C18</f>
        <v>-51127.4636007714</v>
      </c>
      <c r="G32" s="11"/>
    </row>
    <row r="33" spans="1:7">
      <c r="A33" s="34" t="s">
        <v>67</v>
      </c>
      <c r="B33" s="15"/>
      <c r="C33" s="15"/>
      <c r="D33" s="15"/>
      <c r="E33" s="22">
        <f>B12</f>
        <v>-0.393182709461122</v>
      </c>
      <c r="F33" s="11">
        <f>F32*B12</f>
        <v>20102.4346664262</v>
      </c>
      <c r="G33" s="11">
        <f>F33</f>
        <v>20102.4346664262</v>
      </c>
    </row>
    <row r="34" spans="1:7">
      <c r="A34" s="14" t="s">
        <v>69</v>
      </c>
      <c r="B34" s="14"/>
      <c r="C34" s="14"/>
      <c r="D34" s="14"/>
      <c r="E34" s="14"/>
      <c r="F34" s="14"/>
      <c r="G34" s="11">
        <f>B8*C19</f>
        <v>-1032.18489583333</v>
      </c>
    </row>
    <row r="35" spans="1:7">
      <c r="A35" s="14" t="s">
        <v>70</v>
      </c>
      <c r="B35" s="14"/>
      <c r="C35" s="14"/>
      <c r="D35" s="14"/>
      <c r="E35" s="14"/>
      <c r="F35" s="14"/>
      <c r="G35" s="11"/>
    </row>
    <row r="36" spans="1:7">
      <c r="A36" s="16" t="s">
        <v>71</v>
      </c>
      <c r="B36" s="16"/>
      <c r="C36" s="16"/>
      <c r="D36" s="16"/>
      <c r="E36" s="16"/>
      <c r="F36" s="11">
        <f>B12*C22</f>
        <v>-84.9274652436024</v>
      </c>
      <c r="G36" s="11"/>
    </row>
    <row r="37" spans="1:7">
      <c r="A37" s="35" t="s">
        <v>72</v>
      </c>
      <c r="B37" s="16"/>
      <c r="C37" s="16"/>
      <c r="D37" s="16"/>
      <c r="E37" s="16"/>
      <c r="F37" s="11">
        <f>F36+C20</f>
        <v>1460.0725347564</v>
      </c>
      <c r="G37" s="11"/>
    </row>
    <row r="38" spans="1:7">
      <c r="A38" s="35" t="s">
        <v>73</v>
      </c>
      <c r="B38" s="16"/>
      <c r="C38" s="16"/>
      <c r="D38" s="16"/>
      <c r="E38" s="16"/>
      <c r="F38" s="11">
        <f>F37*B12*B8</f>
        <v>-169.49423002257</v>
      </c>
      <c r="G38" s="11">
        <f>F38</f>
        <v>-169.49423002257</v>
      </c>
    </row>
    <row r="39" spans="1:7">
      <c r="A39" s="17" t="s">
        <v>74</v>
      </c>
      <c r="B39" s="18"/>
      <c r="C39" s="18"/>
      <c r="D39" s="18"/>
      <c r="E39" s="18"/>
      <c r="F39" s="23"/>
      <c r="G39" s="11">
        <f>SUM(G27:G38)</f>
        <v>101480.75554057</v>
      </c>
    </row>
  </sheetData>
  <mergeCells count="18">
    <mergeCell ref="A1:I1"/>
    <mergeCell ref="A2:I2"/>
    <mergeCell ref="A3:I3"/>
    <mergeCell ref="A24:C24"/>
    <mergeCell ref="A26:F26"/>
    <mergeCell ref="A27:F27"/>
    <mergeCell ref="A28:F28"/>
    <mergeCell ref="A29:E29"/>
    <mergeCell ref="A30:D30"/>
    <mergeCell ref="A31:D31"/>
    <mergeCell ref="A32:D32"/>
    <mergeCell ref="A33:D33"/>
    <mergeCell ref="A34:F34"/>
    <mergeCell ref="A35:F35"/>
    <mergeCell ref="A36:E36"/>
    <mergeCell ref="A37:E37"/>
    <mergeCell ref="A38:E38"/>
    <mergeCell ref="A39:F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 Factors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2024-02-28T02:01:00Z</dcterms:created>
  <dcterms:modified xsi:type="dcterms:W3CDTF">2024-02-28T18:08:26Z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