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ha\OneDrive\Desktop\Tata Motors Report\"/>
    </mc:Choice>
  </mc:AlternateContent>
  <xr:revisionPtr revIDLastSave="0" documentId="13_ncr:1_{C9B70E96-FD6D-4676-A56C-8C3F775D7C90}" xr6:coauthVersionLast="47" xr6:coauthVersionMax="47" xr10:uidLastSave="{00000000-0000-0000-0000-000000000000}"/>
  <bookViews>
    <workbookView xWindow="-110" yWindow="-110" windowWidth="19420" windowHeight="10300" activeTab="1" xr2:uid="{3DAFFB81-B2A0-494A-93D7-2A3512675F23}"/>
  </bookViews>
  <sheets>
    <sheet name="HistoricalFS" sheetId="2" r:id="rId1"/>
    <sheet name="Ratio Analysis" sheetId="3" r:id="rId2"/>
    <sheet name="Data Sheet" sheetId="1" r:id="rId3"/>
  </sheets>
  <calcPr calcId="191029" iterate="1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5" i="3" l="1"/>
  <c r="O6" i="3"/>
  <c r="O7" i="3"/>
  <c r="O8" i="3"/>
  <c r="O9" i="3"/>
  <c r="O11" i="3"/>
  <c r="O12" i="3"/>
  <c r="O13" i="3"/>
  <c r="O14" i="3"/>
  <c r="O15" i="3"/>
  <c r="O17" i="3"/>
  <c r="O18" i="3"/>
  <c r="O20" i="3"/>
  <c r="O21" i="3"/>
  <c r="O22" i="3"/>
  <c r="O23" i="3"/>
  <c r="O24" i="3"/>
  <c r="O26" i="3"/>
  <c r="O27" i="3"/>
  <c r="O28" i="3"/>
  <c r="O29" i="3"/>
  <c r="O30" i="3"/>
  <c r="O32" i="3"/>
  <c r="O33" i="3"/>
  <c r="O34" i="3"/>
  <c r="O37" i="3"/>
  <c r="O38" i="3"/>
  <c r="O39" i="3"/>
  <c r="O5" i="3"/>
  <c r="N6" i="3"/>
  <c r="N7" i="3"/>
  <c r="N8" i="3"/>
  <c r="N9" i="3"/>
  <c r="N11" i="3"/>
  <c r="N12" i="3"/>
  <c r="N13" i="3"/>
  <c r="N14" i="3"/>
  <c r="N15" i="3"/>
  <c r="N17" i="3"/>
  <c r="N18" i="3"/>
  <c r="N20" i="3"/>
  <c r="N21" i="3"/>
  <c r="N22" i="3"/>
  <c r="N23" i="3"/>
  <c r="N24" i="3"/>
  <c r="N26" i="3"/>
  <c r="N27" i="3"/>
  <c r="N28" i="3"/>
  <c r="N29" i="3"/>
  <c r="N30" i="3"/>
  <c r="N32" i="3"/>
  <c r="N33" i="3"/>
  <c r="N34" i="3"/>
  <c r="N35" i="3"/>
  <c r="N37" i="3"/>
  <c r="N38" i="3"/>
  <c r="N39" i="3"/>
  <c r="N5" i="3"/>
  <c r="D39" i="3"/>
  <c r="E39" i="3"/>
  <c r="F39" i="3"/>
  <c r="G39" i="3"/>
  <c r="H39" i="3"/>
  <c r="I39" i="3"/>
  <c r="J39" i="3"/>
  <c r="K39" i="3"/>
  <c r="L39" i="3"/>
  <c r="C39" i="3"/>
  <c r="D38" i="3"/>
  <c r="E38" i="3"/>
  <c r="F38" i="3"/>
  <c r="G38" i="3"/>
  <c r="H38" i="3"/>
  <c r="I38" i="3"/>
  <c r="J38" i="3"/>
  <c r="K38" i="3"/>
  <c r="L38" i="3"/>
  <c r="C38" i="3"/>
  <c r="C37" i="3"/>
  <c r="D37" i="3"/>
  <c r="E37" i="3"/>
  <c r="F37" i="3"/>
  <c r="G37" i="3"/>
  <c r="H37" i="3"/>
  <c r="I37" i="3"/>
  <c r="J37" i="3"/>
  <c r="K37" i="3"/>
  <c r="L37" i="3"/>
  <c r="D35" i="3"/>
  <c r="E35" i="3"/>
  <c r="F35" i="3"/>
  <c r="G35" i="3"/>
  <c r="H35" i="3"/>
  <c r="I35" i="3"/>
  <c r="J35" i="3"/>
  <c r="K35" i="3"/>
  <c r="L35" i="3"/>
  <c r="C35" i="3"/>
  <c r="D34" i="3"/>
  <c r="E34" i="3"/>
  <c r="F34" i="3"/>
  <c r="G34" i="3"/>
  <c r="H34" i="3"/>
  <c r="I34" i="3"/>
  <c r="J34" i="3"/>
  <c r="K34" i="3"/>
  <c r="L34" i="3"/>
  <c r="C34" i="3"/>
  <c r="D33" i="3"/>
  <c r="E33" i="3"/>
  <c r="F33" i="3"/>
  <c r="G33" i="3"/>
  <c r="H33" i="3"/>
  <c r="I33" i="3"/>
  <c r="J33" i="3"/>
  <c r="K33" i="3"/>
  <c r="L33" i="3"/>
  <c r="C33" i="3"/>
  <c r="K32" i="3"/>
  <c r="L32" i="3"/>
  <c r="D32" i="3"/>
  <c r="E32" i="3"/>
  <c r="F32" i="3"/>
  <c r="G32" i="3"/>
  <c r="H32" i="3"/>
  <c r="I32" i="3"/>
  <c r="J32" i="3"/>
  <c r="C32" i="3"/>
  <c r="L30" i="3"/>
  <c r="D30" i="3"/>
  <c r="E30" i="3"/>
  <c r="F30" i="3"/>
  <c r="G30" i="3"/>
  <c r="H30" i="3"/>
  <c r="I30" i="3"/>
  <c r="J30" i="3"/>
  <c r="K30" i="3"/>
  <c r="C30" i="3"/>
  <c r="D29" i="3"/>
  <c r="E29" i="3"/>
  <c r="F29" i="3"/>
  <c r="G29" i="3"/>
  <c r="H29" i="3"/>
  <c r="I29" i="3"/>
  <c r="J29" i="3"/>
  <c r="K29" i="3"/>
  <c r="L29" i="3"/>
  <c r="C29" i="3"/>
  <c r="D28" i="3"/>
  <c r="E28" i="3"/>
  <c r="F28" i="3"/>
  <c r="G28" i="3"/>
  <c r="H28" i="3"/>
  <c r="I28" i="3"/>
  <c r="J28" i="3"/>
  <c r="K28" i="3"/>
  <c r="L28" i="3"/>
  <c r="C28" i="3"/>
  <c r="D27" i="3"/>
  <c r="E27" i="3"/>
  <c r="F27" i="3"/>
  <c r="G27" i="3"/>
  <c r="H27" i="3"/>
  <c r="I27" i="3"/>
  <c r="J27" i="3"/>
  <c r="K27" i="3"/>
  <c r="L27" i="3"/>
  <c r="C27" i="3"/>
  <c r="D26" i="3"/>
  <c r="E26" i="3"/>
  <c r="F26" i="3"/>
  <c r="G26" i="3"/>
  <c r="H26" i="3"/>
  <c r="I26" i="3"/>
  <c r="J26" i="3"/>
  <c r="K26" i="3"/>
  <c r="L26" i="3"/>
  <c r="C26" i="3"/>
  <c r="D24" i="3"/>
  <c r="E24" i="3"/>
  <c r="F24" i="3"/>
  <c r="G24" i="3"/>
  <c r="H24" i="3"/>
  <c r="I24" i="3"/>
  <c r="J24" i="3"/>
  <c r="K24" i="3"/>
  <c r="L24" i="3"/>
  <c r="C24" i="3"/>
  <c r="D23" i="3"/>
  <c r="E23" i="3"/>
  <c r="F23" i="3"/>
  <c r="G23" i="3"/>
  <c r="H23" i="3"/>
  <c r="I23" i="3"/>
  <c r="J23" i="3"/>
  <c r="K23" i="3"/>
  <c r="L23" i="3"/>
  <c r="C23" i="3"/>
  <c r="D22" i="3"/>
  <c r="E22" i="3"/>
  <c r="F22" i="3"/>
  <c r="G22" i="3"/>
  <c r="H22" i="3"/>
  <c r="I22" i="3"/>
  <c r="J22" i="3"/>
  <c r="K22" i="3"/>
  <c r="L22" i="3"/>
  <c r="C22" i="3"/>
  <c r="D21" i="3"/>
  <c r="E21" i="3"/>
  <c r="F21" i="3"/>
  <c r="G21" i="3"/>
  <c r="H21" i="3"/>
  <c r="I21" i="3"/>
  <c r="J21" i="3"/>
  <c r="K21" i="3"/>
  <c r="L21" i="3"/>
  <c r="C21" i="3"/>
  <c r="D20" i="3"/>
  <c r="E20" i="3"/>
  <c r="F20" i="3"/>
  <c r="G20" i="3"/>
  <c r="H20" i="3"/>
  <c r="I20" i="3"/>
  <c r="J20" i="3"/>
  <c r="K20" i="3"/>
  <c r="L20" i="3"/>
  <c r="C20" i="3"/>
  <c r="D18" i="3"/>
  <c r="E18" i="3"/>
  <c r="F18" i="3"/>
  <c r="G18" i="3"/>
  <c r="H18" i="3"/>
  <c r="I18" i="3"/>
  <c r="J18" i="3"/>
  <c r="K18" i="3"/>
  <c r="L18" i="3"/>
  <c r="C18" i="3"/>
  <c r="J17" i="3"/>
  <c r="K17" i="3"/>
  <c r="L17" i="3"/>
  <c r="D17" i="3"/>
  <c r="E17" i="3"/>
  <c r="F17" i="3"/>
  <c r="G17" i="3"/>
  <c r="H17" i="3"/>
  <c r="I17" i="3"/>
  <c r="C17" i="3"/>
  <c r="J15" i="3"/>
  <c r="K15" i="3"/>
  <c r="L15" i="3"/>
  <c r="D15" i="3"/>
  <c r="E15" i="3"/>
  <c r="F15" i="3"/>
  <c r="G15" i="3"/>
  <c r="H15" i="3"/>
  <c r="I15" i="3"/>
  <c r="C15" i="3"/>
  <c r="D14" i="3"/>
  <c r="E14" i="3"/>
  <c r="F14" i="3"/>
  <c r="G14" i="3"/>
  <c r="H14" i="3"/>
  <c r="I14" i="3"/>
  <c r="J14" i="3"/>
  <c r="K14" i="3"/>
  <c r="L14" i="3"/>
  <c r="C14" i="3"/>
  <c r="D13" i="3"/>
  <c r="E13" i="3"/>
  <c r="F13" i="3"/>
  <c r="G13" i="3"/>
  <c r="H13" i="3"/>
  <c r="I13" i="3"/>
  <c r="J13" i="3"/>
  <c r="K13" i="3"/>
  <c r="L13" i="3"/>
  <c r="C13" i="3"/>
  <c r="D12" i="3"/>
  <c r="E12" i="3"/>
  <c r="F12" i="3"/>
  <c r="G12" i="3"/>
  <c r="H12" i="3"/>
  <c r="I12" i="3"/>
  <c r="J12" i="3"/>
  <c r="K12" i="3"/>
  <c r="L12" i="3"/>
  <c r="C12" i="3"/>
  <c r="D11" i="3"/>
  <c r="E11" i="3"/>
  <c r="F11" i="3"/>
  <c r="G11" i="3"/>
  <c r="H11" i="3"/>
  <c r="I11" i="3"/>
  <c r="J11" i="3"/>
  <c r="K11" i="3"/>
  <c r="L11" i="3"/>
  <c r="C11" i="3"/>
  <c r="E9" i="3"/>
  <c r="F9" i="3"/>
  <c r="G9" i="3"/>
  <c r="H9" i="3"/>
  <c r="I9" i="3"/>
  <c r="J9" i="3"/>
  <c r="K9" i="3"/>
  <c r="L9" i="3"/>
  <c r="D9" i="3"/>
  <c r="E8" i="3"/>
  <c r="F8" i="3"/>
  <c r="G8" i="3"/>
  <c r="H8" i="3"/>
  <c r="I8" i="3"/>
  <c r="J8" i="3"/>
  <c r="K8" i="3"/>
  <c r="L8" i="3"/>
  <c r="D8" i="3"/>
  <c r="E7" i="3"/>
  <c r="F7" i="3"/>
  <c r="G7" i="3"/>
  <c r="H7" i="3"/>
  <c r="I7" i="3"/>
  <c r="J7" i="3"/>
  <c r="K7" i="3"/>
  <c r="L7" i="3"/>
  <c r="D7" i="3"/>
  <c r="E6" i="3"/>
  <c r="F6" i="3"/>
  <c r="G6" i="3"/>
  <c r="H6" i="3"/>
  <c r="I6" i="3"/>
  <c r="J6" i="3"/>
  <c r="K6" i="3"/>
  <c r="L6" i="3"/>
  <c r="D6" i="3"/>
  <c r="H5" i="3"/>
  <c r="I5" i="3"/>
  <c r="J5" i="3"/>
  <c r="K5" i="3"/>
  <c r="L5" i="3"/>
  <c r="D5" i="3"/>
  <c r="E5" i="3"/>
  <c r="F5" i="3"/>
  <c r="G5" i="3"/>
  <c r="C5" i="3"/>
  <c r="B2" i="3"/>
  <c r="B2" i="2"/>
  <c r="H72" i="2"/>
  <c r="I72" i="2"/>
  <c r="J72" i="2"/>
  <c r="K72" i="2"/>
  <c r="L72" i="2"/>
  <c r="D72" i="2"/>
  <c r="E72" i="2"/>
  <c r="F72" i="2"/>
  <c r="G72" i="2"/>
  <c r="C72" i="2"/>
  <c r="C69" i="2"/>
  <c r="D69" i="2"/>
  <c r="E69" i="2"/>
  <c r="F69" i="2"/>
  <c r="G69" i="2"/>
  <c r="H69" i="2"/>
  <c r="I69" i="2"/>
  <c r="J69" i="2"/>
  <c r="K69" i="2"/>
  <c r="L69" i="2"/>
  <c r="C70" i="2"/>
  <c r="D70" i="2"/>
  <c r="E70" i="2"/>
  <c r="F70" i="2"/>
  <c r="G70" i="2"/>
  <c r="H70" i="2"/>
  <c r="I70" i="2"/>
  <c r="J70" i="2"/>
  <c r="K70" i="2"/>
  <c r="L70" i="2"/>
  <c r="D68" i="2"/>
  <c r="E68" i="2"/>
  <c r="F68" i="2"/>
  <c r="G68" i="2"/>
  <c r="H68" i="2"/>
  <c r="I68" i="2"/>
  <c r="J68" i="2"/>
  <c r="K68" i="2"/>
  <c r="L68" i="2"/>
  <c r="C68" i="2"/>
  <c r="F63" i="2"/>
  <c r="G63" i="2"/>
  <c r="H63" i="2"/>
  <c r="I63" i="2"/>
  <c r="J63" i="2"/>
  <c r="K63" i="2"/>
  <c r="C61" i="2"/>
  <c r="D61" i="2"/>
  <c r="E61" i="2"/>
  <c r="F61" i="2"/>
  <c r="G61" i="2"/>
  <c r="H61" i="2"/>
  <c r="I61" i="2"/>
  <c r="J61" i="2"/>
  <c r="K61" i="2"/>
  <c r="L61" i="2"/>
  <c r="C62" i="2"/>
  <c r="D62" i="2"/>
  <c r="E62" i="2"/>
  <c r="F62" i="2"/>
  <c r="G62" i="2"/>
  <c r="H62" i="2"/>
  <c r="I62" i="2"/>
  <c r="J62" i="2"/>
  <c r="K62" i="2"/>
  <c r="L62" i="2"/>
  <c r="D60" i="2"/>
  <c r="D63" i="2" s="1"/>
  <c r="E60" i="2"/>
  <c r="E63" i="2" s="1"/>
  <c r="F60" i="2"/>
  <c r="G60" i="2"/>
  <c r="H60" i="2"/>
  <c r="I60" i="2"/>
  <c r="J60" i="2"/>
  <c r="K60" i="2"/>
  <c r="L60" i="2"/>
  <c r="L63" i="2" s="1"/>
  <c r="D57" i="2"/>
  <c r="E57" i="2"/>
  <c r="F57" i="2"/>
  <c r="G57" i="2"/>
  <c r="G58" i="2" s="1"/>
  <c r="G65" i="2" s="1"/>
  <c r="H57" i="2"/>
  <c r="H58" i="2" s="1"/>
  <c r="H65" i="2" s="1"/>
  <c r="I57" i="2"/>
  <c r="J57" i="2"/>
  <c r="K57" i="2"/>
  <c r="L57" i="2"/>
  <c r="C57" i="2"/>
  <c r="C52" i="2"/>
  <c r="C60" i="2"/>
  <c r="C63" i="2" s="1"/>
  <c r="C55" i="2"/>
  <c r="C58" i="2" s="1"/>
  <c r="C65" i="2" s="1"/>
  <c r="D55" i="2"/>
  <c r="E55" i="2"/>
  <c r="F55" i="2"/>
  <c r="G55" i="2"/>
  <c r="H55" i="2"/>
  <c r="I55" i="2"/>
  <c r="J55" i="2"/>
  <c r="K55" i="2"/>
  <c r="L55" i="2"/>
  <c r="C56" i="2"/>
  <c r="D56" i="2"/>
  <c r="E56" i="2"/>
  <c r="E58" i="2" s="1"/>
  <c r="F56" i="2"/>
  <c r="G56" i="2"/>
  <c r="H56" i="2"/>
  <c r="I56" i="2"/>
  <c r="J56" i="2"/>
  <c r="K56" i="2"/>
  <c r="L56" i="2"/>
  <c r="H54" i="2"/>
  <c r="I54" i="2"/>
  <c r="J54" i="2"/>
  <c r="K54" i="2"/>
  <c r="L54" i="2"/>
  <c r="D54" i="2"/>
  <c r="D58" i="2" s="1"/>
  <c r="E54" i="2"/>
  <c r="F54" i="2"/>
  <c r="G54" i="2"/>
  <c r="C54" i="2"/>
  <c r="C49" i="2"/>
  <c r="D49" i="2"/>
  <c r="E49" i="2"/>
  <c r="F49" i="2"/>
  <c r="G49" i="2"/>
  <c r="H49" i="2"/>
  <c r="I49" i="2"/>
  <c r="J49" i="2"/>
  <c r="J52" i="2" s="1"/>
  <c r="K49" i="2"/>
  <c r="K52" i="2" s="1"/>
  <c r="L49" i="2"/>
  <c r="L52" i="2" s="1"/>
  <c r="C50" i="2"/>
  <c r="D50" i="2"/>
  <c r="E50" i="2"/>
  <c r="F50" i="2"/>
  <c r="G50" i="2"/>
  <c r="H50" i="2"/>
  <c r="I50" i="2"/>
  <c r="J50" i="2"/>
  <c r="K50" i="2"/>
  <c r="L50" i="2"/>
  <c r="C51" i="2"/>
  <c r="D51" i="2"/>
  <c r="E51" i="2"/>
  <c r="F51" i="2"/>
  <c r="G51" i="2"/>
  <c r="H51" i="2"/>
  <c r="I51" i="2"/>
  <c r="J51" i="2"/>
  <c r="K51" i="2"/>
  <c r="L51" i="2"/>
  <c r="D48" i="2"/>
  <c r="D52" i="2" s="1"/>
  <c r="E48" i="2"/>
  <c r="E52" i="2" s="1"/>
  <c r="F48" i="2"/>
  <c r="F52" i="2" s="1"/>
  <c r="G48" i="2"/>
  <c r="G52" i="2" s="1"/>
  <c r="H48" i="2"/>
  <c r="H52" i="2" s="1"/>
  <c r="I48" i="2"/>
  <c r="I52" i="2" s="1"/>
  <c r="J48" i="2"/>
  <c r="K48" i="2"/>
  <c r="L48" i="2"/>
  <c r="C48" i="2"/>
  <c r="K36" i="2"/>
  <c r="K41" i="2" s="1"/>
  <c r="L36" i="2"/>
  <c r="L41" i="2" s="1"/>
  <c r="D36" i="2"/>
  <c r="D41" i="2" s="1"/>
  <c r="E36" i="2"/>
  <c r="E41" i="2" s="1"/>
  <c r="F36" i="2"/>
  <c r="F41" i="2" s="1"/>
  <c r="G36" i="2"/>
  <c r="G41" i="2" s="1"/>
  <c r="H36" i="2"/>
  <c r="H41" i="2" s="1"/>
  <c r="I36" i="2"/>
  <c r="I41" i="2" s="1"/>
  <c r="J36" i="2"/>
  <c r="J41" i="2" s="1"/>
  <c r="C36" i="2"/>
  <c r="C41" i="2" s="1"/>
  <c r="L30" i="2"/>
  <c r="J30" i="2"/>
  <c r="K30" i="2"/>
  <c r="D30" i="2"/>
  <c r="E30" i="2"/>
  <c r="F30" i="2"/>
  <c r="G30" i="2"/>
  <c r="H30" i="2"/>
  <c r="I30" i="2"/>
  <c r="C30" i="2"/>
  <c r="D24" i="2"/>
  <c r="E24" i="2"/>
  <c r="F24" i="2"/>
  <c r="G24" i="2"/>
  <c r="H24" i="2"/>
  <c r="I24" i="2"/>
  <c r="J24" i="2"/>
  <c r="K24" i="2"/>
  <c r="L24" i="2"/>
  <c r="C24" i="2"/>
  <c r="L21" i="2"/>
  <c r="D21" i="2"/>
  <c r="E21" i="2"/>
  <c r="F21" i="2"/>
  <c r="G21" i="2"/>
  <c r="H21" i="2"/>
  <c r="I21" i="2"/>
  <c r="J21" i="2"/>
  <c r="K21" i="2"/>
  <c r="C21" i="2"/>
  <c r="K15" i="2"/>
  <c r="L15" i="2"/>
  <c r="L16" i="2" s="1"/>
  <c r="D15" i="2"/>
  <c r="E15" i="2"/>
  <c r="F15" i="2"/>
  <c r="G15" i="2"/>
  <c r="H15" i="2"/>
  <c r="I15" i="2"/>
  <c r="J15" i="2"/>
  <c r="C15" i="2"/>
  <c r="C6" i="2"/>
  <c r="D9" i="2"/>
  <c r="D10" i="2" s="1"/>
  <c r="E9" i="2"/>
  <c r="F9" i="2"/>
  <c r="G9" i="2"/>
  <c r="H9" i="2"/>
  <c r="I9" i="2"/>
  <c r="J9" i="2"/>
  <c r="K9" i="2"/>
  <c r="L9" i="2"/>
  <c r="C9" i="2"/>
  <c r="D6" i="2"/>
  <c r="E6" i="2"/>
  <c r="E7" i="2" s="1"/>
  <c r="F6" i="2"/>
  <c r="G6" i="2"/>
  <c r="H6" i="2"/>
  <c r="H7" i="2" s="1"/>
  <c r="I6" i="2"/>
  <c r="J6" i="2"/>
  <c r="K6" i="2"/>
  <c r="K7" i="2" s="1"/>
  <c r="L6" i="2"/>
  <c r="L7" i="2" s="1"/>
  <c r="D65" i="2" l="1"/>
  <c r="E65" i="2"/>
  <c r="F58" i="2"/>
  <c r="F65" i="2" s="1"/>
  <c r="I16" i="2"/>
  <c r="I10" i="2"/>
  <c r="J58" i="2"/>
  <c r="J65" i="2" s="1"/>
  <c r="C25" i="2"/>
  <c r="G25" i="2"/>
  <c r="L58" i="2"/>
  <c r="L65" i="2" s="1"/>
  <c r="K58" i="2"/>
  <c r="K65" i="2" s="1"/>
  <c r="J7" i="2"/>
  <c r="I58" i="2"/>
  <c r="I65" i="2" s="1"/>
  <c r="G10" i="2"/>
  <c r="L10" i="2"/>
  <c r="D22" i="2"/>
  <c r="J10" i="2"/>
  <c r="H16" i="2"/>
  <c r="G7" i="2"/>
  <c r="I7" i="2"/>
  <c r="H10" i="2"/>
  <c r="J22" i="2"/>
  <c r="H22" i="2"/>
  <c r="G22" i="2"/>
  <c r="G16" i="2"/>
  <c r="L25" i="2"/>
  <c r="G12" i="2"/>
  <c r="G13" i="2" s="1"/>
  <c r="I22" i="2"/>
  <c r="H25" i="2"/>
  <c r="C10" i="2"/>
  <c r="E25" i="2"/>
  <c r="D25" i="2"/>
  <c r="K10" i="2"/>
  <c r="D16" i="2"/>
  <c r="L22" i="2"/>
  <c r="K16" i="2"/>
  <c r="I12" i="2"/>
  <c r="I13" i="2" s="1"/>
  <c r="J25" i="2"/>
  <c r="H12" i="2"/>
  <c r="H18" i="2" s="1"/>
  <c r="F25" i="2"/>
  <c r="F22" i="2"/>
  <c r="E22" i="2"/>
  <c r="L12" i="2"/>
  <c r="K25" i="2"/>
  <c r="J16" i="2"/>
  <c r="K22" i="2"/>
  <c r="L18" i="2"/>
  <c r="L13" i="2"/>
  <c r="C16" i="2"/>
  <c r="E10" i="2"/>
  <c r="K12" i="2"/>
  <c r="I25" i="2"/>
  <c r="D7" i="2"/>
  <c r="E12" i="2"/>
  <c r="D12" i="2"/>
  <c r="E16" i="2"/>
  <c r="F10" i="2"/>
  <c r="J12" i="2"/>
  <c r="F7" i="2"/>
  <c r="F12" i="2"/>
  <c r="C22" i="2"/>
  <c r="C12" i="2"/>
  <c r="G18" i="2"/>
  <c r="F16" i="2"/>
  <c r="I18" i="2" l="1"/>
  <c r="I19" i="2" s="1"/>
  <c r="H13" i="2"/>
  <c r="F13" i="2"/>
  <c r="F18" i="2"/>
  <c r="J13" i="2"/>
  <c r="J18" i="2"/>
  <c r="D13" i="2"/>
  <c r="D18" i="2"/>
  <c r="E13" i="2"/>
  <c r="E18" i="2"/>
  <c r="C13" i="2"/>
  <c r="C18" i="2"/>
  <c r="I27" i="2"/>
  <c r="L27" i="2"/>
  <c r="L19" i="2"/>
  <c r="G27" i="2"/>
  <c r="G19" i="2"/>
  <c r="K18" i="2"/>
  <c r="K13" i="2"/>
  <c r="H27" i="2"/>
  <c r="H19" i="2"/>
  <c r="C19" i="2" l="1"/>
  <c r="C27" i="2"/>
  <c r="K27" i="2"/>
  <c r="K19" i="2"/>
  <c r="I28" i="2"/>
  <c r="I33" i="2"/>
  <c r="I31" i="2"/>
  <c r="E27" i="2"/>
  <c r="E19" i="2"/>
  <c r="J19" i="2"/>
  <c r="J27" i="2"/>
  <c r="G33" i="2"/>
  <c r="G28" i="2"/>
  <c r="G31" i="2"/>
  <c r="F27" i="2"/>
  <c r="F19" i="2"/>
  <c r="H28" i="2"/>
  <c r="H33" i="2"/>
  <c r="H31" i="2"/>
  <c r="D27" i="2"/>
  <c r="D19" i="2"/>
  <c r="L28" i="2"/>
  <c r="L33" i="2"/>
  <c r="L31" i="2"/>
  <c r="J28" i="2" l="1"/>
  <c r="J33" i="2"/>
  <c r="J31" i="2"/>
  <c r="D28" i="2"/>
  <c r="D33" i="2"/>
  <c r="D31" i="2"/>
  <c r="H34" i="2"/>
  <c r="H38" i="2"/>
  <c r="G38" i="2"/>
  <c r="G34" i="2"/>
  <c r="L38" i="2"/>
  <c r="L34" i="2"/>
  <c r="E33" i="2"/>
  <c r="E28" i="2"/>
  <c r="E31" i="2"/>
  <c r="I34" i="2"/>
  <c r="I38" i="2"/>
  <c r="F33" i="2"/>
  <c r="F28" i="2"/>
  <c r="F31" i="2"/>
  <c r="K33" i="2"/>
  <c r="K28" i="2"/>
  <c r="K31" i="2"/>
  <c r="C28" i="2"/>
  <c r="C31" i="2"/>
  <c r="C33" i="2"/>
  <c r="L42" i="2" l="1"/>
  <c r="L44" i="2"/>
  <c r="D38" i="2"/>
  <c r="D34" i="2"/>
  <c r="K38" i="2"/>
  <c r="K34" i="2"/>
  <c r="H39" i="2"/>
  <c r="H44" i="2"/>
  <c r="H42" i="2"/>
  <c r="G42" i="2"/>
  <c r="G44" i="2" s="1"/>
  <c r="F34" i="2"/>
  <c r="F38" i="2"/>
  <c r="G39" i="2" s="1"/>
  <c r="I44" i="2"/>
  <c r="I39" i="2"/>
  <c r="I42" i="2"/>
  <c r="C38" i="2"/>
  <c r="C34" i="2"/>
  <c r="J38" i="2"/>
  <c r="J34" i="2"/>
  <c r="E34" i="2"/>
  <c r="E38" i="2"/>
  <c r="E39" i="2" l="1"/>
  <c r="E42" i="2"/>
  <c r="E44" i="2" s="1"/>
  <c r="J44" i="2"/>
  <c r="J39" i="2"/>
  <c r="J42" i="2"/>
  <c r="K39" i="2"/>
  <c r="K44" i="2"/>
  <c r="K42" i="2"/>
  <c r="F39" i="2"/>
  <c r="F42" i="2"/>
  <c r="F44" i="2" s="1"/>
  <c r="L39" i="2"/>
  <c r="C42" i="2"/>
  <c r="C44" i="2" s="1"/>
  <c r="D39" i="2"/>
  <c r="D42" i="2"/>
  <c r="D44" i="2" s="1"/>
</calcChain>
</file>

<file path=xl/sharedStrings.xml><?xml version="1.0" encoding="utf-8"?>
<sst xmlns="http://schemas.openxmlformats.org/spreadsheetml/2006/main" count="158" uniqueCount="117">
  <si>
    <t>COMPANY NAME</t>
  </si>
  <si>
    <t>TATA MOTORS LTD</t>
  </si>
  <si>
    <t/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</si>
  <si>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</si>
  <si>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</si>
  <si>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</si>
  <si>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</si>
  <si>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</si>
  <si>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</si>
  <si>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</si>
  <si>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</si>
  <si>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</si>
  <si>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</si>
  <si>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</si>
  <si>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</si>
  <si>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</si>
  <si>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</si>
  <si>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</si>
  <si>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</si>
  <si>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</si>
  <si>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</si>
  <si>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</si>
  <si>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</si>
  <si>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</si>
  <si>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</si>
  <si>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</si>
  <si>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</si>
  <si>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</si>
  <si>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</si>
  <si>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</si>
  <si>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</si>
  <si>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</si>
  <si>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</si>
  <si>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</si>
  <si>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</si>
  <si>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</si>
  <si>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</si>
  <si>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</si>
  <si>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</si>
  <si>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</si>
  <si>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</si>
  <si>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</si>
  <si>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</si>
  <si>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</si>
  <si>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</si>
  <si>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</si>
  <si>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</si>
  <si>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</si>
  <si>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</si>
  <si>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</si>
  <si>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</si>
  <si>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</si>
  <si>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</si>
  <si>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</si>
  <si>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</si>
  <si>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Years</t>
  </si>
  <si>
    <t>#</t>
  </si>
  <si>
    <t>Income Statement</t>
  </si>
  <si>
    <t>COGS</t>
  </si>
  <si>
    <t>Growth %</t>
  </si>
  <si>
    <t>-</t>
  </si>
  <si>
    <t>COGS % Sales</t>
  </si>
  <si>
    <t>Gross Profit</t>
  </si>
  <si>
    <t>Gross Margin</t>
  </si>
  <si>
    <t>Selling &amp; General Expenses</t>
  </si>
  <si>
    <t>S&amp;G % Sales</t>
  </si>
  <si>
    <t>EBITDA</t>
  </si>
  <si>
    <t>EBITDA Margin</t>
  </si>
  <si>
    <t>Earning Before Tax</t>
  </si>
  <si>
    <t>Interest % Sales</t>
  </si>
  <si>
    <t>Depreciation % Sales</t>
  </si>
  <si>
    <t>EBT % Sales</t>
  </si>
  <si>
    <t>Effective Tax Rate</t>
  </si>
  <si>
    <t>Net Profit</t>
  </si>
  <si>
    <t>Net Margin</t>
  </si>
  <si>
    <t>No of Equity Shares</t>
  </si>
  <si>
    <t>Earning per Share</t>
  </si>
  <si>
    <t>EPS Growth Rate</t>
  </si>
  <si>
    <t>Dividend per Share</t>
  </si>
  <si>
    <t>Dividend payout Ratio</t>
  </si>
  <si>
    <t>Retained Earning</t>
  </si>
  <si>
    <t>Balance Sheet</t>
  </si>
  <si>
    <t>Total Liabilities</t>
  </si>
  <si>
    <t>Total Non Current Assets</t>
  </si>
  <si>
    <t>Total Current Assets</t>
  </si>
  <si>
    <t>Total Assets</t>
  </si>
  <si>
    <t>Cash Flow Statement</t>
  </si>
  <si>
    <t>SalesGrowth</t>
  </si>
  <si>
    <t>EBITDA Growth</t>
  </si>
  <si>
    <t>EBIT Growth</t>
  </si>
  <si>
    <t>Net Profit Growth</t>
  </si>
  <si>
    <t>Dividend Growth</t>
  </si>
  <si>
    <t>EBIT Margin</t>
  </si>
  <si>
    <t>EBT Margin</t>
  </si>
  <si>
    <t>Net Profit Margin</t>
  </si>
  <si>
    <t>SalesExpenses%Sales</t>
  </si>
  <si>
    <t>Depreciation%Sales</t>
  </si>
  <si>
    <t>Return on Capital Employed</t>
  </si>
  <si>
    <t>Retained Earnings%</t>
  </si>
  <si>
    <t>Return on Equity%</t>
  </si>
  <si>
    <t>Self Sustained Growth Rate</t>
  </si>
  <si>
    <t>Interest Coverage Ratio</t>
  </si>
  <si>
    <t>Debtor Turnover Ratio</t>
  </si>
  <si>
    <t>Creditor Turnover Ratio</t>
  </si>
  <si>
    <t>Inventory Turnover</t>
  </si>
  <si>
    <t>Fixed Asset Turnover</t>
  </si>
  <si>
    <t>Capital Turnover Ratio</t>
  </si>
  <si>
    <t>Debtor Days</t>
  </si>
  <si>
    <t>Payable Days</t>
  </si>
  <si>
    <t>Inventory Days</t>
  </si>
  <si>
    <t>Cash Conversion Cycle (in days)</t>
  </si>
  <si>
    <t>CFO/Sales</t>
  </si>
  <si>
    <t>CFO/Total Assets</t>
  </si>
  <si>
    <t>CFO/Total Debt</t>
  </si>
  <si>
    <t>Trend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</si>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</sst>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[$-409]mmm\-yy;@"/>
    <numFmt numFmtId="165" formatCode="&quot;₹&quot;\ #,##0.0"/>
    <numFmt numFmtId="166" formatCode="&quot;₹&quot;\ #,##0.0;&quot;₹&quot;\(#,##0.0\)"/>
    <numFmt numFmtId="167" formatCode="&quot;₹&quot;\ #,##0.0;\(&quot;₹&quot;#,##0.0\)"/>
    <numFmt numFmtId="168" formatCode="0.0"/>
    <numFmt numFmtId="169" formatCode="&quot;₹&quot;\ #,##0.00"/>
    <numFmt numFmtId="170" formatCode="&quot;₹&quot;\ #,##0"/>
    <numFmt numFmtId="171" formatCode="0.0%"/>
    <numFmt numFmtId="172" formatCode="0.00&quot;x&quot;"/>
  </numFmts>
  <fonts count="11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i/>
      <sz val="11"/>
      <color theme="0" tint="-0.34998626667073579"/>
      <name val="Calibri"/>
      <family val="2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60">
    <xf numFmtId="0" fontId="0" fillId="0" borderId="0" xfId="0"/>
    <xf numFmtId="0" fontId="4" fillId="0" borderId="0" xfId="2"/>
    <xf numFmtId="43" fontId="5" fillId="0" borderId="0" xfId="3" applyFont="1" applyBorder="1"/>
    <xf numFmtId="43" fontId="4" fillId="0" borderId="0" xfId="3" applyFont="1" applyBorder="1"/>
    <xf numFmtId="164" fontId="6" fillId="5" borderId="0" xfId="2" applyNumberFormat="1" applyFont="1" applyFill="1" applyAlignment="1">
      <alignment horizontal="center"/>
    </xf>
    <xf numFmtId="164" fontId="6" fillId="5" borderId="0" xfId="3" applyNumberFormat="1" applyFont="1" applyFill="1" applyBorder="1"/>
    <xf numFmtId="0" fontId="0" fillId="6" borderId="0" xfId="0" applyFill="1" applyAlignment="1">
      <alignment horizontal="left"/>
    </xf>
    <xf numFmtId="164" fontId="6" fillId="6" borderId="0" xfId="2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2" fillId="6" borderId="0" xfId="0" applyFont="1" applyFill="1"/>
    <xf numFmtId="0" fontId="3" fillId="7" borderId="0" xfId="0" applyFont="1" applyFill="1"/>
    <xf numFmtId="0" fontId="0" fillId="7" borderId="0" xfId="0" applyFill="1"/>
    <xf numFmtId="165" fontId="0" fillId="0" borderId="0" xfId="0" applyNumberFormat="1"/>
    <xf numFmtId="0" fontId="9" fillId="0" borderId="0" xfId="0" applyFont="1"/>
    <xf numFmtId="165" fontId="9" fillId="0" borderId="0" xfId="0" applyNumberFormat="1" applyFont="1" applyAlignment="1">
      <alignment horizontal="right"/>
    </xf>
    <xf numFmtId="10" fontId="9" fillId="0" borderId="0" xfId="1" applyNumberFormat="1" applyFont="1" applyAlignment="1">
      <alignment horizontal="right"/>
    </xf>
    <xf numFmtId="10" fontId="0" fillId="0" borderId="0" xfId="1" applyNumberFormat="1" applyFont="1"/>
    <xf numFmtId="10" fontId="9" fillId="0" borderId="0" xfId="1" applyNumberFormat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right"/>
    </xf>
    <xf numFmtId="170" fontId="0" fillId="0" borderId="0" xfId="0" applyNumberFormat="1"/>
    <xf numFmtId="0" fontId="3" fillId="0" borderId="1" xfId="0" applyFont="1" applyBorder="1"/>
    <xf numFmtId="165" fontId="3" fillId="0" borderId="1" xfId="0" applyNumberFormat="1" applyFont="1" applyBorder="1"/>
    <xf numFmtId="0" fontId="3" fillId="0" borderId="2" xfId="0" applyFont="1" applyBorder="1"/>
    <xf numFmtId="165" fontId="3" fillId="0" borderId="2" xfId="0" applyNumberFormat="1" applyFont="1" applyBorder="1"/>
    <xf numFmtId="166" fontId="3" fillId="0" borderId="1" xfId="0" applyNumberFormat="1" applyFont="1" applyBorder="1"/>
    <xf numFmtId="167" fontId="3" fillId="0" borderId="1" xfId="0" applyNumberFormat="1" applyFont="1" applyBorder="1"/>
    <xf numFmtId="43" fontId="5" fillId="0" borderId="1" xfId="3" applyFont="1" applyBorder="1"/>
    <xf numFmtId="170" fontId="3" fillId="0" borderId="1" xfId="0" applyNumberFormat="1" applyFont="1" applyBorder="1"/>
    <xf numFmtId="170" fontId="3" fillId="0" borderId="2" xfId="0" applyNumberFormat="1" applyFont="1" applyBorder="1"/>
    <xf numFmtId="43" fontId="5" fillId="0" borderId="2" xfId="3" applyFont="1" applyBorder="1"/>
    <xf numFmtId="167" fontId="3" fillId="0" borderId="2" xfId="0" applyNumberFormat="1" applyFont="1" applyBorder="1"/>
    <xf numFmtId="0" fontId="0" fillId="0" borderId="3" xfId="0" applyBorder="1"/>
    <xf numFmtId="0" fontId="0" fillId="0" borderId="3" xfId="0" applyBorder="1" applyAlignment="1">
      <alignment horizontal="right"/>
    </xf>
    <xf numFmtId="10" fontId="0" fillId="0" borderId="3" xfId="1" applyNumberFormat="1" applyFont="1" applyBorder="1"/>
    <xf numFmtId="10" fontId="0" fillId="0" borderId="0" xfId="1" applyNumberFormat="1" applyFont="1" applyBorder="1"/>
    <xf numFmtId="0" fontId="0" fillId="0" borderId="4" xfId="0" applyBorder="1"/>
    <xf numFmtId="0" fontId="0" fillId="0" borderId="4" xfId="0" applyBorder="1" applyAlignment="1">
      <alignment horizontal="right"/>
    </xf>
    <xf numFmtId="10" fontId="0" fillId="0" borderId="4" xfId="1" applyNumberFormat="1" applyFont="1" applyBorder="1"/>
    <xf numFmtId="171" fontId="0" fillId="0" borderId="0" xfId="0" applyNumberFormat="1"/>
    <xf numFmtId="172" fontId="0" fillId="0" borderId="4" xfId="0" applyNumberFormat="1" applyBorder="1"/>
    <xf numFmtId="172" fontId="0" fillId="0" borderId="3" xfId="0" applyNumberFormat="1" applyBorder="1"/>
    <xf numFmtId="172" fontId="0" fillId="0" borderId="0" xfId="0" applyNumberFormat="1"/>
    <xf numFmtId="1" fontId="0" fillId="0" borderId="0" xfId="0" applyNumberFormat="1"/>
    <xf numFmtId="1" fontId="0" fillId="0" borderId="4" xfId="0" applyNumberFormat="1" applyBorder="1"/>
    <xf numFmtId="1" fontId="0" fillId="0" borderId="3" xfId="0" applyNumberFormat="1" applyBorder="1"/>
    <xf numFmtId="0" fontId="10" fillId="6" borderId="0" xfId="0" applyFont="1" applyFill="1"/>
    <xf numFmtId="0" fontId="2" fillId="6" borderId="0" xfId="0" applyFont="1" applyFill="1" applyAlignment="1">
      <alignment horizontal="center"/>
    </xf>
    <xf numFmtId="171" fontId="0" fillId="0" borderId="3" xfId="1" applyNumberFormat="1" applyFont="1" applyBorder="1"/>
    <xf numFmtId="171" fontId="0" fillId="0" borderId="0" xfId="1" applyNumberFormat="1" applyFont="1" applyBorder="1"/>
    <xf numFmtId="171" fontId="0" fillId="0" borderId="4" xfId="1" applyNumberFormat="1" applyFont="1" applyBorder="1"/>
    <xf numFmtId="168" fontId="0" fillId="0" borderId="3" xfId="0" applyNumberFormat="1" applyBorder="1"/>
    <xf numFmtId="168" fontId="0" fillId="0" borderId="4" xfId="0" applyNumberFormat="1" applyBorder="1"/>
    <xf numFmtId="0" fontId="2" fillId="6" borderId="0" xfId="0" applyFont="1" applyFill="1" applyAlignment="1">
      <alignment horizontal="left" indent="46"/>
    </xf>
    <xf numFmtId="0" fontId="2" fillId="6" borderId="0" xfId="0" applyFont="1" applyFill="1" applyAlignment="1">
      <alignment horizontal="left" indent="36"/>
    </xf>
    <xf numFmtId="43" fontId="7" fillId="0" borderId="0" xfId="4" applyNumberFormat="1" applyBorder="1" applyAlignment="1" applyProtection="1">
      <alignment horizontal="center"/>
    </xf>
    <xf numFmtId="43" fontId="6" fillId="4" borderId="0" xfId="7" applyNumberFormat="1" applyFont="1" applyBorder="1" applyAlignment="1">
      <alignment horizontal="center"/>
    </xf>
  </cellXfs>
  <cellStyles count="9">
    <cellStyle name="60% - Accent1 2" xfId="5" xr:uid="{EBCE7321-3F9F-4A48-A601-8DF263AE3890}"/>
    <cellStyle name="60% - Accent3 2" xfId="6" xr:uid="{4E4F5B14-1D5A-4225-9B27-EF59B84FD0DD}"/>
    <cellStyle name="Accent6 2" xfId="7" xr:uid="{B60A290D-1AF2-412C-B419-991C2C990803}"/>
    <cellStyle name="Comma 2" xfId="3" xr:uid="{13154A09-C1CD-4CED-BAF0-B1F96DA2B096}"/>
    <cellStyle name="Hyperlink" xfId="4" builtinId="8"/>
    <cellStyle name="Normal" xfId="0" builtinId="0"/>
    <cellStyle name="Normal 2" xfId="2" xr:uid="{861FB103-3E18-46F9-A50B-3EDC3D61B7DC}"/>
    <cellStyle name="Per cent" xfId="1" builtinId="5"/>
    <cellStyle name="Per cent 2" xfId="8" xr:uid="{DB1097C4-4600-43A9-A1A7-231DB6226D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7B55-9C11-4FBB-A82F-A87F34414BB7}">
  <dimension ref="A2:M72"/>
  <sheetViews>
    <sheetView showGridLines="0" topLeftCell="A29" workbookViewId="0">
      <selection activeCell="B2" sqref="B2"/>
    </sheetView>
  </sheetViews>
  <sheetFormatPr defaultRowHeight="14.5" x14ac:dyDescent="0.35"/>
  <cols>
    <col min="1" max="1" width="2.36328125" customWidth="1"/>
    <col min="2" max="2" width="25.7265625" customWidth="1"/>
    <col min="3" max="12" width="11.90625" bestFit="1" customWidth="1"/>
  </cols>
  <sheetData>
    <row r="2" spans="1:12" s="8" customFormat="1" x14ac:dyDescent="0.35">
      <c r="B2" s="57" t="str">
        <f>"Historical Financial Analysis - "&amp;'Data Sheet'!B1</f>
        <v>Historical Financial Analysis - TATA MOTORS LTD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5">
      <c r="B3" s="9" t="s">
        <v>55</v>
      </c>
      <c r="C3" s="7">
        <v>41729</v>
      </c>
      <c r="D3" s="7">
        <v>42094</v>
      </c>
      <c r="E3" s="7">
        <v>42460</v>
      </c>
      <c r="F3" s="7">
        <v>42825</v>
      </c>
      <c r="G3" s="7">
        <v>43190</v>
      </c>
      <c r="H3" s="7">
        <v>43555</v>
      </c>
      <c r="I3" s="7">
        <v>43921</v>
      </c>
      <c r="J3" s="7">
        <v>44286</v>
      </c>
      <c r="K3" s="7">
        <v>44651</v>
      </c>
      <c r="L3" s="7">
        <v>45016</v>
      </c>
    </row>
    <row r="5" spans="1:12" x14ac:dyDescent="0.35">
      <c r="A5" t="s">
        <v>56</v>
      </c>
      <c r="B5" s="10" t="s">
        <v>57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35">
      <c r="B6" t="s">
        <v>13</v>
      </c>
      <c r="C6" s="12">
        <f>IFERROR('Data Sheet'!B17,0)</f>
        <v>232833.66</v>
      </c>
      <c r="D6" s="12">
        <f>IFERROR('Data Sheet'!C17,0)</f>
        <v>263158.98</v>
      </c>
      <c r="E6" s="12">
        <f>IFERROR('Data Sheet'!D17,0)</f>
        <v>273045.59999999998</v>
      </c>
      <c r="F6" s="12">
        <f>IFERROR('Data Sheet'!E17,0)</f>
        <v>269692.51</v>
      </c>
      <c r="G6" s="12">
        <f>IFERROR('Data Sheet'!F17,0)</f>
        <v>291550.48</v>
      </c>
      <c r="H6" s="12">
        <f>IFERROR('Data Sheet'!G17,0)</f>
        <v>301938.40000000002</v>
      </c>
      <c r="I6" s="12">
        <f>IFERROR('Data Sheet'!H17,0)</f>
        <v>261067.97</v>
      </c>
      <c r="J6" s="12">
        <f>IFERROR('Data Sheet'!I17,0)</f>
        <v>249794.75</v>
      </c>
      <c r="K6" s="12">
        <f>IFERROR('Data Sheet'!J17,0)</f>
        <v>278453.62</v>
      </c>
      <c r="L6" s="12">
        <f>IFERROR('Data Sheet'!K17,0)</f>
        <v>345966.97</v>
      </c>
    </row>
    <row r="7" spans="1:12" x14ac:dyDescent="0.35">
      <c r="B7" s="13" t="s">
        <v>59</v>
      </c>
      <c r="C7" s="14" t="s">
        <v>60</v>
      </c>
      <c r="D7" s="15">
        <f>D6/C6-1</f>
        <v>0.13024457030826198</v>
      </c>
      <c r="E7" s="15">
        <f t="shared" ref="E7:L7" si="0">E6/D6-1</f>
        <v>3.75690010654397E-2</v>
      </c>
      <c r="F7" s="15">
        <f t="shared" si="0"/>
        <v>-1.2280329732469508E-2</v>
      </c>
      <c r="G7" s="15">
        <f t="shared" si="0"/>
        <v>8.104774581985974E-2</v>
      </c>
      <c r="H7" s="15">
        <f t="shared" si="0"/>
        <v>3.5629919045237157E-2</v>
      </c>
      <c r="I7" s="15">
        <f t="shared" si="0"/>
        <v>-0.135360159555724</v>
      </c>
      <c r="J7" s="15">
        <f t="shared" si="0"/>
        <v>-4.3181168490336042E-2</v>
      </c>
      <c r="K7" s="15">
        <f t="shared" si="0"/>
        <v>0.11472967306158344</v>
      </c>
      <c r="L7" s="15">
        <f t="shared" si="0"/>
        <v>0.24245815155859707</v>
      </c>
    </row>
    <row r="9" spans="1:12" x14ac:dyDescent="0.35">
      <c r="B9" t="s">
        <v>58</v>
      </c>
      <c r="C9" s="12">
        <f>IFERROR(SUM('Data Sheet'!B18,'Data Sheet'!B20,'Data Sheet'!B21,'Data Sheet'!B22)-1*'Data Sheet'!B19,0)</f>
        <v>180131.06000000003</v>
      </c>
      <c r="D9" s="12">
        <f>IFERROR(SUM('Data Sheet'!C18,'Data Sheet'!C20,'Data Sheet'!C21,'Data Sheet'!C22)-1*'Data Sheet'!C19,0)</f>
        <v>202856.88</v>
      </c>
      <c r="E9" s="12">
        <f>IFERROR(SUM('Data Sheet'!D18,'Data Sheet'!D20,'Data Sheet'!D21,'Data Sheet'!D22)-1*'Data Sheet'!D19,0)</f>
        <v>205509.07</v>
      </c>
      <c r="F9" s="12">
        <f>IFERROR(SUM('Data Sheet'!E18,'Data Sheet'!E20,'Data Sheet'!E21,'Data Sheet'!E22)-1*'Data Sheet'!E19,0)</f>
        <v>205454.23999999996</v>
      </c>
      <c r="G9" s="12">
        <f>IFERROR(SUM('Data Sheet'!F18,'Data Sheet'!F20,'Data Sheet'!F21,'Data Sheet'!F22)-1*'Data Sheet'!F19,0)</f>
        <v>228429.83</v>
      </c>
      <c r="H9" s="12">
        <f>IFERROR(SUM('Data Sheet'!G18,'Data Sheet'!G20,'Data Sheet'!G21,'Data Sheet'!G22)-1*'Data Sheet'!G19,0)</f>
        <v>242845.53</v>
      </c>
      <c r="I9" s="12">
        <f>IFERROR(SUM('Data Sheet'!H18,'Data Sheet'!H20,'Data Sheet'!H21,'Data Sheet'!H22)-1*'Data Sheet'!H19,0)</f>
        <v>210376.07000000004</v>
      </c>
      <c r="J9" s="12">
        <f>IFERROR(SUM('Data Sheet'!I18,'Data Sheet'!I20,'Data Sheet'!I21,'Data Sheet'!I22)-1*'Data Sheet'!I19,0)</f>
        <v>195326.04</v>
      </c>
      <c r="K9" s="12">
        <f>IFERROR(SUM('Data Sheet'!J18,'Data Sheet'!J20,'Data Sheet'!J21,'Data Sheet'!J22)-1*'Data Sheet'!J19,0)</f>
        <v>223300.00999999998</v>
      </c>
      <c r="L9" s="12">
        <f>IFERROR(SUM('Data Sheet'!K18,'Data Sheet'!K20,'Data Sheet'!K21,'Data Sheet'!K22)-1*'Data Sheet'!K19,0)</f>
        <v>274403.64</v>
      </c>
    </row>
    <row r="10" spans="1:12" x14ac:dyDescent="0.35">
      <c r="B10" s="13" t="s">
        <v>61</v>
      </c>
      <c r="C10" s="17">
        <f>C9/C6</f>
        <v>0.77364698901353024</v>
      </c>
      <c r="D10" s="17">
        <f t="shared" ref="D10:I10" si="1">D9/D6</f>
        <v>0.77085296500237244</v>
      </c>
      <c r="E10" s="17">
        <f t="shared" si="1"/>
        <v>0.75265475803309057</v>
      </c>
      <c r="F10" s="17">
        <f t="shared" si="1"/>
        <v>0.76180921746770036</v>
      </c>
      <c r="G10" s="17">
        <f t="shared" si="1"/>
        <v>0.78350009919380004</v>
      </c>
      <c r="H10" s="17">
        <f t="shared" si="1"/>
        <v>0.80428832503583503</v>
      </c>
      <c r="I10" s="17">
        <f t="shared" si="1"/>
        <v>0.80582872728508226</v>
      </c>
      <c r="J10" s="17">
        <f>J9/J6</f>
        <v>0.7819461377791167</v>
      </c>
      <c r="K10" s="17">
        <f t="shared" ref="K10" si="2">K9/K6</f>
        <v>0.80192891728252624</v>
      </c>
      <c r="L10" s="17">
        <f t="shared" ref="L10" si="3">L9/L6</f>
        <v>0.79314982005363122</v>
      </c>
    </row>
    <row r="12" spans="1:12" x14ac:dyDescent="0.35">
      <c r="B12" s="24" t="s">
        <v>62</v>
      </c>
      <c r="C12" s="25">
        <f>C6-C9</f>
        <v>52702.599999999977</v>
      </c>
      <c r="D12" s="25">
        <f t="shared" ref="D12:L12" si="4">D6-D9</f>
        <v>60302.099999999977</v>
      </c>
      <c r="E12" s="25">
        <f t="shared" si="4"/>
        <v>67536.52999999997</v>
      </c>
      <c r="F12" s="25">
        <f t="shared" si="4"/>
        <v>64238.270000000048</v>
      </c>
      <c r="G12" s="25">
        <f t="shared" si="4"/>
        <v>63120.649999999994</v>
      </c>
      <c r="H12" s="25">
        <f t="shared" si="4"/>
        <v>59092.870000000024</v>
      </c>
      <c r="I12" s="25">
        <f t="shared" si="4"/>
        <v>50691.899999999965</v>
      </c>
      <c r="J12" s="25">
        <f>J6-J9</f>
        <v>54468.709999999992</v>
      </c>
      <c r="K12" s="25">
        <f t="shared" si="4"/>
        <v>55153.610000000015</v>
      </c>
      <c r="L12" s="25">
        <f t="shared" si="4"/>
        <v>71563.329999999958</v>
      </c>
    </row>
    <row r="13" spans="1:12" x14ac:dyDescent="0.35">
      <c r="B13" s="13" t="s">
        <v>63</v>
      </c>
      <c r="C13" s="17">
        <f>C12/C6</f>
        <v>0.22635301098646982</v>
      </c>
      <c r="D13" s="17">
        <f t="shared" ref="D13:J13" si="5">D12/D6</f>
        <v>0.22914703499762759</v>
      </c>
      <c r="E13" s="17">
        <f t="shared" si="5"/>
        <v>0.24734524196690946</v>
      </c>
      <c r="F13" s="17">
        <f t="shared" si="5"/>
        <v>0.23819078253229964</v>
      </c>
      <c r="G13" s="17">
        <f t="shared" si="5"/>
        <v>0.21649990080619999</v>
      </c>
      <c r="H13" s="17">
        <f t="shared" si="5"/>
        <v>0.19571167496416494</v>
      </c>
      <c r="I13" s="17">
        <f t="shared" si="5"/>
        <v>0.19417127271491774</v>
      </c>
      <c r="J13" s="17">
        <f t="shared" si="5"/>
        <v>0.2180538622208833</v>
      </c>
      <c r="K13" s="17">
        <f>K12/K6</f>
        <v>0.19807108271747378</v>
      </c>
      <c r="L13" s="17">
        <f t="shared" ref="L13" si="6">L12/L6</f>
        <v>0.20685017994636876</v>
      </c>
    </row>
    <row r="15" spans="1:12" x14ac:dyDescent="0.35">
      <c r="B15" t="s">
        <v>64</v>
      </c>
      <c r="C15" s="12">
        <f>IFERROR(SUM('Data Sheet'!B23,'Data Sheet'!B24),0)</f>
        <v>17849.240000000002</v>
      </c>
      <c r="D15" s="12">
        <f>IFERROR(SUM('Data Sheet'!C23,'Data Sheet'!C24),0)</f>
        <v>21063.449999999997</v>
      </c>
      <c r="E15" s="12">
        <f>IFERROR(SUM('Data Sheet'!D23,'Data Sheet'!D24),0)</f>
        <v>29141.280000000002</v>
      </c>
      <c r="F15" s="12">
        <f>IFERROR(SUM('Data Sheet'!E23,'Data Sheet'!E24),0)</f>
        <v>34649.58</v>
      </c>
      <c r="G15" s="12">
        <f>IFERROR(SUM('Data Sheet'!F23,'Data Sheet'!F24),0)</f>
        <v>31662.97</v>
      </c>
      <c r="H15" s="12">
        <f>IFERROR(SUM('Data Sheet'!G23,'Data Sheet'!G24),0)</f>
        <v>34428.54</v>
      </c>
      <c r="I15" s="12">
        <f>IFERROR(SUM('Data Sheet'!H23,'Data Sheet'!H24),0)</f>
        <v>32704.83</v>
      </c>
      <c r="J15" s="12">
        <f>IFERROR(SUM('Data Sheet'!I23,'Data Sheet'!I24),0)</f>
        <v>22181.280000000002</v>
      </c>
      <c r="K15" s="12">
        <f>IFERROR(SUM('Data Sheet'!J23,'Data Sheet'!J24),0)</f>
        <v>30433.52</v>
      </c>
      <c r="L15" s="12">
        <f>IFERROR(SUM('Data Sheet'!K23,'Data Sheet'!K24),0)</f>
        <v>39747.53</v>
      </c>
    </row>
    <row r="16" spans="1:12" x14ac:dyDescent="0.35">
      <c r="B16" s="13" t="s">
        <v>65</v>
      </c>
      <c r="C16" s="17">
        <f>C15/C6</f>
        <v>7.6660908908102038E-2</v>
      </c>
      <c r="D16" s="17">
        <f t="shared" ref="D16:H16" si="7">D15/D6</f>
        <v>8.0040779911823637E-2</v>
      </c>
      <c r="E16" s="17">
        <f t="shared" si="7"/>
        <v>0.10672678849247161</v>
      </c>
      <c r="F16" s="17">
        <f t="shared" si="7"/>
        <v>0.12847809529452636</v>
      </c>
      <c r="G16" s="17">
        <f t="shared" si="7"/>
        <v>0.10860201636437025</v>
      </c>
      <c r="H16" s="17">
        <f t="shared" si="7"/>
        <v>0.11402504616835751</v>
      </c>
      <c r="I16" s="17">
        <f>I15/I6</f>
        <v>0.12527323822987554</v>
      </c>
      <c r="J16" s="17">
        <f t="shared" ref="J16" si="8">J15/J6</f>
        <v>8.8798023177028354E-2</v>
      </c>
      <c r="K16" s="17">
        <f t="shared" ref="K16" si="9">K15/K6</f>
        <v>0.10929475436519734</v>
      </c>
      <c r="L16" s="17">
        <f>L15/L6</f>
        <v>0.11488822184383672</v>
      </c>
    </row>
    <row r="18" spans="2:13" x14ac:dyDescent="0.35">
      <c r="B18" s="26" t="s">
        <v>66</v>
      </c>
      <c r="C18" s="27">
        <f>C12-C15</f>
        <v>34853.359999999971</v>
      </c>
      <c r="D18" s="27">
        <f t="shared" ref="D18:L18" si="10">D12-D15</f>
        <v>39238.64999999998</v>
      </c>
      <c r="E18" s="27">
        <f t="shared" si="10"/>
        <v>38395.249999999971</v>
      </c>
      <c r="F18" s="27">
        <f t="shared" si="10"/>
        <v>29588.690000000046</v>
      </c>
      <c r="G18" s="27">
        <f t="shared" si="10"/>
        <v>31457.679999999993</v>
      </c>
      <c r="H18" s="27">
        <f t="shared" si="10"/>
        <v>24664.330000000024</v>
      </c>
      <c r="I18" s="27">
        <f>I12-I15</f>
        <v>17987.069999999963</v>
      </c>
      <c r="J18" s="27">
        <f t="shared" si="10"/>
        <v>32287.429999999989</v>
      </c>
      <c r="K18" s="27">
        <f t="shared" si="10"/>
        <v>24720.090000000015</v>
      </c>
      <c r="L18" s="27">
        <f t="shared" si="10"/>
        <v>31815.799999999959</v>
      </c>
    </row>
    <row r="19" spans="2:13" x14ac:dyDescent="0.35">
      <c r="B19" s="13" t="s">
        <v>67</v>
      </c>
      <c r="C19" s="17">
        <f>C18/C6</f>
        <v>0.14969210207836775</v>
      </c>
      <c r="D19" s="17">
        <f t="shared" ref="D19:K19" si="11">D18/D6</f>
        <v>0.14910625508580397</v>
      </c>
      <c r="E19" s="17">
        <f t="shared" si="11"/>
        <v>0.14061845347443788</v>
      </c>
      <c r="F19" s="17">
        <f t="shared" si="11"/>
        <v>0.10971268723777329</v>
      </c>
      <c r="G19" s="17">
        <f t="shared" si="11"/>
        <v>0.10789788444182975</v>
      </c>
      <c r="H19" s="17">
        <f t="shared" si="11"/>
        <v>8.1686628795807431E-2</v>
      </c>
      <c r="I19" s="17">
        <f t="shared" si="11"/>
        <v>6.8898034485042198E-2</v>
      </c>
      <c r="J19" s="17">
        <f t="shared" si="11"/>
        <v>0.12925583904385496</v>
      </c>
      <c r="K19" s="17">
        <f t="shared" si="11"/>
        <v>8.877632835227646E-2</v>
      </c>
      <c r="L19" s="17">
        <f>L18/L6</f>
        <v>9.1961958102532049E-2</v>
      </c>
      <c r="M19" s="16"/>
    </row>
    <row r="21" spans="2:13" x14ac:dyDescent="0.35">
      <c r="B21" t="s">
        <v>23</v>
      </c>
      <c r="C21" s="12">
        <f>IFERROR('Data Sheet'!B27,0)</f>
        <v>4749.4399999999996</v>
      </c>
      <c r="D21" s="12">
        <f>IFERROR('Data Sheet'!C27,0)</f>
        <v>4861.49</v>
      </c>
      <c r="E21" s="12">
        <f>IFERROR('Data Sheet'!D27,0)</f>
        <v>4889.08</v>
      </c>
      <c r="F21" s="12">
        <f>IFERROR('Data Sheet'!E27,0)</f>
        <v>4238.01</v>
      </c>
      <c r="G21" s="12">
        <f>IFERROR('Data Sheet'!F27,0)</f>
        <v>4681.79</v>
      </c>
      <c r="H21" s="12">
        <f>IFERROR('Data Sheet'!G27,0)</f>
        <v>5758.6</v>
      </c>
      <c r="I21" s="12">
        <f>IFERROR('Data Sheet'!H27,0)</f>
        <v>7243.33</v>
      </c>
      <c r="J21" s="12">
        <f>IFERROR('Data Sheet'!I27,0)</f>
        <v>8097.17</v>
      </c>
      <c r="K21" s="12">
        <f>IFERROR('Data Sheet'!J27,0)</f>
        <v>9311.86</v>
      </c>
      <c r="L21" s="12">
        <f>IFERROR('Data Sheet'!K27,0)</f>
        <v>10225.48</v>
      </c>
    </row>
    <row r="22" spans="2:13" x14ac:dyDescent="0.35">
      <c r="B22" s="13" t="s">
        <v>69</v>
      </c>
      <c r="C22" s="17">
        <f>C21/C6</f>
        <v>2.0398425210512945E-2</v>
      </c>
      <c r="D22" s="17">
        <f t="shared" ref="D22:I22" si="12">D21/D6</f>
        <v>1.8473585814932098E-2</v>
      </c>
      <c r="E22" s="17">
        <f t="shared" si="12"/>
        <v>1.7905727101993223E-2</v>
      </c>
      <c r="F22" s="17">
        <f t="shared" si="12"/>
        <v>1.5714229512714312E-2</v>
      </c>
      <c r="G22" s="17">
        <f t="shared" si="12"/>
        <v>1.605824830060304E-2</v>
      </c>
      <c r="H22" s="17">
        <f t="shared" si="12"/>
        <v>1.9072102124141878E-2</v>
      </c>
      <c r="I22" s="17">
        <f t="shared" si="12"/>
        <v>2.7744996829752802E-2</v>
      </c>
      <c r="J22" s="17">
        <f>J21/J6</f>
        <v>3.2415292955516477E-2</v>
      </c>
      <c r="K22" s="17">
        <f t="shared" ref="K22" si="13">K21/K6</f>
        <v>3.3441332168710897E-2</v>
      </c>
      <c r="L22" s="17">
        <f>L21/L6</f>
        <v>2.9556231914277829E-2</v>
      </c>
    </row>
    <row r="24" spans="2:13" x14ac:dyDescent="0.35">
      <c r="B24" t="s">
        <v>22</v>
      </c>
      <c r="C24" s="12">
        <f>IFERROR('Data Sheet'!B26,0)</f>
        <v>11078.16</v>
      </c>
      <c r="D24" s="12">
        <f>IFERROR('Data Sheet'!C26,0)</f>
        <v>13388.63</v>
      </c>
      <c r="E24" s="12">
        <f>IFERROR('Data Sheet'!D26,0)</f>
        <v>16710.78</v>
      </c>
      <c r="F24" s="12">
        <f>IFERROR('Data Sheet'!E26,0)</f>
        <v>17904.990000000002</v>
      </c>
      <c r="G24" s="12">
        <f>IFERROR('Data Sheet'!F26,0)</f>
        <v>21553.59</v>
      </c>
      <c r="H24" s="12">
        <f>IFERROR('Data Sheet'!G26,0)</f>
        <v>23590.63</v>
      </c>
      <c r="I24" s="12">
        <f>IFERROR('Data Sheet'!H26,0)</f>
        <v>21425.43</v>
      </c>
      <c r="J24" s="12">
        <f>IFERROR('Data Sheet'!I26,0)</f>
        <v>23546.71</v>
      </c>
      <c r="K24" s="12">
        <f>IFERROR('Data Sheet'!J26,0)</f>
        <v>24835.69</v>
      </c>
      <c r="L24" s="12">
        <f>IFERROR('Data Sheet'!K26,0)</f>
        <v>24860.36</v>
      </c>
    </row>
    <row r="25" spans="2:13" x14ac:dyDescent="0.35">
      <c r="B25" s="13" t="s">
        <v>70</v>
      </c>
      <c r="C25" s="17">
        <f>C24/C6</f>
        <v>4.757971849946438E-2</v>
      </c>
      <c r="D25" s="17">
        <f t="shared" ref="D25:L25" si="14">D24/D6</f>
        <v>5.0876584184966822E-2</v>
      </c>
      <c r="E25" s="17">
        <f t="shared" si="14"/>
        <v>6.1201425695927715E-2</v>
      </c>
      <c r="F25" s="17">
        <f t="shared" si="14"/>
        <v>6.63903865924938E-2</v>
      </c>
      <c r="G25" s="17">
        <f t="shared" si="14"/>
        <v>7.3927472182518786E-2</v>
      </c>
      <c r="H25" s="17">
        <f t="shared" si="14"/>
        <v>7.8130605447998658E-2</v>
      </c>
      <c r="I25" s="17">
        <f t="shared" si="14"/>
        <v>8.206839774331566E-2</v>
      </c>
      <c r="J25" s="17">
        <f t="shared" si="14"/>
        <v>9.4264230933596482E-2</v>
      </c>
      <c r="K25" s="17">
        <f t="shared" si="14"/>
        <v>8.9191478279219347E-2</v>
      </c>
      <c r="L25" s="17">
        <f t="shared" si="14"/>
        <v>7.1857611147098821E-2</v>
      </c>
    </row>
    <row r="27" spans="2:13" x14ac:dyDescent="0.35">
      <c r="B27" s="24" t="s">
        <v>68</v>
      </c>
      <c r="C27" s="28">
        <f>C18-SUM(C21,C24)</f>
        <v>19025.759999999973</v>
      </c>
      <c r="D27" s="28">
        <f t="shared" ref="D27:L27" si="15">D18-SUM(D21,D24)</f>
        <v>20988.529999999981</v>
      </c>
      <c r="E27" s="28">
        <f t="shared" si="15"/>
        <v>16795.38999999997</v>
      </c>
      <c r="F27" s="28">
        <f t="shared" si="15"/>
        <v>7445.690000000046</v>
      </c>
      <c r="G27" s="28">
        <f t="shared" si="15"/>
        <v>5222.299999999992</v>
      </c>
      <c r="H27" s="29">
        <f t="shared" si="15"/>
        <v>-4684.8999999999796</v>
      </c>
      <c r="I27" s="29">
        <f t="shared" si="15"/>
        <v>-10681.690000000039</v>
      </c>
      <c r="J27" s="29">
        <f t="shared" si="15"/>
        <v>643.549999999992</v>
      </c>
      <c r="K27" s="29">
        <f t="shared" si="15"/>
        <v>-9427.4599999999882</v>
      </c>
      <c r="L27" s="29">
        <f t="shared" si="15"/>
        <v>-3270.0400000000373</v>
      </c>
    </row>
    <row r="28" spans="2:13" x14ac:dyDescent="0.35">
      <c r="B28" s="13" t="s">
        <v>71</v>
      </c>
      <c r="C28" s="17">
        <f>C27/C6</f>
        <v>8.1713958368390432E-2</v>
      </c>
      <c r="D28" s="17">
        <f t="shared" ref="D28:J28" si="16">D27/D6</f>
        <v>7.9756085085905037E-2</v>
      </c>
      <c r="E28" s="17">
        <f t="shared" si="16"/>
        <v>6.1511300676516931E-2</v>
      </c>
      <c r="F28" s="17">
        <f t="shared" si="16"/>
        <v>2.7608071132565179E-2</v>
      </c>
      <c r="G28" s="17">
        <f t="shared" si="16"/>
        <v>1.7912163958707913E-2</v>
      </c>
      <c r="H28" s="17">
        <f t="shared" si="16"/>
        <v>-1.5516078776333117E-2</v>
      </c>
      <c r="I28" s="17">
        <f t="shared" si="16"/>
        <v>-4.0915360088026265E-2</v>
      </c>
      <c r="J28" s="17">
        <f t="shared" si="16"/>
        <v>2.5763151547420113E-3</v>
      </c>
      <c r="K28" s="17">
        <f>K27/K6</f>
        <v>-3.3856482095653805E-2</v>
      </c>
      <c r="L28" s="17">
        <f t="shared" ref="L28" si="17">L27/L6</f>
        <v>-9.4518849588445895E-3</v>
      </c>
    </row>
    <row r="30" spans="2:13" x14ac:dyDescent="0.35">
      <c r="B30" t="s">
        <v>25</v>
      </c>
      <c r="C30" s="12">
        <f>IFERROR('Data Sheet'!B29,0)</f>
        <v>4764.79</v>
      </c>
      <c r="D30" s="12">
        <f>IFERROR('Data Sheet'!C29,0)</f>
        <v>7642.91</v>
      </c>
      <c r="E30" s="12">
        <f>IFERROR('Data Sheet'!D29,0)</f>
        <v>3025.05</v>
      </c>
      <c r="F30" s="12">
        <f>IFERROR('Data Sheet'!E29,0)</f>
        <v>3251.23</v>
      </c>
      <c r="G30" s="12">
        <f>IFERROR('Data Sheet'!F29,0)</f>
        <v>4341.93</v>
      </c>
      <c r="H30" s="12">
        <f>IFERROR('Data Sheet'!G29,0)</f>
        <v>-2437.4499999999998</v>
      </c>
      <c r="I30" s="12">
        <f>IFERROR('Data Sheet'!H29,0)</f>
        <v>395.25</v>
      </c>
      <c r="J30" s="12">
        <f>IFERROR('Data Sheet'!I29,0)</f>
        <v>2541.86</v>
      </c>
      <c r="K30" s="12">
        <f>IFERROR('Data Sheet'!J29,0)</f>
        <v>4231.29</v>
      </c>
      <c r="L30" s="12">
        <f>IFERROR('Data Sheet'!K29,0)</f>
        <v>704.06</v>
      </c>
    </row>
    <row r="31" spans="2:13" x14ac:dyDescent="0.35">
      <c r="B31" s="13" t="s">
        <v>72</v>
      </c>
      <c r="C31" s="17">
        <f>C30/C27</f>
        <v>0.25043887865714731</v>
      </c>
      <c r="D31" s="17">
        <f t="shared" ref="D31:L31" si="18">D30/D27</f>
        <v>0.3641469888553418</v>
      </c>
      <c r="E31" s="17">
        <f t="shared" si="18"/>
        <v>0.18011192356950362</v>
      </c>
      <c r="F31" s="17">
        <f t="shared" si="18"/>
        <v>0.43665932908836924</v>
      </c>
      <c r="G31" s="17">
        <f t="shared" si="18"/>
        <v>0.8314210213890445</v>
      </c>
      <c r="H31" s="17">
        <f t="shared" si="18"/>
        <v>0.52027791414971725</v>
      </c>
      <c r="I31" s="17">
        <f t="shared" si="18"/>
        <v>-3.7002571690434617E-2</v>
      </c>
      <c r="J31" s="17">
        <f t="shared" si="18"/>
        <v>3.9497474943672315</v>
      </c>
      <c r="K31" s="17">
        <f t="shared" si="18"/>
        <v>-0.4488260888935095</v>
      </c>
      <c r="L31" s="17">
        <f t="shared" si="18"/>
        <v>-0.21530623478611635</v>
      </c>
    </row>
    <row r="33" spans="1:12" x14ac:dyDescent="0.35">
      <c r="B33" s="24" t="s">
        <v>73</v>
      </c>
      <c r="C33" s="29">
        <f>IFERROR(C27-C30,0)</f>
        <v>14260.969999999972</v>
      </c>
      <c r="D33" s="29">
        <f t="shared" ref="D33:L33" si="19">IFERROR(D27-D30,0)</f>
        <v>13345.619999999981</v>
      </c>
      <c r="E33" s="29">
        <f t="shared" si="19"/>
        <v>13770.339999999971</v>
      </c>
      <c r="F33" s="29">
        <f t="shared" si="19"/>
        <v>4194.4600000000464</v>
      </c>
      <c r="G33" s="29">
        <f t="shared" si="19"/>
        <v>880.36999999999171</v>
      </c>
      <c r="H33" s="29">
        <f t="shared" si="19"/>
        <v>-2247.4499999999798</v>
      </c>
      <c r="I33" s="29">
        <f t="shared" si="19"/>
        <v>-11076.940000000039</v>
      </c>
      <c r="J33" s="29">
        <f t="shared" si="19"/>
        <v>-1898.3100000000081</v>
      </c>
      <c r="K33" s="29">
        <f t="shared" si="19"/>
        <v>-13658.749999999989</v>
      </c>
      <c r="L33" s="29">
        <f t="shared" si="19"/>
        <v>-3974.1000000000372</v>
      </c>
    </row>
    <row r="34" spans="1:12" x14ac:dyDescent="0.35">
      <c r="B34" s="13" t="s">
        <v>74</v>
      </c>
      <c r="C34" s="17">
        <f>C33/C6</f>
        <v>6.124960626397391E-2</v>
      </c>
      <c r="D34" s="17">
        <f t="shared" ref="D34:L34" si="20">D33/D6</f>
        <v>5.0713146858982282E-2</v>
      </c>
      <c r="E34" s="17">
        <f t="shared" si="20"/>
        <v>5.0432381990407359E-2</v>
      </c>
      <c r="F34" s="17">
        <f t="shared" si="20"/>
        <v>1.5552749314395296E-2</v>
      </c>
      <c r="G34" s="17">
        <f t="shared" si="20"/>
        <v>3.01961430487095E-3</v>
      </c>
      <c r="H34" s="17">
        <f t="shared" si="20"/>
        <v>-7.4434056747998256E-3</v>
      </c>
      <c r="I34" s="17">
        <f t="shared" si="20"/>
        <v>-4.2429333632923408E-2</v>
      </c>
      <c r="J34" s="17">
        <f t="shared" si="20"/>
        <v>-7.5994791724005731E-3</v>
      </c>
      <c r="K34" s="17">
        <f t="shared" si="20"/>
        <v>-4.9052154538339235E-2</v>
      </c>
      <c r="L34" s="17">
        <f t="shared" si="20"/>
        <v>-1.1486934720964945E-2</v>
      </c>
    </row>
    <row r="36" spans="1:12" x14ac:dyDescent="0.35">
      <c r="B36" t="s">
        <v>75</v>
      </c>
      <c r="C36" s="20">
        <f>IFERROR('Data Sheet'!B93,0)</f>
        <v>288.74</v>
      </c>
      <c r="D36" s="20">
        <f>IFERROR('Data Sheet'!C93,0)</f>
        <v>288.74</v>
      </c>
      <c r="E36" s="20">
        <f>IFERROR('Data Sheet'!D93,0)</f>
        <v>288.72000000000003</v>
      </c>
      <c r="F36" s="20">
        <f>IFERROR('Data Sheet'!E93,0)</f>
        <v>288.73</v>
      </c>
      <c r="G36" s="20">
        <f>IFERROR('Data Sheet'!F93,0)</f>
        <v>288.73</v>
      </c>
      <c r="H36" s="20">
        <f>IFERROR('Data Sheet'!G93,0)</f>
        <v>288.73</v>
      </c>
      <c r="I36" s="20">
        <f>IFERROR('Data Sheet'!H93,0)</f>
        <v>308.89999999999998</v>
      </c>
      <c r="J36" s="20">
        <f>IFERROR('Data Sheet'!I93,0)</f>
        <v>332.03</v>
      </c>
      <c r="K36" s="20">
        <f>IFERROR('Data Sheet'!J93,0)</f>
        <v>332.07</v>
      </c>
      <c r="L36" s="20">
        <f>IFERROR('Data Sheet'!K93,0)</f>
        <v>332.13</v>
      </c>
    </row>
    <row r="38" spans="1:12" x14ac:dyDescent="0.35">
      <c r="B38" t="s">
        <v>76</v>
      </c>
      <c r="C38" s="21">
        <f>C33/C36</f>
        <v>49.390351180993186</v>
      </c>
      <c r="D38" s="21">
        <f t="shared" ref="D38:J38" si="21">D33/D36</f>
        <v>46.220198102098706</v>
      </c>
      <c r="E38" s="21">
        <f t="shared" si="21"/>
        <v>47.694444444444336</v>
      </c>
      <c r="F38" s="21">
        <f t="shared" si="21"/>
        <v>14.527274616423808</v>
      </c>
      <c r="G38" s="21">
        <f>G33/G36</f>
        <v>3.049111626779315</v>
      </c>
      <c r="H38" s="21">
        <f t="shared" si="21"/>
        <v>-7.7839157690575265</v>
      </c>
      <c r="I38" s="21">
        <f t="shared" si="21"/>
        <v>-35.859307219164904</v>
      </c>
      <c r="J38" s="21">
        <f t="shared" si="21"/>
        <v>-5.7172845827184542</v>
      </c>
      <c r="K38" s="21">
        <f>K33/K36</f>
        <v>-41.132140813683833</v>
      </c>
      <c r="L38" s="21">
        <f>L33/L36</f>
        <v>-11.965495438533218</v>
      </c>
    </row>
    <row r="39" spans="1:12" x14ac:dyDescent="0.35">
      <c r="B39" t="s">
        <v>77</v>
      </c>
      <c r="C39" s="22" t="s">
        <v>60</v>
      </c>
      <c r="D39" s="16">
        <f>D38/C38</f>
        <v>0.93581432399058451</v>
      </c>
      <c r="E39" s="16">
        <f t="shared" ref="E39:L39" si="22">E38/D38</f>
        <v>1.031896149365026</v>
      </c>
      <c r="F39" s="16">
        <f t="shared" si="22"/>
        <v>0.30459049865536303</v>
      </c>
      <c r="G39" s="16">
        <f t="shared" si="22"/>
        <v>0.20988875802844273</v>
      </c>
      <c r="H39" s="16">
        <f t="shared" si="22"/>
        <v>-2.5528470983790919</v>
      </c>
      <c r="I39" s="16">
        <f t="shared" si="22"/>
        <v>4.6068467700681115</v>
      </c>
      <c r="J39" s="16">
        <f t="shared" si="22"/>
        <v>0.15943655988041142</v>
      </c>
      <c r="K39" s="16">
        <f t="shared" si="22"/>
        <v>7.194349033807641</v>
      </c>
      <c r="L39" s="16">
        <f t="shared" si="22"/>
        <v>0.29090378477340373</v>
      </c>
    </row>
    <row r="41" spans="1:12" x14ac:dyDescent="0.35">
      <c r="B41" t="s">
        <v>78</v>
      </c>
      <c r="C41" s="19">
        <f>IFERROR('Data Sheet'!B31/HistoricalFS!C36,0)</f>
        <v>2.2296183417607534</v>
      </c>
      <c r="D41" s="19">
        <f>IFERROR('Data Sheet'!C31/HistoricalFS!D36,0)</f>
        <v>0</v>
      </c>
      <c r="E41" s="19">
        <f>IFERROR('Data Sheet'!D31/HistoricalFS!E36,0)</f>
        <v>0.23524522028262676</v>
      </c>
      <c r="F41" s="19">
        <f>IFERROR('Data Sheet'!E31/HistoricalFS!F36,0)</f>
        <v>0</v>
      </c>
      <c r="G41" s="19">
        <f>IFERROR('Data Sheet'!F31/HistoricalFS!G36,0)</f>
        <v>0</v>
      </c>
      <c r="H41" s="19">
        <f>IFERROR('Data Sheet'!G31/HistoricalFS!H36,0)</f>
        <v>0</v>
      </c>
      <c r="I41" s="19">
        <f>IFERROR('Data Sheet'!H31/HistoricalFS!I36,0)</f>
        <v>0</v>
      </c>
      <c r="J41" s="19">
        <f>IFERROR('Data Sheet'!I31/HistoricalFS!J36,0)</f>
        <v>0</v>
      </c>
      <c r="K41" s="19">
        <f>IFERROR('Data Sheet'!J31/HistoricalFS!K36,0)</f>
        <v>0</v>
      </c>
      <c r="L41" s="19">
        <f>IFERROR('Data Sheet'!K31/HistoricalFS!L36,0)</f>
        <v>2.3063860536536898</v>
      </c>
    </row>
    <row r="42" spans="1:12" x14ac:dyDescent="0.35">
      <c r="B42" s="13" t="s">
        <v>79</v>
      </c>
      <c r="C42" s="17">
        <f>IFERROR(C41/C38,0)</f>
        <v>4.5142791829728357E-2</v>
      </c>
      <c r="D42" s="17">
        <f t="shared" ref="D42:H42" si="23">IFERROR(D41/D38,0)</f>
        <v>0</v>
      </c>
      <c r="E42" s="17">
        <f t="shared" si="23"/>
        <v>4.9323400874633563E-3</v>
      </c>
      <c r="F42" s="17">
        <f t="shared" si="23"/>
        <v>0</v>
      </c>
      <c r="G42" s="17">
        <f t="shared" si="23"/>
        <v>0</v>
      </c>
      <c r="H42" s="17">
        <f t="shared" si="23"/>
        <v>0</v>
      </c>
      <c r="I42" s="17">
        <f>IFERROR(I41/I38,0)</f>
        <v>0</v>
      </c>
      <c r="J42" s="17">
        <f t="shared" ref="J42" si="24">IFERROR(J41/J38,0)</f>
        <v>0</v>
      </c>
      <c r="K42" s="17">
        <f>IFERROR(K41/K38,0)</f>
        <v>0</v>
      </c>
      <c r="L42" s="17">
        <f t="shared" ref="L42" si="25">IFERROR(L41/L38,0)</f>
        <v>-0.19275307616818721</v>
      </c>
    </row>
    <row r="44" spans="1:12" x14ac:dyDescent="0.35">
      <c r="B44" t="s">
        <v>80</v>
      </c>
      <c r="C44" s="16">
        <f>IFERROR(IF(C38&gt;C41,1-C42,0),0)</f>
        <v>0.95485720817027164</v>
      </c>
      <c r="D44" s="16">
        <f t="shared" ref="D44:L44" si="26">IFERROR(IF(D38&gt;D41,1-D42,0),0)</f>
        <v>1</v>
      </c>
      <c r="E44" s="16">
        <f t="shared" si="26"/>
        <v>0.99506765991253665</v>
      </c>
      <c r="F44" s="16">
        <f t="shared" si="26"/>
        <v>1</v>
      </c>
      <c r="G44" s="16">
        <f t="shared" si="26"/>
        <v>1</v>
      </c>
      <c r="H44" s="16">
        <f t="shared" si="26"/>
        <v>0</v>
      </c>
      <c r="I44" s="16">
        <f t="shared" si="26"/>
        <v>0</v>
      </c>
      <c r="J44" s="16">
        <f>IFERROR(IF(J38&gt;J41,1-J42,0),0)</f>
        <v>0</v>
      </c>
      <c r="K44" s="16">
        <f t="shared" si="26"/>
        <v>0</v>
      </c>
      <c r="L44" s="16">
        <f t="shared" si="26"/>
        <v>0</v>
      </c>
    </row>
    <row r="47" spans="1:12" x14ac:dyDescent="0.35">
      <c r="A47" t="s">
        <v>56</v>
      </c>
      <c r="B47" s="10" t="s">
        <v>81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</row>
    <row r="48" spans="1:12" x14ac:dyDescent="0.35">
      <c r="B48" s="3" t="s">
        <v>32</v>
      </c>
      <c r="C48" s="23">
        <f>IFERROR('Data Sheet'!B57,0)</f>
        <v>643.78</v>
      </c>
      <c r="D48" s="23">
        <f>IFERROR('Data Sheet'!C57,0)</f>
        <v>643.78</v>
      </c>
      <c r="E48" s="23">
        <f>IFERROR('Data Sheet'!D57,0)</f>
        <v>679.18</v>
      </c>
      <c r="F48" s="23">
        <f>IFERROR('Data Sheet'!E57,0)</f>
        <v>679.22</v>
      </c>
      <c r="G48" s="23">
        <f>IFERROR('Data Sheet'!F57,0)</f>
        <v>679.22</v>
      </c>
      <c r="H48" s="23">
        <f>IFERROR('Data Sheet'!G57,0)</f>
        <v>679.22</v>
      </c>
      <c r="I48" s="23">
        <f>IFERROR('Data Sheet'!H57,0)</f>
        <v>719.54</v>
      </c>
      <c r="J48" s="23">
        <f>IFERROR('Data Sheet'!I57,0)</f>
        <v>765.81</v>
      </c>
      <c r="K48" s="23">
        <f>IFERROR('Data Sheet'!J57,0)</f>
        <v>765.88</v>
      </c>
      <c r="L48" s="23">
        <f>IFERROR('Data Sheet'!K57,0)</f>
        <v>766.02</v>
      </c>
    </row>
    <row r="49" spans="2:12" x14ac:dyDescent="0.35">
      <c r="B49" s="3" t="s">
        <v>33</v>
      </c>
      <c r="C49" s="23">
        <f>IFERROR('Data Sheet'!B58,0)</f>
        <v>64959.67</v>
      </c>
      <c r="D49" s="23">
        <f>IFERROR('Data Sheet'!C58,0)</f>
        <v>55618.14</v>
      </c>
      <c r="E49" s="23">
        <f>IFERROR('Data Sheet'!D58,0)</f>
        <v>78273.23</v>
      </c>
      <c r="F49" s="23">
        <f>IFERROR('Data Sheet'!E58,0)</f>
        <v>57382.67</v>
      </c>
      <c r="G49" s="23">
        <f>IFERROR('Data Sheet'!F58,0)</f>
        <v>94748.69</v>
      </c>
      <c r="H49" s="23">
        <f>IFERROR('Data Sheet'!G58,0)</f>
        <v>59500.34</v>
      </c>
      <c r="I49" s="23">
        <f>IFERROR('Data Sheet'!H58,0)</f>
        <v>61491.49</v>
      </c>
      <c r="J49" s="23">
        <f>IFERROR('Data Sheet'!I58,0)</f>
        <v>54480.91</v>
      </c>
      <c r="K49" s="23">
        <f>IFERROR('Data Sheet'!J58,0)</f>
        <v>43795.360000000001</v>
      </c>
      <c r="L49" s="23">
        <f>IFERROR('Data Sheet'!K58,0)</f>
        <v>44555.77</v>
      </c>
    </row>
    <row r="50" spans="2:12" x14ac:dyDescent="0.35">
      <c r="B50" s="3" t="s">
        <v>34</v>
      </c>
      <c r="C50" s="23">
        <f>IFERROR('Data Sheet'!B59,0)</f>
        <v>60642.28</v>
      </c>
      <c r="D50" s="23">
        <f>IFERROR('Data Sheet'!C59,0)</f>
        <v>73610.39</v>
      </c>
      <c r="E50" s="23">
        <f>IFERROR('Data Sheet'!D59,0)</f>
        <v>69359.960000000006</v>
      </c>
      <c r="F50" s="23">
        <f>IFERROR('Data Sheet'!E59,0)</f>
        <v>78603.98</v>
      </c>
      <c r="G50" s="23">
        <f>IFERROR('Data Sheet'!F59,0)</f>
        <v>88950.47</v>
      </c>
      <c r="H50" s="23">
        <f>IFERROR('Data Sheet'!G59,0)</f>
        <v>106175.34</v>
      </c>
      <c r="I50" s="23">
        <f>IFERROR('Data Sheet'!H59,0)</f>
        <v>124787.64</v>
      </c>
      <c r="J50" s="23">
        <f>IFERROR('Data Sheet'!I59,0)</f>
        <v>142130.57</v>
      </c>
      <c r="K50" s="23">
        <f>IFERROR('Data Sheet'!J59,0)</f>
        <v>146449.03</v>
      </c>
      <c r="L50" s="23">
        <f>IFERROR('Data Sheet'!K59,0)</f>
        <v>134113.44</v>
      </c>
    </row>
    <row r="51" spans="2:12" x14ac:dyDescent="0.35">
      <c r="B51" s="3" t="s">
        <v>35</v>
      </c>
      <c r="C51" s="23">
        <f>IFERROR('Data Sheet'!B60,0)</f>
        <v>92180.26</v>
      </c>
      <c r="D51" s="23">
        <f>IFERROR('Data Sheet'!C60,0)</f>
        <v>107442.48</v>
      </c>
      <c r="E51" s="23">
        <f>IFERROR('Data Sheet'!D60,0)</f>
        <v>114871.75</v>
      </c>
      <c r="F51" s="23">
        <f>IFERROR('Data Sheet'!E60,0)</f>
        <v>135914.49</v>
      </c>
      <c r="G51" s="23">
        <f>IFERROR('Data Sheet'!F60,0)</f>
        <v>142813.43</v>
      </c>
      <c r="H51" s="23">
        <f>IFERROR('Data Sheet'!G60,0)</f>
        <v>139348.59</v>
      </c>
      <c r="I51" s="23">
        <f>IFERROR('Data Sheet'!H60,0)</f>
        <v>133180.72</v>
      </c>
      <c r="J51" s="23">
        <f>IFERROR('Data Sheet'!I60,0)</f>
        <v>144192.62</v>
      </c>
      <c r="K51" s="23">
        <f>IFERROR('Data Sheet'!J60,0)</f>
        <v>138051.22</v>
      </c>
      <c r="L51" s="23">
        <f>IFERROR('Data Sheet'!K60,0)</f>
        <v>155239.20000000001</v>
      </c>
    </row>
    <row r="52" spans="2:12" x14ac:dyDescent="0.35">
      <c r="B52" s="30" t="s">
        <v>82</v>
      </c>
      <c r="C52" s="31">
        <f>IFERROR('Data Sheet'!B61,0)</f>
        <v>218425.99</v>
      </c>
      <c r="D52" s="31">
        <f t="shared" ref="D52:I52" si="27">SUM(D48:D51)</f>
        <v>237314.78999999998</v>
      </c>
      <c r="E52" s="31">
        <f t="shared" si="27"/>
        <v>263184.12</v>
      </c>
      <c r="F52" s="31">
        <f t="shared" si="27"/>
        <v>272580.36</v>
      </c>
      <c r="G52" s="31">
        <f t="shared" si="27"/>
        <v>327191.81</v>
      </c>
      <c r="H52" s="31">
        <f t="shared" si="27"/>
        <v>305703.49</v>
      </c>
      <c r="I52" s="31">
        <f t="shared" si="27"/>
        <v>320179.39</v>
      </c>
      <c r="J52" s="31">
        <f>SUM(J48:J51)</f>
        <v>341569.91000000003</v>
      </c>
      <c r="K52" s="31">
        <f t="shared" ref="K52" si="28">SUM(K48:K51)</f>
        <v>329061.49</v>
      </c>
      <c r="L52" s="31">
        <f t="shared" ref="L52" si="29">SUM(L48:L51)</f>
        <v>334674.43</v>
      </c>
    </row>
    <row r="53" spans="2:12" x14ac:dyDescent="0.35">
      <c r="B53" s="2"/>
    </row>
    <row r="54" spans="2:12" x14ac:dyDescent="0.35">
      <c r="B54" s="3" t="s">
        <v>37</v>
      </c>
      <c r="C54" s="23">
        <f>IFERROR('Data Sheet'!B62,0)</f>
        <v>69091.67</v>
      </c>
      <c r="D54" s="23">
        <f>IFERROR('Data Sheet'!C62,0)</f>
        <v>88479.49</v>
      </c>
      <c r="E54" s="23">
        <f>IFERROR('Data Sheet'!D62,0)</f>
        <v>107231.76</v>
      </c>
      <c r="F54" s="23">
        <f>IFERROR('Data Sheet'!E62,0)</f>
        <v>95944.08</v>
      </c>
      <c r="G54" s="23">
        <f>IFERROR('Data Sheet'!F62,0)</f>
        <v>121413.86</v>
      </c>
      <c r="H54" s="23">
        <f>IFERROR('Data Sheet'!G62,0)</f>
        <v>111234.47</v>
      </c>
      <c r="I54" s="23">
        <f>IFERROR('Data Sheet'!H62,0)</f>
        <v>127107.14</v>
      </c>
      <c r="J54" s="23">
        <f>IFERROR('Data Sheet'!I62,0)</f>
        <v>138707.60999999999</v>
      </c>
      <c r="K54" s="23">
        <f>IFERROR('Data Sheet'!J62,0)</f>
        <v>138855.45000000001</v>
      </c>
      <c r="L54" s="23">
        <f>IFERROR('Data Sheet'!K62,0)</f>
        <v>132079.76</v>
      </c>
    </row>
    <row r="55" spans="2:12" x14ac:dyDescent="0.35">
      <c r="B55" s="3" t="s">
        <v>38</v>
      </c>
      <c r="C55" s="23">
        <f>IFERROR('Data Sheet'!B63,0)</f>
        <v>33262.559999999998</v>
      </c>
      <c r="D55" s="23">
        <f>IFERROR('Data Sheet'!C63,0)</f>
        <v>28640.09</v>
      </c>
      <c r="E55" s="23">
        <f>IFERROR('Data Sheet'!D63,0)</f>
        <v>25918.94</v>
      </c>
      <c r="F55" s="23">
        <f>IFERROR('Data Sheet'!E63,0)</f>
        <v>33698.839999999997</v>
      </c>
      <c r="G55" s="23">
        <f>IFERROR('Data Sheet'!F63,0)</f>
        <v>40033.5</v>
      </c>
      <c r="H55" s="23">
        <f>IFERROR('Data Sheet'!G63,0)</f>
        <v>31883.84</v>
      </c>
      <c r="I55" s="23">
        <f>IFERROR('Data Sheet'!H63,0)</f>
        <v>35622.29</v>
      </c>
      <c r="J55" s="23">
        <f>IFERROR('Data Sheet'!I63,0)</f>
        <v>20963.93</v>
      </c>
      <c r="K55" s="23">
        <f>IFERROR('Data Sheet'!J63,0)</f>
        <v>10251.09</v>
      </c>
      <c r="L55" s="23">
        <f>IFERROR('Data Sheet'!K63,0)</f>
        <v>14274.5</v>
      </c>
    </row>
    <row r="56" spans="2:12" x14ac:dyDescent="0.35">
      <c r="B56" s="3" t="s">
        <v>39</v>
      </c>
      <c r="C56" s="23">
        <f>IFERROR('Data Sheet'!B64,0)</f>
        <v>10686.67</v>
      </c>
      <c r="D56" s="23">
        <f>IFERROR('Data Sheet'!C64,0)</f>
        <v>15336.74</v>
      </c>
      <c r="E56" s="23">
        <f>IFERROR('Data Sheet'!D64,0)</f>
        <v>23767.02</v>
      </c>
      <c r="F56" s="23">
        <f>IFERROR('Data Sheet'!E64,0)</f>
        <v>20337.919999999998</v>
      </c>
      <c r="G56" s="23">
        <f>IFERROR('Data Sheet'!F64,0)</f>
        <v>20812.75</v>
      </c>
      <c r="H56" s="23">
        <f>IFERROR('Data Sheet'!G64,0)</f>
        <v>15770.72</v>
      </c>
      <c r="I56" s="23">
        <f>IFERROR('Data Sheet'!H64,0)</f>
        <v>16308.48</v>
      </c>
      <c r="J56" s="23">
        <f>IFERROR('Data Sheet'!I64,0)</f>
        <v>24620.28</v>
      </c>
      <c r="K56" s="23">
        <f>IFERROR('Data Sheet'!J64,0)</f>
        <v>29379.53</v>
      </c>
      <c r="L56" s="23">
        <f>IFERROR('Data Sheet'!K64,0)</f>
        <v>26379.16</v>
      </c>
    </row>
    <row r="57" spans="2:12" x14ac:dyDescent="0.35">
      <c r="B57" s="3" t="s">
        <v>40</v>
      </c>
      <c r="C57" s="23">
        <f>IFERROR('Data Sheet'!B65-SUM('Data Sheet'!B67:B69),0)</f>
        <v>37828.179999999993</v>
      </c>
      <c r="D57" s="23">
        <f>IFERROR('Data Sheet'!C65-SUM('Data Sheet'!C67:C69),0)</f>
        <v>30891.17</v>
      </c>
      <c r="E57" s="23">
        <f>IFERROR('Data Sheet'!D65-SUM('Data Sheet'!D67:D69),0)</f>
        <v>29579.359999999986</v>
      </c>
      <c r="F57" s="23">
        <f>IFERROR('Data Sheet'!E65-SUM('Data Sheet'!E67:E69),0)</f>
        <v>37360.780000000013</v>
      </c>
      <c r="G57" s="23">
        <f>IFERROR('Data Sheet'!F65-SUM('Data Sheet'!F67:F69),0)</f>
        <v>48286.860000000015</v>
      </c>
      <c r="H57" s="23">
        <f>IFERROR('Data Sheet'!G65-SUM('Data Sheet'!G67:G69),0)</f>
        <v>56155.739999999991</v>
      </c>
      <c r="I57" s="23">
        <f>IFERROR('Data Sheet'!H65-SUM('Data Sheet'!H67:H69),0)</f>
        <v>58784.94</v>
      </c>
      <c r="J57" s="23">
        <f>IFERROR('Data Sheet'!I65-SUM('Data Sheet'!I67:I69),0)</f>
        <v>61717.959999999992</v>
      </c>
      <c r="K57" s="23">
        <f>IFERROR('Data Sheet'!J65-SUM('Data Sheet'!J67:J69),0)</f>
        <v>62223.770000000019</v>
      </c>
      <c r="L57" s="23">
        <f>IFERROR('Data Sheet'!K65-SUM('Data Sheet'!K67:K69),0)</f>
        <v>68432.090000000011</v>
      </c>
    </row>
    <row r="58" spans="2:12" x14ac:dyDescent="0.35">
      <c r="B58" s="30" t="s">
        <v>83</v>
      </c>
      <c r="C58" s="31">
        <f>SUM(C54:C57)</f>
        <v>150869.07999999999</v>
      </c>
      <c r="D58" s="31">
        <f t="shared" ref="D58:F58" si="30">SUM(D54:D57)</f>
        <v>163347.49</v>
      </c>
      <c r="E58" s="31">
        <f t="shared" si="30"/>
        <v>186497.07999999996</v>
      </c>
      <c r="F58" s="31">
        <f t="shared" si="30"/>
        <v>187341.62</v>
      </c>
      <c r="G58" s="31">
        <f t="shared" ref="G58" si="31">SUM(G54:G57)</f>
        <v>230546.97</v>
      </c>
      <c r="H58" s="31">
        <f t="shared" ref="H58:I58" si="32">SUM(H54:H57)</f>
        <v>215044.77</v>
      </c>
      <c r="I58" s="31">
        <f t="shared" si="32"/>
        <v>237822.85</v>
      </c>
      <c r="J58" s="31">
        <f t="shared" ref="J58" si="33">SUM(J54:J57)</f>
        <v>246009.77999999997</v>
      </c>
      <c r="K58" s="31">
        <f t="shared" ref="K58:L58" si="34">SUM(K54:K57)</f>
        <v>240709.84000000003</v>
      </c>
      <c r="L58" s="31">
        <f t="shared" si="34"/>
        <v>241165.51</v>
      </c>
    </row>
    <row r="59" spans="2:12" x14ac:dyDescent="0.35">
      <c r="B59" s="2"/>
    </row>
    <row r="60" spans="2:12" x14ac:dyDescent="0.35">
      <c r="B60" s="3" t="s">
        <v>41</v>
      </c>
      <c r="C60" s="23">
        <f>IFERROR('Data Sheet'!B67,0)</f>
        <v>10574.23</v>
      </c>
      <c r="D60" s="23">
        <f>IFERROR('Data Sheet'!C67,0)</f>
        <v>12579.2</v>
      </c>
      <c r="E60" s="23">
        <f>IFERROR('Data Sheet'!D67,0)</f>
        <v>13570.91</v>
      </c>
      <c r="F60" s="23">
        <f>IFERROR('Data Sheet'!E67,0)</f>
        <v>14075.55</v>
      </c>
      <c r="G60" s="23">
        <f>IFERROR('Data Sheet'!F67,0)</f>
        <v>19893.3</v>
      </c>
      <c r="H60" s="23">
        <f>IFERROR('Data Sheet'!G67,0)</f>
        <v>18996.169999999998</v>
      </c>
      <c r="I60" s="23">
        <f>IFERROR('Data Sheet'!H67,0)</f>
        <v>11172.69</v>
      </c>
      <c r="J60" s="23">
        <f>IFERROR('Data Sheet'!I67,0)</f>
        <v>12679.08</v>
      </c>
      <c r="K60" s="23">
        <f>IFERROR('Data Sheet'!J67,0)</f>
        <v>12442.12</v>
      </c>
      <c r="L60" s="23">
        <f>IFERROR('Data Sheet'!K67,0)</f>
        <v>15737.97</v>
      </c>
    </row>
    <row r="61" spans="2:12" x14ac:dyDescent="0.35">
      <c r="B61" s="3" t="s">
        <v>42</v>
      </c>
      <c r="C61" s="23">
        <f>IFERROR('Data Sheet'!B68,0)</f>
        <v>27270.89</v>
      </c>
      <c r="D61" s="23">
        <f>IFERROR('Data Sheet'!C68,0)</f>
        <v>29272.34</v>
      </c>
      <c r="E61" s="23">
        <f>IFERROR('Data Sheet'!D68,0)</f>
        <v>32655.73</v>
      </c>
      <c r="F61" s="23">
        <f>IFERROR('Data Sheet'!E68,0)</f>
        <v>35085.31</v>
      </c>
      <c r="G61" s="23">
        <f>IFERROR('Data Sheet'!F68,0)</f>
        <v>42137.63</v>
      </c>
      <c r="H61" s="23">
        <f>IFERROR('Data Sheet'!G68,0)</f>
        <v>39013.730000000003</v>
      </c>
      <c r="I61" s="23">
        <f>IFERROR('Data Sheet'!H68,0)</f>
        <v>37456.879999999997</v>
      </c>
      <c r="J61" s="23">
        <f>IFERROR('Data Sheet'!I68,0)</f>
        <v>36088.589999999997</v>
      </c>
      <c r="K61" s="23">
        <f>IFERROR('Data Sheet'!J68,0)</f>
        <v>35240.339999999997</v>
      </c>
      <c r="L61" s="23">
        <f>IFERROR('Data Sheet'!K68,0)</f>
        <v>40755.39</v>
      </c>
    </row>
    <row r="62" spans="2:12" x14ac:dyDescent="0.35">
      <c r="B62" s="3" t="s">
        <v>43</v>
      </c>
      <c r="C62" s="23">
        <f>IFERROR('Data Sheet'!B69,0)</f>
        <v>29711.79</v>
      </c>
      <c r="D62" s="23">
        <f>IFERROR('Data Sheet'!C69,0)</f>
        <v>32115.759999999998</v>
      </c>
      <c r="E62" s="23">
        <f>IFERROR('Data Sheet'!D69,0)</f>
        <v>30460.400000000001</v>
      </c>
      <c r="F62" s="23">
        <f>IFERROR('Data Sheet'!E69,0)</f>
        <v>36077.879999999997</v>
      </c>
      <c r="G62" s="23">
        <f>IFERROR('Data Sheet'!F69,0)</f>
        <v>34613.910000000003</v>
      </c>
      <c r="H62" s="23">
        <f>IFERROR('Data Sheet'!G69,0)</f>
        <v>32648.82</v>
      </c>
      <c r="I62" s="23">
        <f>IFERROR('Data Sheet'!H69,0)</f>
        <v>33726.97</v>
      </c>
      <c r="J62" s="23">
        <f>IFERROR('Data Sheet'!I69,0)</f>
        <v>46792.46</v>
      </c>
      <c r="K62" s="23">
        <f>IFERROR('Data Sheet'!J69,0)</f>
        <v>40669.19</v>
      </c>
      <c r="L62" s="23">
        <f>IFERROR('Data Sheet'!K69,0)</f>
        <v>37015.56</v>
      </c>
    </row>
    <row r="63" spans="2:12" x14ac:dyDescent="0.35">
      <c r="B63" s="24" t="s">
        <v>84</v>
      </c>
      <c r="C63" s="31">
        <f>IFERROR(SUM(C60:C62),0)</f>
        <v>67556.91</v>
      </c>
      <c r="D63" s="31">
        <f t="shared" ref="D63:L63" si="35">IFERROR(SUM(D60:D62),0)</f>
        <v>73967.3</v>
      </c>
      <c r="E63" s="31">
        <f t="shared" si="35"/>
        <v>76687.040000000008</v>
      </c>
      <c r="F63" s="31">
        <f t="shared" si="35"/>
        <v>85238.739999999991</v>
      </c>
      <c r="G63" s="31">
        <f t="shared" si="35"/>
        <v>96644.84</v>
      </c>
      <c r="H63" s="31">
        <f t="shared" si="35"/>
        <v>90658.72</v>
      </c>
      <c r="I63" s="31">
        <f t="shared" si="35"/>
        <v>82356.540000000008</v>
      </c>
      <c r="J63" s="31">
        <f t="shared" si="35"/>
        <v>95560.13</v>
      </c>
      <c r="K63" s="31">
        <f t="shared" si="35"/>
        <v>88351.65</v>
      </c>
      <c r="L63" s="31">
        <f t="shared" si="35"/>
        <v>93508.92</v>
      </c>
    </row>
    <row r="65" spans="1:12" x14ac:dyDescent="0.35">
      <c r="B65" s="26" t="s">
        <v>85</v>
      </c>
      <c r="C65" s="32">
        <f>IFERROR(SUM(C58,C63),0)</f>
        <v>218425.99</v>
      </c>
      <c r="D65" s="32">
        <f t="shared" ref="D65:L65" si="36">IFERROR(SUM(D58,D63),0)</f>
        <v>237314.78999999998</v>
      </c>
      <c r="E65" s="32">
        <f t="shared" si="36"/>
        <v>263184.12</v>
      </c>
      <c r="F65" s="32">
        <f t="shared" si="36"/>
        <v>272580.36</v>
      </c>
      <c r="G65" s="32">
        <f t="shared" si="36"/>
        <v>327191.81</v>
      </c>
      <c r="H65" s="32">
        <f t="shared" si="36"/>
        <v>305703.49</v>
      </c>
      <c r="I65" s="32">
        <f t="shared" si="36"/>
        <v>320179.39</v>
      </c>
      <c r="J65" s="32">
        <f t="shared" si="36"/>
        <v>341569.91</v>
      </c>
      <c r="K65" s="32">
        <f t="shared" si="36"/>
        <v>329061.49</v>
      </c>
      <c r="L65" s="32">
        <f t="shared" si="36"/>
        <v>334674.43</v>
      </c>
    </row>
    <row r="67" spans="1:12" x14ac:dyDescent="0.35">
      <c r="A67" t="s">
        <v>56</v>
      </c>
      <c r="B67" s="10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spans="1:12" x14ac:dyDescent="0.35">
      <c r="B68" s="3" t="s">
        <v>48</v>
      </c>
      <c r="C68" s="18">
        <f>IFERROR('Data Sheet'!B82,0)</f>
        <v>36151.160000000003</v>
      </c>
      <c r="D68" s="18">
        <f>IFERROR('Data Sheet'!C82,0)</f>
        <v>35531.26</v>
      </c>
      <c r="E68" s="18">
        <f>IFERROR('Data Sheet'!D82,0)</f>
        <v>37899.54</v>
      </c>
      <c r="F68" s="18">
        <f>IFERROR('Data Sheet'!E82,0)</f>
        <v>30199.25</v>
      </c>
      <c r="G68" s="18">
        <f>IFERROR('Data Sheet'!F82,0)</f>
        <v>23857.42</v>
      </c>
      <c r="H68" s="18">
        <f>IFERROR('Data Sheet'!G82,0)</f>
        <v>18890.75</v>
      </c>
      <c r="I68" s="18">
        <f>IFERROR('Data Sheet'!H82,0)</f>
        <v>26632.94</v>
      </c>
      <c r="J68" s="18">
        <f>IFERROR('Data Sheet'!I82,0)</f>
        <v>29000.51</v>
      </c>
      <c r="K68" s="18">
        <f>IFERROR('Data Sheet'!J82,0)</f>
        <v>14282.83</v>
      </c>
      <c r="L68" s="18">
        <f>IFERROR('Data Sheet'!K82,0)</f>
        <v>35388.01</v>
      </c>
    </row>
    <row r="69" spans="1:12" x14ac:dyDescent="0.35">
      <c r="B69" s="3" t="s">
        <v>49</v>
      </c>
      <c r="C69" s="18">
        <f>IFERROR('Data Sheet'!B83,0)</f>
        <v>-27990.91</v>
      </c>
      <c r="D69" s="18">
        <f>IFERROR('Data Sheet'!C83,0)</f>
        <v>-36232.35</v>
      </c>
      <c r="E69" s="18">
        <f>IFERROR('Data Sheet'!D83,0)</f>
        <v>-36693.9</v>
      </c>
      <c r="F69" s="18">
        <f>IFERROR('Data Sheet'!E83,0)</f>
        <v>-39571.4</v>
      </c>
      <c r="G69" s="18">
        <f>IFERROR('Data Sheet'!F83,0)</f>
        <v>-25139.14</v>
      </c>
      <c r="H69" s="18">
        <f>IFERROR('Data Sheet'!G83,0)</f>
        <v>-20878.07</v>
      </c>
      <c r="I69" s="18">
        <f>IFERROR('Data Sheet'!H83,0)</f>
        <v>-33114.550000000003</v>
      </c>
      <c r="J69" s="18">
        <f>IFERROR('Data Sheet'!I83,0)</f>
        <v>-25672.5</v>
      </c>
      <c r="K69" s="18">
        <f>IFERROR('Data Sheet'!J83,0)</f>
        <v>-4443.66</v>
      </c>
      <c r="L69" s="18">
        <f>IFERROR('Data Sheet'!K83,0)</f>
        <v>-15417.17</v>
      </c>
    </row>
    <row r="70" spans="1:12" x14ac:dyDescent="0.35">
      <c r="B70" s="3" t="s">
        <v>50</v>
      </c>
      <c r="C70" s="18">
        <f>IFERROR('Data Sheet'!B84,0)</f>
        <v>-3883.24</v>
      </c>
      <c r="D70" s="18">
        <f>IFERROR('Data Sheet'!C84,0)</f>
        <v>5201.4399999999996</v>
      </c>
      <c r="E70" s="18">
        <f>IFERROR('Data Sheet'!D84,0)</f>
        <v>-3795.12</v>
      </c>
      <c r="F70" s="18">
        <f>IFERROR('Data Sheet'!E84,0)</f>
        <v>6205.3</v>
      </c>
      <c r="G70" s="18">
        <f>IFERROR('Data Sheet'!F84,0)</f>
        <v>2011.71</v>
      </c>
      <c r="H70" s="18">
        <f>IFERROR('Data Sheet'!G84,0)</f>
        <v>8830.3700000000008</v>
      </c>
      <c r="I70" s="18">
        <f>IFERROR('Data Sheet'!H84,0)</f>
        <v>3389.61</v>
      </c>
      <c r="J70" s="18">
        <f>IFERROR('Data Sheet'!I84,0)</f>
        <v>9904.2000000000007</v>
      </c>
      <c r="K70" s="18">
        <f>IFERROR('Data Sheet'!J84,0)</f>
        <v>-3380.17</v>
      </c>
      <c r="L70" s="18">
        <f>IFERROR('Data Sheet'!K84,0)</f>
        <v>-26242.9</v>
      </c>
    </row>
    <row r="71" spans="1:12" x14ac:dyDescent="0.35">
      <c r="B71" s="3"/>
      <c r="C71" s="18"/>
      <c r="D71" s="18"/>
      <c r="E71" s="18"/>
      <c r="F71" s="18"/>
      <c r="G71" s="18"/>
      <c r="H71" s="18"/>
      <c r="I71" s="18"/>
      <c r="J71" s="18"/>
      <c r="K71" s="18"/>
      <c r="L71" s="18"/>
    </row>
    <row r="72" spans="1:12" x14ac:dyDescent="0.35">
      <c r="B72" s="33" t="s">
        <v>51</v>
      </c>
      <c r="C72" s="34">
        <f>SUM(C68:C70)</f>
        <v>4277.0100000000039</v>
      </c>
      <c r="D72" s="34">
        <f t="shared" ref="D72:L72" si="37">SUM(D68:D70)</f>
        <v>4500.3500000000031</v>
      </c>
      <c r="E72" s="34">
        <f t="shared" si="37"/>
        <v>-2589.4800000000005</v>
      </c>
      <c r="F72" s="34">
        <f t="shared" si="37"/>
        <v>-3166.8500000000013</v>
      </c>
      <c r="G72" s="34">
        <f t="shared" si="37"/>
        <v>729.98999999999887</v>
      </c>
      <c r="H72" s="34">
        <f>SUM(H68:H70)</f>
        <v>6843.0500000000011</v>
      </c>
      <c r="I72" s="34">
        <f t="shared" si="37"/>
        <v>-3092.0000000000041</v>
      </c>
      <c r="J72" s="34">
        <f t="shared" si="37"/>
        <v>13232.21</v>
      </c>
      <c r="K72" s="34">
        <f t="shared" si="37"/>
        <v>6459</v>
      </c>
      <c r="L72" s="34">
        <f t="shared" si="37"/>
        <v>-6272.0599999999977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03C0-1FD7-43C6-AF72-351C5F3159C4}">
  <dimension ref="B2:O39"/>
  <sheetViews>
    <sheetView showGridLines="0" tabSelected="1" workbookViewId="0">
      <selection activeCell="B2" sqref="B2"/>
    </sheetView>
  </sheetViews>
  <sheetFormatPr defaultRowHeight="14.5" x14ac:dyDescent="0.35"/>
  <cols>
    <col min="1" max="1" width="3.453125" customWidth="1"/>
    <col min="2" max="2" width="26.26953125" customWidth="1"/>
    <col min="3" max="12" width="9.6328125" customWidth="1"/>
    <col min="13" max="13" width="15" customWidth="1"/>
    <col min="14" max="15" width="9" bestFit="1" customWidth="1"/>
  </cols>
  <sheetData>
    <row r="2" spans="2:15" x14ac:dyDescent="0.35">
      <c r="B2" s="56" t="str">
        <f>"Ratio Analysis - "&amp;'Data Sheet'!B1</f>
        <v>Ratio Analysis - TATA MOTORS LTD</v>
      </c>
      <c r="C2" s="6"/>
      <c r="D2" s="6"/>
      <c r="E2" s="6"/>
      <c r="F2" s="6"/>
      <c r="G2" s="6"/>
      <c r="H2" s="6"/>
      <c r="I2" s="6"/>
      <c r="J2" s="6"/>
      <c r="K2" s="6"/>
      <c r="L2" s="6"/>
      <c r="M2" s="49"/>
      <c r="N2" s="49"/>
      <c r="O2" s="49"/>
    </row>
    <row r="3" spans="2:15" x14ac:dyDescent="0.35">
      <c r="B3" s="9" t="s">
        <v>55</v>
      </c>
      <c r="C3" s="7">
        <v>41729</v>
      </c>
      <c r="D3" s="7">
        <v>42094</v>
      </c>
      <c r="E3" s="7">
        <v>42460</v>
      </c>
      <c r="F3" s="7">
        <v>42825</v>
      </c>
      <c r="G3" s="7">
        <v>43190</v>
      </c>
      <c r="H3" s="7">
        <v>43555</v>
      </c>
      <c r="I3" s="7">
        <v>43921</v>
      </c>
      <c r="J3" s="7">
        <v>44286</v>
      </c>
      <c r="K3" s="7">
        <v>44651</v>
      </c>
      <c r="L3" s="7">
        <v>45016</v>
      </c>
      <c r="M3" s="50" t="s">
        <v>114</v>
      </c>
      <c r="N3" s="50" t="s">
        <v>115</v>
      </c>
      <c r="O3" s="50" t="s">
        <v>116</v>
      </c>
    </row>
    <row r="5" spans="2:15" x14ac:dyDescent="0.35">
      <c r="B5" s="35" t="s">
        <v>87</v>
      </c>
      <c r="C5" s="36" t="str">
        <f>IFERROR(HistoricalFS!C7,0)</f>
        <v>-</v>
      </c>
      <c r="D5" s="37">
        <f>IFERROR(HistoricalFS!D7,0)</f>
        <v>0.13024457030826198</v>
      </c>
      <c r="E5" s="37">
        <f>IFERROR(HistoricalFS!E7,0)</f>
        <v>3.75690010654397E-2</v>
      </c>
      <c r="F5" s="37">
        <f>IFERROR(HistoricalFS!F7,0)</f>
        <v>-1.2280329732469508E-2</v>
      </c>
      <c r="G5" s="37">
        <f>IFERROR(HistoricalFS!G7,0)</f>
        <v>8.104774581985974E-2</v>
      </c>
      <c r="H5" s="37">
        <f>IFERROR(HistoricalFS!H7,0)</f>
        <v>3.5629919045237157E-2</v>
      </c>
      <c r="I5" s="37">
        <f>IFERROR(HistoricalFS!I7,0)</f>
        <v>-0.135360159555724</v>
      </c>
      <c r="J5" s="37">
        <f>IFERROR(HistoricalFS!J7,0)</f>
        <v>-4.3181168490336042E-2</v>
      </c>
      <c r="K5" s="37">
        <f>IFERROR(HistoricalFS!K7,0)</f>
        <v>0.11472967306158344</v>
      </c>
      <c r="L5" s="37">
        <f>IFERROR(HistoricalFS!L7,0)</f>
        <v>0.24245815155859707</v>
      </c>
      <c r="N5" s="51">
        <f>IFERROR(AVERAGE(D5:L5),0)</f>
        <v>5.0095267008938835E-2</v>
      </c>
      <c r="O5" s="51">
        <f>IFERROR(MEDIAN(C5:L5), )</f>
        <v>3.75690010654397E-2</v>
      </c>
    </row>
    <row r="6" spans="2:15" x14ac:dyDescent="0.35">
      <c r="B6" t="s">
        <v>88</v>
      </c>
      <c r="C6" s="22" t="s">
        <v>60</v>
      </c>
      <c r="D6" s="38">
        <f>IFERROR(HistoricalFS!D18/HistoricalFS!C18-1,0)</f>
        <v>0.12582115468924693</v>
      </c>
      <c r="E6" s="38">
        <f>IFERROR(HistoricalFS!E18/HistoricalFS!D18-1,0)</f>
        <v>-2.1494113584437979E-2</v>
      </c>
      <c r="F6" s="38">
        <f>IFERROR(HistoricalFS!F18/HistoricalFS!E18-1,0)</f>
        <v>-0.22936587208052905</v>
      </c>
      <c r="G6" s="38">
        <f>IFERROR(HistoricalFS!G18/HistoricalFS!F18-1,0)</f>
        <v>6.3165689322506102E-2</v>
      </c>
      <c r="H6" s="38">
        <f>IFERROR(HistoricalFS!H18/HistoricalFS!G18-1,0)</f>
        <v>-0.21595203460649259</v>
      </c>
      <c r="I6" s="38">
        <f>IFERROR(HistoricalFS!I18/HistoricalFS!H18-1,0)</f>
        <v>-0.27072537547138131</v>
      </c>
      <c r="J6" s="38">
        <f>IFERROR(HistoricalFS!J18/HistoricalFS!I18-1,0)</f>
        <v>0.79503554497758966</v>
      </c>
      <c r="K6" s="38">
        <f>IFERROR(HistoricalFS!K18/HistoricalFS!J18-1,0)</f>
        <v>-0.234374182150762</v>
      </c>
      <c r="L6" s="38">
        <f>IFERROR(HistoricalFS!L18/HistoricalFS!K18-1,0)</f>
        <v>0.28704223973294352</v>
      </c>
      <c r="N6" s="52">
        <f t="shared" ref="N6:N39" si="0">IFERROR(AVERAGE(D6:L6),0)</f>
        <v>3.3239227869853699E-2</v>
      </c>
      <c r="O6" s="52">
        <f t="shared" ref="O6:O39" si="1">IFERROR(MEDIAN(C6:L6), )</f>
        <v>-2.1494113584437979E-2</v>
      </c>
    </row>
    <row r="7" spans="2:15" x14ac:dyDescent="0.35">
      <c r="B7" t="s">
        <v>89</v>
      </c>
      <c r="C7" s="22" t="s">
        <v>60</v>
      </c>
      <c r="D7" s="38">
        <f>IFERROR((HistoricalFS!D18-HistoricalFS!D24)/(HistoricalFS!C18-HistoricalFS!C24)-1,0)</f>
        <v>8.7268245903294739E-2</v>
      </c>
      <c r="E7" s="38">
        <f>IFERROR((HistoricalFS!E18-HistoricalFS!E24)/(HistoricalFS!D18-HistoricalFS!D24)-1,0)</f>
        <v>-0.16114300878684085</v>
      </c>
      <c r="F7" s="38">
        <f>IFERROR((HistoricalFS!F18-HistoricalFS!F24)/(HistoricalFS!E18-HistoricalFS!E24)-1,0)</f>
        <v>-0.46119503958362551</v>
      </c>
      <c r="G7" s="38">
        <f>IFERROR((HistoricalFS!G18-HistoricalFS!G24)/(HistoricalFS!F18-HistoricalFS!F24)-1,0)</f>
        <v>-0.15231561919597769</v>
      </c>
      <c r="H7" s="38">
        <f>IFERROR((HistoricalFS!H18-HistoricalFS!H24)/(HistoricalFS!G18-HistoricalFS!G24)-1,0)</f>
        <v>-0.89159024201112635</v>
      </c>
      <c r="I7" s="38">
        <f>IFERROR((HistoricalFS!I18-HistoricalFS!I24)/(HistoricalFS!H18-HistoricalFS!H24)-1,0)</f>
        <v>-4.2023470243084331</v>
      </c>
      <c r="J7" s="38">
        <f>IFERROR((HistoricalFS!J18-HistoricalFS!J24)/(HistoricalFS!I18-HistoricalFS!I24)-1,0)</f>
        <v>-3.5421189171581497</v>
      </c>
      <c r="K7" s="38">
        <f>IFERROR((HistoricalFS!K18-HistoricalFS!K24)/(HistoricalFS!J18-HistoricalFS!J24)-1,0)</f>
        <v>-1.0132254551112476</v>
      </c>
      <c r="L7" s="38">
        <f>IFERROR((HistoricalFS!L18-HistoricalFS!L24)/(HistoricalFS!K18-HistoricalFS!K24)-1,0)</f>
        <v>-61.168166089973369</v>
      </c>
      <c r="N7" s="52">
        <f t="shared" si="0"/>
        <v>-7.9449814611361624</v>
      </c>
      <c r="O7" s="52">
        <f t="shared" si="1"/>
        <v>-0.89159024201112635</v>
      </c>
    </row>
    <row r="8" spans="2:15" x14ac:dyDescent="0.35">
      <c r="B8" t="s">
        <v>90</v>
      </c>
      <c r="C8" s="22" t="s">
        <v>60</v>
      </c>
      <c r="D8" s="38">
        <f>IFERROR(HistoricalFS!D33/HistoricalFS!C33-1,0)</f>
        <v>-6.4185676009415382E-2</v>
      </c>
      <c r="E8" s="38">
        <f>IFERROR(HistoricalFS!E33/HistoricalFS!D33-1,0)</f>
        <v>3.1824673563310757E-2</v>
      </c>
      <c r="F8" s="38">
        <f>IFERROR(HistoricalFS!F33/HistoricalFS!E33-1,0)</f>
        <v>-0.69539895165986787</v>
      </c>
      <c r="G8" s="38">
        <f>IFERROR(HistoricalFS!G33/HistoricalFS!F33-1,0)</f>
        <v>-0.79011124197155724</v>
      </c>
      <c r="H8" s="38">
        <f>IFERROR(HistoricalFS!H33/HistoricalFS!G33-1,0)</f>
        <v>-3.5528470983790919</v>
      </c>
      <c r="I8" s="38">
        <f>IFERROR(HistoricalFS!I33/HistoricalFS!H33-1,0)</f>
        <v>3.9286702707513577</v>
      </c>
      <c r="J8" s="38">
        <f>IFERROR(HistoricalFS!J33/HistoricalFS!I33-1,0)</f>
        <v>-0.82862505348950144</v>
      </c>
      <c r="K8" s="38">
        <f>IFERROR(HistoricalFS!K33/HistoricalFS!J33-1,0)</f>
        <v>6.1952157445306248</v>
      </c>
      <c r="L8" s="38">
        <f>IFERROR(HistoricalFS!L33/HistoricalFS!K33-1,0)</f>
        <v>-0.7090436533357708</v>
      </c>
      <c r="N8" s="52">
        <f t="shared" si="0"/>
        <v>0.39061100155556538</v>
      </c>
      <c r="O8" s="52">
        <f t="shared" si="1"/>
        <v>-0.69539895165986787</v>
      </c>
    </row>
    <row r="9" spans="2:15" x14ac:dyDescent="0.35">
      <c r="B9" s="39" t="s">
        <v>91</v>
      </c>
      <c r="C9" s="40" t="s">
        <v>60</v>
      </c>
      <c r="D9" s="41">
        <f>IFERROR(HistoricalFS!D41/HistoricalFS!C41-1,0)</f>
        <v>-1</v>
      </c>
      <c r="E9" s="41">
        <f>IFERROR(HistoricalFS!E41/HistoricalFS!D41-1,0)</f>
        <v>0</v>
      </c>
      <c r="F9" s="41">
        <f>IFERROR(HistoricalFS!F41/HistoricalFS!E41-1,0)</f>
        <v>-1</v>
      </c>
      <c r="G9" s="41">
        <f>IFERROR(HistoricalFS!G41/HistoricalFS!F41-1,0)</f>
        <v>0</v>
      </c>
      <c r="H9" s="41">
        <f>IFERROR(HistoricalFS!H41/HistoricalFS!G41-1,0)</f>
        <v>0</v>
      </c>
      <c r="I9" s="41">
        <f>IFERROR(HistoricalFS!I41/HistoricalFS!H41-1,0)</f>
        <v>0</v>
      </c>
      <c r="J9" s="41">
        <f>IFERROR(HistoricalFS!J41/HistoricalFS!I41-1,0)</f>
        <v>0</v>
      </c>
      <c r="K9" s="41">
        <f>IFERROR(HistoricalFS!K41/HistoricalFS!J41-1,0)</f>
        <v>0</v>
      </c>
      <c r="L9" s="41">
        <f>IFERROR(HistoricalFS!L41/HistoricalFS!K41-1,0)</f>
        <v>0</v>
      </c>
      <c r="N9" s="53">
        <f t="shared" si="0"/>
        <v>-0.22222222222222221</v>
      </c>
      <c r="O9" s="53">
        <f t="shared" si="1"/>
        <v>0</v>
      </c>
    </row>
    <row r="11" spans="2:15" x14ac:dyDescent="0.35">
      <c r="B11" s="35" t="s">
        <v>63</v>
      </c>
      <c r="C11" s="37">
        <f>IFERROR(HistoricalFS!C13,0)</f>
        <v>0.22635301098646982</v>
      </c>
      <c r="D11" s="37">
        <f>IFERROR(HistoricalFS!D13,0)</f>
        <v>0.22914703499762759</v>
      </c>
      <c r="E11" s="37">
        <f>IFERROR(HistoricalFS!E13,0)</f>
        <v>0.24734524196690946</v>
      </c>
      <c r="F11" s="37">
        <f>IFERROR(HistoricalFS!F13,0)</f>
        <v>0.23819078253229964</v>
      </c>
      <c r="G11" s="37">
        <f>IFERROR(HistoricalFS!G13,0)</f>
        <v>0.21649990080619999</v>
      </c>
      <c r="H11" s="37">
        <f>IFERROR(HistoricalFS!H13,0)</f>
        <v>0.19571167496416494</v>
      </c>
      <c r="I11" s="37">
        <f>IFERROR(HistoricalFS!I13,0)</f>
        <v>0.19417127271491774</v>
      </c>
      <c r="J11" s="37">
        <f>IFERROR(HistoricalFS!J13,0)</f>
        <v>0.2180538622208833</v>
      </c>
      <c r="K11" s="37">
        <f>IFERROR(HistoricalFS!K13,0)</f>
        <v>0.19807108271747378</v>
      </c>
      <c r="L11" s="37">
        <f>IFERROR(HistoricalFS!L13,0)</f>
        <v>0.20685017994636876</v>
      </c>
      <c r="N11" s="37">
        <f t="shared" si="0"/>
        <v>0.21600455920742723</v>
      </c>
      <c r="O11" s="37">
        <f t="shared" si="1"/>
        <v>0.21727688151354163</v>
      </c>
    </row>
    <row r="12" spans="2:15" x14ac:dyDescent="0.35">
      <c r="B12" t="s">
        <v>67</v>
      </c>
      <c r="C12" s="38">
        <f>IFERROR(HistoricalFS!C19,0)</f>
        <v>0.14969210207836775</v>
      </c>
      <c r="D12" s="38">
        <f>IFERROR(HistoricalFS!D19,0)</f>
        <v>0.14910625508580397</v>
      </c>
      <c r="E12" s="38">
        <f>IFERROR(HistoricalFS!E19,0)</f>
        <v>0.14061845347443788</v>
      </c>
      <c r="F12" s="38">
        <f>IFERROR(HistoricalFS!F19,0)</f>
        <v>0.10971268723777329</v>
      </c>
      <c r="G12" s="38">
        <f>IFERROR(HistoricalFS!G19,0)</f>
        <v>0.10789788444182975</v>
      </c>
      <c r="H12" s="38">
        <f>IFERROR(HistoricalFS!H19,0)</f>
        <v>8.1686628795807431E-2</v>
      </c>
      <c r="I12" s="38">
        <f>IFERROR(HistoricalFS!I19,0)</f>
        <v>6.8898034485042198E-2</v>
      </c>
      <c r="J12" s="38">
        <f>IFERROR(HistoricalFS!J19,0)</f>
        <v>0.12925583904385496</v>
      </c>
      <c r="K12" s="38">
        <f>IFERROR(HistoricalFS!K19,0)</f>
        <v>8.877632835227646E-2</v>
      </c>
      <c r="L12" s="38">
        <f>IFERROR(HistoricalFS!L19,0)</f>
        <v>9.1961958102532049E-2</v>
      </c>
      <c r="N12" s="38">
        <f t="shared" si="0"/>
        <v>0.10754600766881756</v>
      </c>
      <c r="O12" s="38">
        <f t="shared" si="1"/>
        <v>0.10880528583980152</v>
      </c>
    </row>
    <row r="13" spans="2:15" x14ac:dyDescent="0.35">
      <c r="B13" t="s">
        <v>92</v>
      </c>
      <c r="C13" s="38">
        <f>IFERROR((HistoricalFS!C18-HistoricalFS!C24)/HistoricalFS!C6,0)</f>
        <v>0.10211238357890337</v>
      </c>
      <c r="D13" s="38">
        <f>IFERROR((HistoricalFS!D18-HistoricalFS!D24)/HistoricalFS!D6,0)</f>
        <v>9.8229670900837146E-2</v>
      </c>
      <c r="E13" s="38">
        <f>IFERROR((HistoricalFS!E18-HistoricalFS!E24)/HistoricalFS!E6,0)</f>
        <v>7.941702777851016E-2</v>
      </c>
      <c r="F13" s="38">
        <f>IFERROR((HistoricalFS!F18-HistoricalFS!F24)/HistoricalFS!F6,0)</f>
        <v>4.3322300645279484E-2</v>
      </c>
      <c r="G13" s="38">
        <f>IFERROR((HistoricalFS!G18-HistoricalFS!G24)/HistoricalFS!G6,0)</f>
        <v>3.3970412259310953E-2</v>
      </c>
      <c r="H13" s="38">
        <f>IFERROR((HistoricalFS!H18-HistoricalFS!H24)/HistoricalFS!H6,0)</f>
        <v>3.5560233478087663E-3</v>
      </c>
      <c r="I13" s="38">
        <f>IFERROR((HistoricalFS!I18-HistoricalFS!I24)/HistoricalFS!I6,0)</f>
        <v>-1.3170363258273456E-2</v>
      </c>
      <c r="J13" s="38">
        <f>IFERROR((HistoricalFS!J18-HistoricalFS!J24)/HistoricalFS!J6,0)</f>
        <v>3.4991608110258483E-2</v>
      </c>
      <c r="K13" s="38">
        <f>IFERROR((HistoricalFS!K18-HistoricalFS!K24)/HistoricalFS!K6,0)</f>
        <v>-4.1514992694289269E-4</v>
      </c>
      <c r="L13" s="38">
        <f>IFERROR((HistoricalFS!L18-HistoricalFS!L24)/HistoricalFS!L6,0)</f>
        <v>2.0104346955433228E-2</v>
      </c>
      <c r="N13" s="38">
        <f t="shared" si="0"/>
        <v>3.3333986312469095E-2</v>
      </c>
      <c r="O13" s="38">
        <f t="shared" si="1"/>
        <v>3.4481010184784722E-2</v>
      </c>
    </row>
    <row r="14" spans="2:15" x14ac:dyDescent="0.35">
      <c r="B14" t="s">
        <v>93</v>
      </c>
      <c r="C14" s="38">
        <f>IFERROR(HistoricalFS!C28,0)</f>
        <v>8.1713958368390432E-2</v>
      </c>
      <c r="D14" s="38">
        <f>IFERROR(HistoricalFS!D28,0)</f>
        <v>7.9756085085905037E-2</v>
      </c>
      <c r="E14" s="38">
        <f>IFERROR(HistoricalFS!E28,0)</f>
        <v>6.1511300676516931E-2</v>
      </c>
      <c r="F14" s="38">
        <f>IFERROR(HistoricalFS!F28,0)</f>
        <v>2.7608071132565179E-2</v>
      </c>
      <c r="G14" s="38">
        <f>IFERROR(HistoricalFS!G28,0)</f>
        <v>1.7912163958707913E-2</v>
      </c>
      <c r="H14" s="38">
        <f>IFERROR(HistoricalFS!H28,0)</f>
        <v>-1.5516078776333117E-2</v>
      </c>
      <c r="I14" s="38">
        <f>IFERROR(HistoricalFS!I28,0)</f>
        <v>-4.0915360088026265E-2</v>
      </c>
      <c r="J14" s="38">
        <f>IFERROR(HistoricalFS!J28,0)</f>
        <v>2.5763151547420113E-3</v>
      </c>
      <c r="K14" s="38">
        <f>IFERROR(HistoricalFS!K28,0)</f>
        <v>-3.3856482095653805E-2</v>
      </c>
      <c r="L14" s="38">
        <f>IFERROR(HistoricalFS!L28,0)</f>
        <v>-9.4518849588445895E-3</v>
      </c>
      <c r="N14" s="38">
        <f t="shared" si="0"/>
        <v>9.9582366766199255E-3</v>
      </c>
      <c r="O14" s="38">
        <f t="shared" si="1"/>
        <v>1.0244239556724962E-2</v>
      </c>
    </row>
    <row r="15" spans="2:15" x14ac:dyDescent="0.35">
      <c r="B15" s="39" t="s">
        <v>94</v>
      </c>
      <c r="C15" s="41">
        <f>IFERROR(HistoricalFS!C34,0)</f>
        <v>6.124960626397391E-2</v>
      </c>
      <c r="D15" s="41">
        <f>IFERROR(HistoricalFS!D34,0)</f>
        <v>5.0713146858982282E-2</v>
      </c>
      <c r="E15" s="41">
        <f>IFERROR(HistoricalFS!E34,0)</f>
        <v>5.0432381990407359E-2</v>
      </c>
      <c r="F15" s="41">
        <f>IFERROR(HistoricalFS!F34,0)</f>
        <v>1.5552749314395296E-2</v>
      </c>
      <c r="G15" s="41">
        <f>IFERROR(HistoricalFS!G34,0)</f>
        <v>3.01961430487095E-3</v>
      </c>
      <c r="H15" s="41">
        <f>IFERROR(HistoricalFS!H34,0)</f>
        <v>-7.4434056747998256E-3</v>
      </c>
      <c r="I15" s="41">
        <f>IFERROR(HistoricalFS!I34,0)</f>
        <v>-4.2429333632923408E-2</v>
      </c>
      <c r="J15" s="41">
        <f>IFERROR(HistoricalFS!J34,0)</f>
        <v>-7.5994791724005731E-3</v>
      </c>
      <c r="K15" s="41">
        <f>IFERROR(HistoricalFS!K34,0)</f>
        <v>-4.9052154538339235E-2</v>
      </c>
      <c r="L15" s="41">
        <f>IFERROR(HistoricalFS!L34,0)</f>
        <v>-1.1486934720964945E-2</v>
      </c>
      <c r="N15" s="41">
        <f t="shared" si="0"/>
        <v>1.8962052546976638E-4</v>
      </c>
      <c r="O15" s="41">
        <f t="shared" si="1"/>
        <v>-2.2118956849644378E-3</v>
      </c>
    </row>
    <row r="17" spans="2:15" x14ac:dyDescent="0.35">
      <c r="B17" s="35" t="s">
        <v>95</v>
      </c>
      <c r="C17" s="37">
        <f>IFERROR(HistoricalFS!C16,0)</f>
        <v>7.6660908908102038E-2</v>
      </c>
      <c r="D17" s="37">
        <f>IFERROR(HistoricalFS!D16,0)</f>
        <v>8.0040779911823637E-2</v>
      </c>
      <c r="E17" s="37">
        <f>IFERROR(HistoricalFS!E16,0)</f>
        <v>0.10672678849247161</v>
      </c>
      <c r="F17" s="37">
        <f>IFERROR(HistoricalFS!F16,0)</f>
        <v>0.12847809529452636</v>
      </c>
      <c r="G17" s="37">
        <f>IFERROR(HistoricalFS!G16,0)</f>
        <v>0.10860201636437025</v>
      </c>
      <c r="H17" s="37">
        <f>IFERROR(HistoricalFS!H16,0)</f>
        <v>0.11402504616835751</v>
      </c>
      <c r="I17" s="37">
        <f>IFERROR(HistoricalFS!I16,0)</f>
        <v>0.12527323822987554</v>
      </c>
      <c r="J17" s="37">
        <f>IFERROR(HistoricalFS!J16,0)</f>
        <v>8.8798023177028354E-2</v>
      </c>
      <c r="K17" s="37">
        <f>IFERROR(HistoricalFS!K16,0)</f>
        <v>0.10929475436519734</v>
      </c>
      <c r="L17" s="37">
        <f>IFERROR(HistoricalFS!L16,0)</f>
        <v>0.11488822184383672</v>
      </c>
      <c r="N17" s="37">
        <f t="shared" si="0"/>
        <v>0.1084585515386097</v>
      </c>
      <c r="O17" s="37">
        <f t="shared" si="1"/>
        <v>0.1089483853647838</v>
      </c>
    </row>
    <row r="18" spans="2:15" x14ac:dyDescent="0.35">
      <c r="B18" s="39" t="s">
        <v>96</v>
      </c>
      <c r="C18" s="41">
        <f>IFERROR(HistoricalFS!C25,0)</f>
        <v>4.757971849946438E-2</v>
      </c>
      <c r="D18" s="41">
        <f>IFERROR(HistoricalFS!D25,0)</f>
        <v>5.0876584184966822E-2</v>
      </c>
      <c r="E18" s="41">
        <f>IFERROR(HistoricalFS!E25,0)</f>
        <v>6.1201425695927715E-2</v>
      </c>
      <c r="F18" s="41">
        <f>IFERROR(HistoricalFS!F25,0)</f>
        <v>6.63903865924938E-2</v>
      </c>
      <c r="G18" s="41">
        <f>IFERROR(HistoricalFS!G25,0)</f>
        <v>7.3927472182518786E-2</v>
      </c>
      <c r="H18" s="41">
        <f>IFERROR(HistoricalFS!H25,0)</f>
        <v>7.8130605447998658E-2</v>
      </c>
      <c r="I18" s="41">
        <f>IFERROR(HistoricalFS!I25,0)</f>
        <v>8.206839774331566E-2</v>
      </c>
      <c r="J18" s="41">
        <f>IFERROR(HistoricalFS!J25,0)</f>
        <v>9.4264230933596482E-2</v>
      </c>
      <c r="K18" s="41">
        <f>IFERROR(HistoricalFS!K25,0)</f>
        <v>8.9191478279219347E-2</v>
      </c>
      <c r="L18" s="41">
        <f>IFERROR(HistoricalFS!L25,0)</f>
        <v>7.1857611147098821E-2</v>
      </c>
      <c r="N18" s="41">
        <f t="shared" si="0"/>
        <v>7.4212021356348468E-2</v>
      </c>
      <c r="O18" s="41">
        <f t="shared" si="1"/>
        <v>7.2892541664808796E-2</v>
      </c>
    </row>
    <row r="20" spans="2:15" x14ac:dyDescent="0.35">
      <c r="B20" s="35" t="s">
        <v>97</v>
      </c>
      <c r="C20" s="37">
        <f>IFERROR((HistoricalFS!C18-HistoricalFS!C24)/SUM(HistoricalFS!C48:C50),0)</f>
        <v>0.18832478532145183</v>
      </c>
      <c r="D20" s="37">
        <f>IFERROR((HistoricalFS!D18-HistoricalFS!D24)/SUM(HistoricalFS!D48:D50),0)</f>
        <v>0.19904181268509033</v>
      </c>
      <c r="E20" s="37">
        <f>IFERROR((HistoricalFS!E18-HistoricalFS!E24)/SUM(HistoricalFS!E48:E50),0)</f>
        <v>0.1462081011853561</v>
      </c>
      <c r="F20" s="37">
        <f>IFERROR((HistoricalFS!F18-HistoricalFS!F24)/SUM(HistoricalFS!F48:F50),0)</f>
        <v>8.5490986154773282E-2</v>
      </c>
      <c r="G20" s="37">
        <f>IFERROR((HistoricalFS!G18-HistoricalFS!G24)/SUM(HistoricalFS!G48:G50),0)</f>
        <v>5.3716113570365424E-2</v>
      </c>
      <c r="H20" s="37">
        <f>IFERROR((HistoricalFS!H18-HistoricalFS!H24)/SUM(HistoricalFS!H48:H50),0)</f>
        <v>6.4542733637543747E-3</v>
      </c>
      <c r="I20" s="37">
        <f>IFERROR((HistoricalFS!I18-HistoricalFS!I24)/SUM(HistoricalFS!I48:I50),0)</f>
        <v>-1.8387082646096023E-2</v>
      </c>
      <c r="J20" s="37">
        <f>IFERROR((HistoricalFS!J18-HistoricalFS!J24)/SUM(HistoricalFS!J48:J50),0)</f>
        <v>4.4284324706251613E-2</v>
      </c>
      <c r="K20" s="37">
        <f>IFERROR((HistoricalFS!K18-HistoricalFS!K24)/SUM(HistoricalFS!K48:K50),0)</f>
        <v>-6.0520306054739361E-4</v>
      </c>
      <c r="L20" s="37">
        <f>IFERROR((HistoricalFS!L18-HistoricalFS!L24)/SUM(HistoricalFS!L48:L50),0)</f>
        <v>3.8762956416083731E-2</v>
      </c>
      <c r="N20" s="37">
        <f t="shared" si="0"/>
        <v>6.166292026389239E-2</v>
      </c>
      <c r="O20" s="37">
        <f t="shared" si="1"/>
        <v>4.9000219138308515E-2</v>
      </c>
    </row>
    <row r="21" spans="2:15" x14ac:dyDescent="0.35">
      <c r="B21" t="s">
        <v>98</v>
      </c>
      <c r="C21" s="38">
        <f>IFERROR(HistoricalFS!C44,0)</f>
        <v>0.95485720817027164</v>
      </c>
      <c r="D21" s="38">
        <f>IFERROR(HistoricalFS!D44,0)</f>
        <v>1</v>
      </c>
      <c r="E21" s="38">
        <f>IFERROR(HistoricalFS!E44,0)</f>
        <v>0.99506765991253665</v>
      </c>
      <c r="F21" s="38">
        <f>IFERROR(HistoricalFS!F44,0)</f>
        <v>1</v>
      </c>
      <c r="G21" s="38">
        <f>IFERROR(HistoricalFS!G44,0)</f>
        <v>1</v>
      </c>
      <c r="H21" s="38">
        <f>IFERROR(HistoricalFS!H44,0)</f>
        <v>0</v>
      </c>
      <c r="I21" s="38">
        <f>IFERROR(HistoricalFS!I44,0)</f>
        <v>0</v>
      </c>
      <c r="J21" s="38">
        <f>IFERROR(HistoricalFS!J44,0)</f>
        <v>0</v>
      </c>
      <c r="K21" s="38">
        <f>IFERROR(HistoricalFS!K44,0)</f>
        <v>0</v>
      </c>
      <c r="L21" s="38">
        <f>IFERROR(HistoricalFS!L44,0)</f>
        <v>0</v>
      </c>
      <c r="N21" s="38">
        <f t="shared" si="0"/>
        <v>0.44389640665694852</v>
      </c>
      <c r="O21" s="38">
        <f t="shared" si="1"/>
        <v>0.47742860408513582</v>
      </c>
    </row>
    <row r="22" spans="2:15" x14ac:dyDescent="0.35">
      <c r="B22" t="s">
        <v>99</v>
      </c>
      <c r="C22" s="38">
        <f>IFERROR(HistoricalFS!C33/SUM(HistoricalFS!C48:C49),0)</f>
        <v>0.21738140295975247</v>
      </c>
      <c r="D22" s="38">
        <f>IFERROR(HistoricalFS!D33/SUM(HistoricalFS!D48:D49),0)</f>
        <v>0.2372052002491202</v>
      </c>
      <c r="E22" s="38">
        <f>IFERROR(HistoricalFS!E33/SUM(HistoricalFS!E48:E49),0)</f>
        <v>0.17441316864171685</v>
      </c>
      <c r="F22" s="38">
        <f>IFERROR(HistoricalFS!F33/SUM(HistoricalFS!F48:F49),0)</f>
        <v>7.2241189530689517E-2</v>
      </c>
      <c r="G22" s="38">
        <f>IFERROR(HistoricalFS!G33/SUM(HistoricalFS!G48:G49),0)</f>
        <v>9.2254980749341738E-3</v>
      </c>
      <c r="H22" s="38">
        <f>IFERROR(HistoricalFS!H33/SUM(HistoricalFS!H48:H49),0)</f>
        <v>-3.7345736658758885E-2</v>
      </c>
      <c r="I22" s="38">
        <f>IFERROR(HistoricalFS!I33/SUM(HistoricalFS!I48:I49),0)</f>
        <v>-0.1780542775131683</v>
      </c>
      <c r="J22" s="38">
        <f>IFERROR(HistoricalFS!J33/SUM(HistoricalFS!J48:J49),0)</f>
        <v>-3.4360591904822733E-2</v>
      </c>
      <c r="K22" s="38">
        <f>IFERROR(HistoricalFS!K33/SUM(HistoricalFS!K48:K49),0)</f>
        <v>-0.30651638060341208</v>
      </c>
      <c r="L22" s="38">
        <f>IFERROR(HistoricalFS!L33/SUM(HistoricalFS!L48:L49),0)</f>
        <v>-8.7686298356707396E-2</v>
      </c>
      <c r="N22" s="38">
        <f t="shared" si="0"/>
        <v>-1.6764247615600969E-2</v>
      </c>
      <c r="O22" s="38">
        <f t="shared" si="1"/>
        <v>-1.2567546914944279E-2</v>
      </c>
    </row>
    <row r="23" spans="2:15" x14ac:dyDescent="0.35">
      <c r="B23" t="s">
        <v>100</v>
      </c>
      <c r="C23" s="42">
        <f>IFERROR(C21*C22,0)</f>
        <v>0.20756819953828606</v>
      </c>
      <c r="D23" s="38">
        <f t="shared" ref="D23:L23" si="2">IFERROR(D21*D22,0)</f>
        <v>0.2372052002491202</v>
      </c>
      <c r="E23" s="38">
        <f t="shared" si="2"/>
        <v>0.17355290357824379</v>
      </c>
      <c r="F23" s="38">
        <f t="shared" si="2"/>
        <v>7.2241189530689517E-2</v>
      </c>
      <c r="G23" s="38">
        <f t="shared" si="2"/>
        <v>9.2254980749341738E-3</v>
      </c>
      <c r="H23" s="38">
        <f t="shared" si="2"/>
        <v>0</v>
      </c>
      <c r="I23" s="38">
        <f t="shared" si="2"/>
        <v>0</v>
      </c>
      <c r="J23" s="38">
        <f t="shared" si="2"/>
        <v>0</v>
      </c>
      <c r="K23" s="38">
        <f t="shared" si="2"/>
        <v>0</v>
      </c>
      <c r="L23" s="38">
        <f t="shared" si="2"/>
        <v>0</v>
      </c>
      <c r="N23" s="38">
        <f t="shared" si="0"/>
        <v>5.469164349255419E-2</v>
      </c>
      <c r="O23" s="38">
        <f t="shared" si="1"/>
        <v>4.6127490374670869E-3</v>
      </c>
    </row>
    <row r="24" spans="2:15" x14ac:dyDescent="0.35">
      <c r="B24" s="39" t="s">
        <v>101</v>
      </c>
      <c r="C24" s="43">
        <f>IFERROR((HistoricalFS!C18-HistoricalFS!C24)/HistoricalFS!C21,0)</f>
        <v>5.0058954318824904</v>
      </c>
      <c r="D24" s="43">
        <f>IFERROR((HistoricalFS!D18-HistoricalFS!D24)/HistoricalFS!D21,0)</f>
        <v>5.3173039541375138</v>
      </c>
      <c r="E24" s="43">
        <f>IFERROR((HistoricalFS!E18-HistoricalFS!E24)/HistoricalFS!E21,0)</f>
        <v>4.4352863933500721</v>
      </c>
      <c r="F24" s="43">
        <f>IFERROR((HistoricalFS!F18-HistoricalFS!F24)/HistoricalFS!F21,0)</f>
        <v>2.7568835373205922</v>
      </c>
      <c r="G24" s="43">
        <f>IFERROR((HistoricalFS!G18-HistoricalFS!G24)/HistoricalFS!G21,0)</f>
        <v>2.1154494328024094</v>
      </c>
      <c r="H24" s="43">
        <f>IFERROR((HistoricalFS!H18-HistoricalFS!H24)/HistoricalFS!H21,0)</f>
        <v>0.18645156808947008</v>
      </c>
      <c r="I24" s="43">
        <f>IFERROR((HistoricalFS!I18-HistoricalFS!I24)/HistoricalFS!I21,0)</f>
        <v>-0.47469326953211261</v>
      </c>
      <c r="J24" s="43">
        <f>IFERROR((HistoricalFS!J18-HistoricalFS!J24)/HistoricalFS!J21,0)</f>
        <v>1.079478385658198</v>
      </c>
      <c r="K24" s="43">
        <f>IFERROR((HistoricalFS!K18-HistoricalFS!K24)/HistoricalFS!K21,0)</f>
        <v>-1.2414275987824557E-2</v>
      </c>
      <c r="L24" s="43">
        <f>IFERROR((HistoricalFS!L18-HistoricalFS!L24)/HistoricalFS!L21,0)</f>
        <v>0.68020669934320532</v>
      </c>
      <c r="N24" s="43">
        <f t="shared" si="0"/>
        <v>1.7871058250201695</v>
      </c>
      <c r="O24" s="43">
        <f t="shared" si="1"/>
        <v>1.5974639092303038</v>
      </c>
    </row>
    <row r="26" spans="2:15" x14ac:dyDescent="0.35">
      <c r="B26" s="35" t="s">
        <v>102</v>
      </c>
      <c r="C26" s="44">
        <f>IFERROR(HistoricalFS!C6/HistoricalFS!C60,0)</f>
        <v>22.018970648453838</v>
      </c>
      <c r="D26" s="44">
        <f>IFERROR(HistoricalFS!D6/HistoricalFS!D60,0)</f>
        <v>20.92016821419486</v>
      </c>
      <c r="E26" s="44">
        <f>IFERROR(HistoricalFS!E6/HistoricalFS!E60,0)</f>
        <v>20.119918266350599</v>
      </c>
      <c r="F26" s="44">
        <f>IFERROR(HistoricalFS!F6/HistoricalFS!F60,0)</f>
        <v>19.160353236640844</v>
      </c>
      <c r="G26" s="44">
        <f>IFERROR(HistoricalFS!G6/HistoricalFS!G60,0)</f>
        <v>14.655712224718874</v>
      </c>
      <c r="H26" s="44">
        <f>IFERROR(HistoricalFS!H6/HistoricalFS!H60,0)</f>
        <v>15.894698773489607</v>
      </c>
      <c r="I26" s="44">
        <f>IFERROR(HistoricalFS!I6/HistoricalFS!I60,0)</f>
        <v>23.366617170976728</v>
      </c>
      <c r="J26" s="44">
        <f>IFERROR(HistoricalFS!J6/HistoricalFS!J60,0)</f>
        <v>19.701330853658153</v>
      </c>
      <c r="K26" s="44">
        <f>IFERROR(HistoricalFS!K6/HistoricalFS!K60,0)</f>
        <v>22.379917570317598</v>
      </c>
      <c r="L26" s="44">
        <f>IFERROR(HistoricalFS!L6/HistoricalFS!L60,0)</f>
        <v>21.982947610142858</v>
      </c>
      <c r="N26" s="44">
        <f t="shared" si="0"/>
        <v>19.797962657832233</v>
      </c>
      <c r="O26" s="44">
        <f t="shared" si="1"/>
        <v>20.520043240272727</v>
      </c>
    </row>
    <row r="27" spans="2:15" x14ac:dyDescent="0.35">
      <c r="B27" t="s">
        <v>103</v>
      </c>
      <c r="C27" s="45">
        <f>IFERROR(HistoricalFS!C6/HistoricalFS!C51,0)</f>
        <v>2.5258516302731193</v>
      </c>
      <c r="D27" s="45">
        <f>IFERROR(HistoricalFS!D6/HistoricalFS!D51,0)</f>
        <v>2.4493010585757142</v>
      </c>
      <c r="E27" s="45">
        <f>IFERROR(HistoricalFS!E6/HistoricalFS!E51,0)</f>
        <v>2.3769603927858673</v>
      </c>
      <c r="F27" s="45">
        <f>IFERROR(HistoricalFS!F6/HistoricalFS!F51,0)</f>
        <v>1.9842807783040648</v>
      </c>
      <c r="G27" s="45">
        <f>IFERROR(HistoricalFS!G6/HistoricalFS!G51,0)</f>
        <v>2.0414780318629697</v>
      </c>
      <c r="H27" s="45">
        <f>IFERROR(HistoricalFS!H6/HistoricalFS!H51,0)</f>
        <v>2.1667847518227492</v>
      </c>
      <c r="I27" s="45">
        <f>IFERROR(HistoricalFS!I6/HistoricalFS!I51,0)</f>
        <v>1.9602534811345065</v>
      </c>
      <c r="J27" s="45">
        <f>IFERROR(HistoricalFS!J6/HistoricalFS!J51,0)</f>
        <v>1.7323684804395676</v>
      </c>
      <c r="K27" s="45">
        <f>IFERROR(HistoricalFS!K6/HistoricalFS!K51,0)</f>
        <v>2.0170312149360217</v>
      </c>
      <c r="L27" s="45">
        <f>IFERROR(HistoricalFS!L6/HistoricalFS!L51,0)</f>
        <v>2.2286057258733614</v>
      </c>
      <c r="N27" s="45">
        <f t="shared" si="0"/>
        <v>2.1063404350816466</v>
      </c>
      <c r="O27" s="45">
        <f t="shared" si="1"/>
        <v>2.1041313918428592</v>
      </c>
    </row>
    <row r="28" spans="2:15" x14ac:dyDescent="0.35">
      <c r="B28" t="s">
        <v>104</v>
      </c>
      <c r="C28" s="45">
        <f>IFERROR(HistoricalFS!C6/HistoricalFS!C61,0)</f>
        <v>8.5378093637574715</v>
      </c>
      <c r="D28" s="45">
        <f>IFERROR(HistoricalFS!D6/HistoricalFS!D61,0)</f>
        <v>8.9900219797938927</v>
      </c>
      <c r="E28" s="45">
        <f>IFERROR(HistoricalFS!E6/HistoricalFS!E61,0)</f>
        <v>8.3613381173839922</v>
      </c>
      <c r="F28" s="45">
        <f>IFERROR(HistoricalFS!F6/HistoricalFS!F61,0)</f>
        <v>7.6867643466738649</v>
      </c>
      <c r="G28" s="45">
        <f>IFERROR(HistoricalFS!G6/HistoricalFS!G61,0)</f>
        <v>6.9190051742350009</v>
      </c>
      <c r="H28" s="45">
        <f>IFERROR(HistoricalFS!H6/HistoricalFS!H61,0)</f>
        <v>7.7392856309817084</v>
      </c>
      <c r="I28" s="45">
        <f>IFERROR(HistoricalFS!I6/HistoricalFS!I61,0)</f>
        <v>6.9698269049637886</v>
      </c>
      <c r="J28" s="45">
        <f>IFERROR(HistoricalFS!J6/HistoricalFS!J61,0)</f>
        <v>6.9217098811563442</v>
      </c>
      <c r="K28" s="45">
        <f>IFERROR(HistoricalFS!K6/HistoricalFS!K61,0)</f>
        <v>7.9015588385356104</v>
      </c>
      <c r="L28" s="45">
        <f>IFERROR(HistoricalFS!L6/HistoricalFS!L61,0)</f>
        <v>8.4888641723217457</v>
      </c>
      <c r="N28" s="45">
        <f t="shared" si="0"/>
        <v>7.7753750051162154</v>
      </c>
      <c r="O28" s="45">
        <f t="shared" si="1"/>
        <v>7.8204222347586594</v>
      </c>
    </row>
    <row r="29" spans="2:15" x14ac:dyDescent="0.35">
      <c r="B29" t="s">
        <v>105</v>
      </c>
      <c r="C29" s="45">
        <f>IFERROR(HistoricalFS!C6/HistoricalFS!C54,0)</f>
        <v>3.3699237549186467</v>
      </c>
      <c r="D29" s="45">
        <f>IFERROR(HistoricalFS!D6/HistoricalFS!D54,0)</f>
        <v>2.9742370802544178</v>
      </c>
      <c r="E29" s="45">
        <f>IFERROR(HistoricalFS!E6/HistoricalFS!E54,0)</f>
        <v>2.546312771514708</v>
      </c>
      <c r="F29" s="45">
        <f>IFERROR(HistoricalFS!F6/HistoricalFS!F54,0)</f>
        <v>2.8109343484246239</v>
      </c>
      <c r="G29" s="45">
        <f>IFERROR(HistoricalFS!G6/HistoricalFS!G54,0)</f>
        <v>2.4012948768781421</v>
      </c>
      <c r="H29" s="45">
        <f>IFERROR(HistoricalFS!H6/HistoricalFS!H54,0)</f>
        <v>2.7144319562092578</v>
      </c>
      <c r="I29" s="45">
        <f>IFERROR(HistoricalFS!I6/HistoricalFS!I54,0)</f>
        <v>2.0539205744067566</v>
      </c>
      <c r="J29" s="45">
        <f>IFERROR(HistoricalFS!J6/HistoricalFS!J54,0)</f>
        <v>1.8008727134726064</v>
      </c>
      <c r="K29" s="45">
        <f>IFERROR(HistoricalFS!K6/HistoricalFS!K54,0)</f>
        <v>2.0053488717943728</v>
      </c>
      <c r="L29" s="45">
        <f>IFERROR(HistoricalFS!L6/HistoricalFS!L54,0)</f>
        <v>2.6193791539294131</v>
      </c>
      <c r="N29" s="45">
        <f t="shared" si="0"/>
        <v>2.4363035940982551</v>
      </c>
      <c r="O29" s="45">
        <f t="shared" si="1"/>
        <v>2.5828459627220606</v>
      </c>
    </row>
    <row r="30" spans="2:15" x14ac:dyDescent="0.35">
      <c r="B30" s="39" t="s">
        <v>106</v>
      </c>
      <c r="C30" s="43">
        <f>IFERROR(HistoricalFS!C6/SUM(HistoricalFS!C48,HistoricalFS!C49),0)</f>
        <v>3.549106944832932</v>
      </c>
      <c r="D30" s="43">
        <f>IFERROR(HistoricalFS!D6/SUM(HistoricalFS!D48,HistoricalFS!D49),0)</f>
        <v>4.6773906756114965</v>
      </c>
      <c r="E30" s="43">
        <f>IFERROR(HistoricalFS!E6/SUM(HistoricalFS!E48,HistoricalFS!E49),0)</f>
        <v>3.4583567493379874</v>
      </c>
      <c r="F30" s="43">
        <f>IFERROR(HistoricalFS!F6/SUM(HistoricalFS!F48,HistoricalFS!F49),0)</f>
        <v>4.6449144180459854</v>
      </c>
      <c r="G30" s="43">
        <f>IFERROR(HistoricalFS!G6/SUM(HistoricalFS!G48,HistoricalFS!G49),0)</f>
        <v>3.0551908765475422</v>
      </c>
      <c r="H30" s="43">
        <f>IFERROR(HistoricalFS!H6/SUM(HistoricalFS!H48,HistoricalFS!H49),0)</f>
        <v>5.0172915853821474</v>
      </c>
      <c r="I30" s="43">
        <f>IFERROR(HistoricalFS!I6/SUM(HistoricalFS!I48,HistoricalFS!I49),0)</f>
        <v>4.196490075795241</v>
      </c>
      <c r="J30" s="43">
        <f>IFERROR(HistoricalFS!J6/SUM(HistoricalFS!J48,HistoricalFS!J49),0)</f>
        <v>4.5214403678625628</v>
      </c>
      <c r="K30" s="43">
        <f>IFERROR(HistoricalFS!K6/SUM(HistoricalFS!K48,HistoricalFS!K49),0)</f>
        <v>6.2487852671963351</v>
      </c>
      <c r="L30" s="43">
        <f>IFERROR(HistoricalFS!L6/SUM(HistoricalFS!L48,HistoricalFS!L49),0)</f>
        <v>7.6335680916398054</v>
      </c>
      <c r="N30" s="43">
        <f t="shared" si="0"/>
        <v>4.8281586786021222</v>
      </c>
      <c r="O30" s="43">
        <f t="shared" si="1"/>
        <v>4.5831773929542745</v>
      </c>
    </row>
    <row r="32" spans="2:15" x14ac:dyDescent="0.35">
      <c r="B32" s="35" t="s">
        <v>107</v>
      </c>
      <c r="C32" s="48">
        <f>IFERROR(365/C26,0)</f>
        <v>16.576615039251624</v>
      </c>
      <c r="D32" s="48">
        <f t="shared" ref="D32:L32" si="3">IFERROR(365/D26,0)</f>
        <v>17.447278447423685</v>
      </c>
      <c r="E32" s="48">
        <f t="shared" si="3"/>
        <v>18.141226776772818</v>
      </c>
      <c r="F32" s="48">
        <f t="shared" si="3"/>
        <v>19.049753180019717</v>
      </c>
      <c r="G32" s="48">
        <f t="shared" si="3"/>
        <v>24.904964999543136</v>
      </c>
      <c r="H32" s="48">
        <f t="shared" si="3"/>
        <v>22.963631157878556</v>
      </c>
      <c r="I32" s="48">
        <f t="shared" si="3"/>
        <v>15.620575170519771</v>
      </c>
      <c r="J32" s="48">
        <f t="shared" si="3"/>
        <v>18.52666719376608</v>
      </c>
      <c r="K32" s="48">
        <f>IFERROR(365/K26,0)</f>
        <v>16.309264717046954</v>
      </c>
      <c r="L32" s="48">
        <f t="shared" si="3"/>
        <v>16.603778823163378</v>
      </c>
      <c r="N32" s="54">
        <f t="shared" si="0"/>
        <v>18.840793385126009</v>
      </c>
      <c r="O32" s="54">
        <f t="shared" si="1"/>
        <v>17.794252612098251</v>
      </c>
    </row>
    <row r="33" spans="2:15" x14ac:dyDescent="0.35">
      <c r="B33" t="s">
        <v>108</v>
      </c>
      <c r="C33" s="46">
        <f>IFERROR(365/C27,0)</f>
        <v>144.50571665626009</v>
      </c>
      <c r="D33" s="46">
        <f t="shared" ref="D33:L33" si="4">IFERROR(365/D27,0)</f>
        <v>149.02210519283818</v>
      </c>
      <c r="E33" s="46">
        <f t="shared" si="4"/>
        <v>153.55745981623585</v>
      </c>
      <c r="F33" s="46">
        <f t="shared" si="4"/>
        <v>183.94574194885871</v>
      </c>
      <c r="G33" s="46">
        <f t="shared" si="4"/>
        <v>178.79202925682029</v>
      </c>
      <c r="H33" s="46">
        <f t="shared" si="4"/>
        <v>168.45235766633192</v>
      </c>
      <c r="I33" s="46">
        <f t="shared" si="4"/>
        <v>186.20040903524091</v>
      </c>
      <c r="J33" s="46">
        <f t="shared" si="4"/>
        <v>210.69420514242194</v>
      </c>
      <c r="K33" s="46">
        <f t="shared" si="4"/>
        <v>180.95902398395825</v>
      </c>
      <c r="L33" s="46">
        <f t="shared" si="4"/>
        <v>163.77953074537726</v>
      </c>
      <c r="N33" s="20">
        <f t="shared" si="0"/>
        <v>175.04476253200926</v>
      </c>
      <c r="O33" s="20">
        <f t="shared" si="1"/>
        <v>173.6221934615761</v>
      </c>
    </row>
    <row r="34" spans="2:15" x14ac:dyDescent="0.35">
      <c r="B34" t="s">
        <v>109</v>
      </c>
      <c r="C34" s="46">
        <f>IFERROR(365/C28,0)</f>
        <v>42.751013105235728</v>
      </c>
      <c r="D34" s="46">
        <f t="shared" ref="D34:L34" si="5">IFERROR(365/D28,0)</f>
        <v>40.600568143256986</v>
      </c>
      <c r="E34" s="46">
        <f t="shared" si="5"/>
        <v>43.653299851746382</v>
      </c>
      <c r="F34" s="46">
        <f t="shared" si="5"/>
        <v>47.484218786795374</v>
      </c>
      <c r="G34" s="46">
        <f t="shared" si="5"/>
        <v>52.753248596949661</v>
      </c>
      <c r="H34" s="46">
        <f t="shared" si="5"/>
        <v>47.161975588398164</v>
      </c>
      <c r="I34" s="46">
        <f t="shared" si="5"/>
        <v>52.368588915752468</v>
      </c>
      <c r="J34" s="46">
        <f t="shared" si="5"/>
        <v>52.732634893247351</v>
      </c>
      <c r="K34" s="46">
        <f t="shared" si="5"/>
        <v>46.193416698982041</v>
      </c>
      <c r="L34" s="46">
        <f t="shared" si="5"/>
        <v>42.997507392107408</v>
      </c>
      <c r="N34" s="20">
        <f t="shared" si="0"/>
        <v>47.327273207470647</v>
      </c>
      <c r="O34" s="20">
        <f t="shared" si="1"/>
        <v>46.677696143690099</v>
      </c>
    </row>
    <row r="35" spans="2:15" x14ac:dyDescent="0.35">
      <c r="B35" s="39" t="s">
        <v>110</v>
      </c>
      <c r="C35" s="47">
        <f>C32+C34-C33</f>
        <v>-85.178088511772742</v>
      </c>
      <c r="D35" s="47">
        <f t="shared" ref="D35:L35" si="6">D32+D34-D33</f>
        <v>-90.974258602157505</v>
      </c>
      <c r="E35" s="47">
        <f t="shared" si="6"/>
        <v>-91.762933187716641</v>
      </c>
      <c r="F35" s="47">
        <f t="shared" si="6"/>
        <v>-117.41176998204362</v>
      </c>
      <c r="G35" s="47">
        <f t="shared" si="6"/>
        <v>-101.13381566032749</v>
      </c>
      <c r="H35" s="47">
        <f t="shared" si="6"/>
        <v>-98.326750920055204</v>
      </c>
      <c r="I35" s="47">
        <f t="shared" si="6"/>
        <v>-118.21124494896867</v>
      </c>
      <c r="J35" s="47">
        <f t="shared" si="6"/>
        <v>-139.43490305540851</v>
      </c>
      <c r="K35" s="47">
        <f t="shared" si="6"/>
        <v>-118.45634256792925</v>
      </c>
      <c r="L35" s="47">
        <f t="shared" si="6"/>
        <v>-104.17824453010647</v>
      </c>
      <c r="N35" s="55">
        <f t="shared" si="0"/>
        <v>-108.8766959394126</v>
      </c>
      <c r="O35" s="55">
        <f>IFERROR(MEDIAN(C35:L35), )</f>
        <v>-102.65603009521698</v>
      </c>
    </row>
    <row r="37" spans="2:15" x14ac:dyDescent="0.35">
      <c r="B37" s="35" t="s">
        <v>111</v>
      </c>
      <c r="C37" s="37">
        <f>IFERROR(HistoricalFS!C68/HistoricalFS!C6,0)</f>
        <v>0.15526603842416944</v>
      </c>
      <c r="D37" s="37">
        <f>IFERROR(HistoricalFS!D68/HistoricalFS!D6,0)</f>
        <v>0.13501823118481462</v>
      </c>
      <c r="E37" s="37">
        <f>IFERROR(HistoricalFS!E68/HistoricalFS!E6,0)</f>
        <v>0.13880296917437968</v>
      </c>
      <c r="F37" s="37">
        <f>IFERROR(HistoricalFS!F68/HistoricalFS!F6,0)</f>
        <v>0.11197659883101685</v>
      </c>
      <c r="G37" s="37">
        <f>IFERROR(HistoricalFS!G68/HistoricalFS!G6,0)</f>
        <v>8.1829465689783804E-2</v>
      </c>
      <c r="H37" s="37">
        <f>IFERROR(HistoricalFS!H68/HistoricalFS!H6,0)</f>
        <v>6.2564913902968283E-2</v>
      </c>
      <c r="I37" s="37">
        <f>IFERROR(HistoricalFS!I68/HistoricalFS!I6,0)</f>
        <v>0.10201534872316967</v>
      </c>
      <c r="J37" s="37">
        <f>IFERROR(HistoricalFS!J68/HistoricalFS!J6,0)</f>
        <v>0.11609735592921788</v>
      </c>
      <c r="K37" s="37">
        <f>IFERROR(HistoricalFS!K68/HistoricalFS!K6,0)</f>
        <v>5.1293389541856201E-2</v>
      </c>
      <c r="L37" s="37">
        <f>IFERROR(HistoricalFS!L68/HistoricalFS!L6,0)</f>
        <v>0.1022872501383586</v>
      </c>
      <c r="N37" s="51">
        <f t="shared" si="0"/>
        <v>0.10020950256839617</v>
      </c>
      <c r="O37" s="51">
        <f t="shared" si="1"/>
        <v>0.10713192448468772</v>
      </c>
    </row>
    <row r="38" spans="2:15" x14ac:dyDescent="0.35">
      <c r="B38" t="s">
        <v>112</v>
      </c>
      <c r="C38" s="38">
        <f>IFERROR(HistoricalFS!C68/HistoricalFS!C65,0)</f>
        <v>0.16550759367051515</v>
      </c>
      <c r="D38" s="38">
        <f>IFERROR(HistoricalFS!D68/HistoricalFS!D65,0)</f>
        <v>0.14972206325615023</v>
      </c>
      <c r="E38" s="38">
        <f>IFERROR(HistoricalFS!E68/HistoricalFS!E65,0)</f>
        <v>0.14400390114722728</v>
      </c>
      <c r="F38" s="38">
        <f>IFERROR(HistoricalFS!F68/HistoricalFS!F65,0)</f>
        <v>0.11079026383265471</v>
      </c>
      <c r="G38" s="38">
        <f>IFERROR(HistoricalFS!G68/HistoricalFS!G65,0)</f>
        <v>7.2915700426609081E-2</v>
      </c>
      <c r="H38" s="38">
        <f>IFERROR(HistoricalFS!H68/HistoricalFS!H65,0)</f>
        <v>6.1794355046453676E-2</v>
      </c>
      <c r="I38" s="38">
        <f>IFERROR(HistoricalFS!I68/HistoricalFS!I65,0)</f>
        <v>8.3181306579414735E-2</v>
      </c>
      <c r="J38" s="38">
        <f>IFERROR(HistoricalFS!J68/HistoricalFS!J65,0)</f>
        <v>8.4903585330452558E-2</v>
      </c>
      <c r="K38" s="38">
        <f>IFERROR(HistoricalFS!K68/HistoricalFS!K65,0)</f>
        <v>4.3404744809245228E-2</v>
      </c>
      <c r="L38" s="38">
        <f>IFERROR(HistoricalFS!L68/HistoricalFS!L65,0)</f>
        <v>0.10573861289612117</v>
      </c>
      <c r="N38" s="52">
        <f t="shared" si="0"/>
        <v>9.5161614813814299E-2</v>
      </c>
      <c r="O38" s="52">
        <f t="shared" si="1"/>
        <v>9.5321099113286872E-2</v>
      </c>
    </row>
    <row r="39" spans="2:15" x14ac:dyDescent="0.35">
      <c r="B39" s="39" t="s">
        <v>113</v>
      </c>
      <c r="C39" s="41">
        <f>IFERROR(HistoricalFS!C68/HistoricalFS!C50,0)</f>
        <v>0.59613787608249569</v>
      </c>
      <c r="D39" s="41">
        <f>IFERROR(HistoricalFS!D68/HistoricalFS!D50,0)</f>
        <v>0.48269354366958256</v>
      </c>
      <c r="E39" s="41">
        <f>IFERROR(HistoricalFS!E68/HistoricalFS!E50,0)</f>
        <v>0.54641813518923599</v>
      </c>
      <c r="F39" s="41">
        <f>IFERROR(HistoricalFS!F68/HistoricalFS!F50,0)</f>
        <v>0.38419492244540293</v>
      </c>
      <c r="G39" s="41">
        <f>IFERROR(HistoricalFS!G68/HistoricalFS!G50,0)</f>
        <v>0.26821016235214945</v>
      </c>
      <c r="H39" s="41">
        <f>IFERROR(HistoricalFS!H68/HistoricalFS!H50,0)</f>
        <v>0.17792031558363741</v>
      </c>
      <c r="I39" s="41">
        <f>IFERROR(HistoricalFS!I68/HistoricalFS!I50,0)</f>
        <v>0.21342610534184314</v>
      </c>
      <c r="J39" s="41">
        <f>IFERROR(HistoricalFS!J68/HistoricalFS!J50,0)</f>
        <v>0.20404132622559662</v>
      </c>
      <c r="K39" s="41">
        <f>IFERROR(HistoricalFS!K68/HistoricalFS!K50,0)</f>
        <v>9.7527651770721868E-2</v>
      </c>
      <c r="L39" s="41">
        <f>IFERROR(HistoricalFS!L68/HistoricalFS!L50,0)</f>
        <v>0.26386624636576322</v>
      </c>
      <c r="N39" s="53">
        <f t="shared" si="0"/>
        <v>0.29314426766043694</v>
      </c>
      <c r="O39" s="53">
        <f t="shared" si="1"/>
        <v>0.26603820435895631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83C41B8-D6EE-41B5-B2BD-A64B56CC31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Analysis'!C5:L5</xm:f>
              <xm:sqref>M5</xm:sqref>
            </x14:sparkline>
            <x14:sparkline>
              <xm:f>'Ratio Analysis'!C6:L6</xm:f>
              <xm:sqref>M6</xm:sqref>
            </x14:sparkline>
            <x14:sparkline>
              <xm:f>'Ratio Analysis'!C7:L7</xm:f>
              <xm:sqref>M7</xm:sqref>
            </x14:sparkline>
            <x14:sparkline>
              <xm:f>'Ratio Analysis'!C8:L8</xm:f>
              <xm:sqref>M8</xm:sqref>
            </x14:sparkline>
            <x14:sparkline>
              <xm:f>'Ratio Analysis'!C9:L9</xm:f>
              <xm:sqref>M9</xm:sqref>
            </x14:sparkline>
            <x14:sparkline>
              <xm:f>'Ratio Analysis'!C10:L10</xm:f>
              <xm:sqref>M10</xm:sqref>
            </x14:sparkline>
            <x14:sparkline>
              <xm:f>'Ratio Analysis'!C11:L11</xm:f>
              <xm:sqref>M11</xm:sqref>
            </x14:sparkline>
            <x14:sparkline>
              <xm:f>'Ratio Analysis'!C12:L12</xm:f>
              <xm:sqref>M12</xm:sqref>
            </x14:sparkline>
            <x14:sparkline>
              <xm:f>'Ratio Analysis'!C13:L13</xm:f>
              <xm:sqref>M13</xm:sqref>
            </x14:sparkline>
            <x14:sparkline>
              <xm:f>'Ratio Analysis'!C14:L14</xm:f>
              <xm:sqref>M14</xm:sqref>
            </x14:sparkline>
            <x14:sparkline>
              <xm:f>'Ratio Analysis'!C15:L15</xm:f>
              <xm:sqref>M15</xm:sqref>
            </x14:sparkline>
            <x14:sparkline>
              <xm:f>'Ratio Analysis'!C16:L16</xm:f>
              <xm:sqref>M16</xm:sqref>
            </x14:sparkline>
            <x14:sparkline>
              <xm:f>'Ratio Analysis'!C17:L17</xm:f>
              <xm:sqref>M17</xm:sqref>
            </x14:sparkline>
            <x14:sparkline>
              <xm:f>'Ratio Analysis'!C18:L18</xm:f>
              <xm:sqref>M18</xm:sqref>
            </x14:sparkline>
            <x14:sparkline>
              <xm:f>'Ratio Analysis'!C19:L19</xm:f>
              <xm:sqref>M19</xm:sqref>
            </x14:sparkline>
            <x14:sparkline>
              <xm:f>'Ratio Analysis'!C20:L20</xm:f>
              <xm:sqref>M20</xm:sqref>
            </x14:sparkline>
            <x14:sparkline>
              <xm:f>'Ratio Analysis'!C21:L21</xm:f>
              <xm:sqref>M21</xm:sqref>
            </x14:sparkline>
            <x14:sparkline>
              <xm:f>'Ratio Analysis'!C22:L22</xm:f>
              <xm:sqref>M22</xm:sqref>
            </x14:sparkline>
            <x14:sparkline>
              <xm:f>'Ratio Analysis'!C23:L23</xm:f>
              <xm:sqref>M23</xm:sqref>
            </x14:sparkline>
            <x14:sparkline>
              <xm:f>'Ratio Analysis'!C24:L24</xm:f>
              <xm:sqref>M24</xm:sqref>
            </x14:sparkline>
            <x14:sparkline>
              <xm:f>'Ratio Analysis'!C25:L25</xm:f>
              <xm:sqref>M25</xm:sqref>
            </x14:sparkline>
            <x14:sparkline>
              <xm:f>'Ratio Analysis'!C26:L26</xm:f>
              <xm:sqref>M26</xm:sqref>
            </x14:sparkline>
            <x14:sparkline>
              <xm:f>'Ratio Analysis'!C27:L27</xm:f>
              <xm:sqref>M27</xm:sqref>
            </x14:sparkline>
            <x14:sparkline>
              <xm:f>'Ratio Analysis'!C28:L28</xm:f>
              <xm:sqref>M28</xm:sqref>
            </x14:sparkline>
            <x14:sparkline>
              <xm:f>'Ratio Analysis'!C29:L29</xm:f>
              <xm:sqref>M29</xm:sqref>
            </x14:sparkline>
            <x14:sparkline>
              <xm:f>'Ratio Analysis'!C30:L30</xm:f>
              <xm:sqref>M30</xm:sqref>
            </x14:sparkline>
            <x14:sparkline>
              <xm:f>'Ratio Analysis'!C31:L31</xm:f>
              <xm:sqref>M31</xm:sqref>
            </x14:sparkline>
            <x14:sparkline>
              <xm:f>'Ratio Analysis'!C32:L32</xm:f>
              <xm:sqref>M32</xm:sqref>
            </x14:sparkline>
            <x14:sparkline>
              <xm:f>'Ratio Analysis'!C33:L33</xm:f>
              <xm:sqref>M33</xm:sqref>
            </x14:sparkline>
            <x14:sparkline>
              <xm:f>'Ratio Analysis'!C34:L34</xm:f>
              <xm:sqref>M34</xm:sqref>
            </x14:sparkline>
            <x14:sparkline>
              <xm:f>'Ratio Analysis'!C35:L35</xm:f>
              <xm:sqref>M35</xm:sqref>
            </x14:sparkline>
            <x14:sparkline>
              <xm:f>'Ratio Analysis'!C36:L36</xm:f>
              <xm:sqref>M36</xm:sqref>
            </x14:sparkline>
            <x14:sparkline>
              <xm:f>'Ratio Analysis'!C37:L37</xm:f>
              <xm:sqref>M37</xm:sqref>
            </x14:sparkline>
            <x14:sparkline>
              <xm:f>'Ratio Analysis'!C38:L38</xm:f>
              <xm:sqref>M38</xm:sqref>
            </x14:sparkline>
            <x14:sparkline>
              <xm:f>'Ratio Analysis'!C39:L39</xm:f>
              <xm:sqref>M39</xm:sqref>
            </x14:sparkline>
            <x14:sparkline>
              <xm:f>'Ratio Analysis'!C40:L40</xm:f>
              <xm:sqref>M40</xm:sqref>
            </x14:sparkline>
            <x14:sparkline>
              <xm:f>'Ratio Analysis'!C41:L41</xm:f>
              <xm:sqref>M41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E8DBF-12FB-4FB5-8F03-A7C360D3A103}">
  <sheetPr>
    <tabColor rgb="FFFF0000"/>
  </sheetPr>
  <dimension ref="A1:K93"/>
  <sheetViews>
    <sheetView topLeftCell="A31" workbookViewId="0">
      <selection activeCell="A82" sqref="A82:A85"/>
    </sheetView>
  </sheetViews>
  <sheetFormatPr defaultRowHeight="14.5" x14ac:dyDescent="0.35"/>
  <cols>
    <col min="1" max="1" width="23.81640625" customWidth="1"/>
  </cols>
  <sheetData>
    <row r="1" spans="1:11" x14ac:dyDescent="0.35">
      <c r="A1" s="2" t="s">
        <v>0</v>
      </c>
      <c r="B1" s="2" t="s">
        <v>1</v>
      </c>
      <c r="C1" s="2"/>
      <c r="D1" s="2"/>
      <c r="E1" s="58" t="s">
        <v>2</v>
      </c>
      <c r="F1" s="58"/>
      <c r="G1" s="58"/>
      <c r="H1" s="58"/>
      <c r="I1" s="58"/>
      <c r="J1" s="58"/>
      <c r="K1" s="58"/>
    </row>
    <row r="2" spans="1:11" x14ac:dyDescent="0.35">
      <c r="A2" s="2" t="s">
        <v>3</v>
      </c>
      <c r="B2" s="3">
        <v>2.1</v>
      </c>
      <c r="C2" s="1"/>
      <c r="D2" s="1"/>
      <c r="E2" s="59" t="s">
        <v>4</v>
      </c>
      <c r="F2" s="59"/>
      <c r="G2" s="59"/>
      <c r="H2" s="59"/>
      <c r="I2" s="59"/>
      <c r="J2" s="59"/>
      <c r="K2" s="59"/>
    </row>
    <row r="3" spans="1:11" x14ac:dyDescent="0.35">
      <c r="A3" s="2" t="s">
        <v>5</v>
      </c>
      <c r="B3" s="3">
        <v>2.1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35">
      <c r="A4" s="2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35">
      <c r="A5" s="2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5">
      <c r="A6" s="3" t="s">
        <v>7</v>
      </c>
      <c r="B6" s="3" t="s">
        <v>2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35">
      <c r="A7" s="3" t="s">
        <v>8</v>
      </c>
      <c r="B7" s="1">
        <v>2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35">
      <c r="A8" s="3" t="s">
        <v>9</v>
      </c>
      <c r="B8" s="1">
        <v>1013.15</v>
      </c>
      <c r="C8" s="1"/>
      <c r="D8" s="1"/>
      <c r="E8" s="1"/>
      <c r="F8" s="1"/>
      <c r="G8" s="1"/>
      <c r="H8" s="1"/>
      <c r="I8" s="1"/>
      <c r="J8" s="1"/>
      <c r="K8" s="1"/>
    </row>
    <row r="9" spans="1:11" x14ac:dyDescent="0.35">
      <c r="A9" s="3" t="s">
        <v>10</v>
      </c>
      <c r="B9" s="1">
        <v>370853.94</v>
      </c>
      <c r="C9" s="1"/>
      <c r="D9" s="1"/>
      <c r="E9" s="1"/>
      <c r="F9" s="1"/>
      <c r="G9" s="1"/>
      <c r="H9" s="1"/>
      <c r="I9" s="1"/>
      <c r="J9" s="1"/>
      <c r="K9" s="1"/>
    </row>
    <row r="15" spans="1:11" x14ac:dyDescent="0.35">
      <c r="A15" s="2" t="s">
        <v>11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5">
      <c r="A16" s="5" t="s">
        <v>12</v>
      </c>
      <c r="B16" s="4">
        <v>41729</v>
      </c>
      <c r="C16" s="4">
        <v>42094</v>
      </c>
      <c r="D16" s="4">
        <v>42460</v>
      </c>
      <c r="E16" s="4">
        <v>42825</v>
      </c>
      <c r="F16" s="4">
        <v>43190</v>
      </c>
      <c r="G16" s="4">
        <v>43555</v>
      </c>
      <c r="H16" s="4">
        <v>43921</v>
      </c>
      <c r="I16" s="4">
        <v>44286</v>
      </c>
      <c r="J16" s="4">
        <v>44651</v>
      </c>
      <c r="K16" s="4">
        <v>45016</v>
      </c>
    </row>
    <row r="17" spans="1:11" x14ac:dyDescent="0.35">
      <c r="A17" s="3" t="s">
        <v>13</v>
      </c>
      <c r="B17" s="1">
        <v>232833.66</v>
      </c>
      <c r="C17" s="1">
        <v>263158.98</v>
      </c>
      <c r="D17" s="1">
        <v>273045.59999999998</v>
      </c>
      <c r="E17" s="1">
        <v>269692.51</v>
      </c>
      <c r="F17" s="1">
        <v>291550.48</v>
      </c>
      <c r="G17" s="1">
        <v>301938.40000000002</v>
      </c>
      <c r="H17" s="1">
        <v>261067.97</v>
      </c>
      <c r="I17" s="1">
        <v>249794.75</v>
      </c>
      <c r="J17" s="1">
        <v>278453.62</v>
      </c>
      <c r="K17" s="1">
        <v>345966.97</v>
      </c>
    </row>
    <row r="18" spans="1:11" x14ac:dyDescent="0.35">
      <c r="A18" s="3" t="s">
        <v>14</v>
      </c>
      <c r="B18" s="1">
        <v>146426.99</v>
      </c>
      <c r="C18" s="1">
        <v>163250.35999999999</v>
      </c>
      <c r="D18" s="1">
        <v>166134.01</v>
      </c>
      <c r="E18" s="1">
        <v>173294.07999999999</v>
      </c>
      <c r="F18" s="1">
        <v>187896.58</v>
      </c>
      <c r="G18" s="1">
        <v>194267.91</v>
      </c>
      <c r="H18" s="1">
        <v>164899.82</v>
      </c>
      <c r="I18" s="1">
        <v>153607.35999999999</v>
      </c>
      <c r="J18" s="1">
        <v>179295.33</v>
      </c>
      <c r="K18" s="1">
        <v>231251.26</v>
      </c>
    </row>
    <row r="19" spans="1:11" x14ac:dyDescent="0.35">
      <c r="A19" s="3" t="s">
        <v>15</v>
      </c>
      <c r="B19" s="1">
        <v>2840.58</v>
      </c>
      <c r="C19" s="1">
        <v>3330.35</v>
      </c>
      <c r="D19" s="1">
        <v>2750.99</v>
      </c>
      <c r="E19" s="1">
        <v>7399.92</v>
      </c>
      <c r="F19" s="1">
        <v>2046.58</v>
      </c>
      <c r="G19" s="1">
        <v>-2053.2800000000002</v>
      </c>
      <c r="H19" s="1">
        <v>-2231.19</v>
      </c>
      <c r="I19" s="1">
        <v>-4684.16</v>
      </c>
      <c r="J19" s="1">
        <v>-1590.49</v>
      </c>
      <c r="K19" s="1">
        <v>4781.62</v>
      </c>
    </row>
    <row r="20" spans="1:11" x14ac:dyDescent="0.35">
      <c r="A20" s="3" t="s">
        <v>16</v>
      </c>
      <c r="B20" s="1">
        <v>1128.69</v>
      </c>
      <c r="C20" s="1">
        <v>1121.75</v>
      </c>
      <c r="D20" s="1">
        <v>1143.6300000000001</v>
      </c>
      <c r="E20" s="1">
        <v>1159.82</v>
      </c>
      <c r="F20" s="1">
        <v>1308.08</v>
      </c>
      <c r="G20" s="1">
        <v>1585.93</v>
      </c>
      <c r="H20" s="1">
        <v>1264.95</v>
      </c>
      <c r="I20" s="1">
        <v>1112.8699999999999</v>
      </c>
      <c r="J20" s="1">
        <v>2178.29</v>
      </c>
      <c r="K20" s="1">
        <v>2513.33</v>
      </c>
    </row>
    <row r="21" spans="1:11" x14ac:dyDescent="0.35">
      <c r="A21" s="3" t="s">
        <v>17</v>
      </c>
      <c r="B21" s="1">
        <v>13806.04</v>
      </c>
      <c r="C21" s="1">
        <v>16173.17</v>
      </c>
      <c r="D21" s="1">
        <v>12101.53</v>
      </c>
      <c r="E21" s="1">
        <v>10067.370000000001</v>
      </c>
      <c r="F21" s="1">
        <v>10971.66</v>
      </c>
      <c r="G21" s="1">
        <v>11694.54</v>
      </c>
      <c r="H21" s="1">
        <v>11541.51</v>
      </c>
      <c r="I21" s="1">
        <v>8273.17</v>
      </c>
      <c r="J21" s="1">
        <v>9427.3799999999992</v>
      </c>
      <c r="K21" s="1">
        <v>11765.97</v>
      </c>
    </row>
    <row r="22" spans="1:11" x14ac:dyDescent="0.35">
      <c r="A22" s="3" t="s">
        <v>18</v>
      </c>
      <c r="B22" s="1">
        <v>21609.919999999998</v>
      </c>
      <c r="C22" s="1">
        <v>25641.95</v>
      </c>
      <c r="D22" s="1">
        <v>28880.89</v>
      </c>
      <c r="E22" s="1">
        <v>28332.89</v>
      </c>
      <c r="F22" s="1">
        <v>30300.09</v>
      </c>
      <c r="G22" s="1">
        <v>33243.870000000003</v>
      </c>
      <c r="H22" s="1">
        <v>30438.6</v>
      </c>
      <c r="I22" s="1">
        <v>27648.48</v>
      </c>
      <c r="J22" s="1">
        <v>30808.52</v>
      </c>
      <c r="K22" s="1">
        <v>33654.699999999997</v>
      </c>
    </row>
    <row r="23" spans="1:11" x14ac:dyDescent="0.35">
      <c r="A23" s="3" t="s">
        <v>19</v>
      </c>
      <c r="B23" s="1">
        <v>22357.79</v>
      </c>
      <c r="C23" s="1">
        <v>23603.01</v>
      </c>
      <c r="D23" s="1">
        <v>21991.9</v>
      </c>
      <c r="E23" s="1">
        <v>30039.38</v>
      </c>
      <c r="F23" s="1">
        <v>31004.58</v>
      </c>
      <c r="G23" s="1">
        <v>32719.8</v>
      </c>
      <c r="H23" s="1">
        <v>29248.32</v>
      </c>
      <c r="I23" s="1">
        <v>23015.79</v>
      </c>
      <c r="J23" s="1">
        <v>29205.4</v>
      </c>
      <c r="K23" s="1">
        <v>34839.19</v>
      </c>
    </row>
    <row r="24" spans="1:11" x14ac:dyDescent="0.35">
      <c r="A24" s="3" t="s">
        <v>20</v>
      </c>
      <c r="B24" s="1">
        <v>-4508.55</v>
      </c>
      <c r="C24" s="1">
        <v>-2539.56</v>
      </c>
      <c r="D24" s="1">
        <v>7149.38</v>
      </c>
      <c r="E24" s="1">
        <v>4610.2</v>
      </c>
      <c r="F24" s="1">
        <v>658.39</v>
      </c>
      <c r="G24" s="1">
        <v>1708.74</v>
      </c>
      <c r="H24" s="1">
        <v>3456.51</v>
      </c>
      <c r="I24" s="1">
        <v>-834.51</v>
      </c>
      <c r="J24" s="1">
        <v>1228.1199999999999</v>
      </c>
      <c r="K24" s="1">
        <v>4908.34</v>
      </c>
    </row>
    <row r="25" spans="1:11" x14ac:dyDescent="0.35">
      <c r="A25" s="3" t="s">
        <v>21</v>
      </c>
      <c r="B25" s="1">
        <v>-156.79</v>
      </c>
      <c r="C25" s="1">
        <v>714.03</v>
      </c>
      <c r="D25" s="1">
        <v>-2669.62</v>
      </c>
      <c r="E25" s="1">
        <v>1869.1</v>
      </c>
      <c r="F25" s="1">
        <v>5932.73</v>
      </c>
      <c r="G25" s="1">
        <v>-26686.25</v>
      </c>
      <c r="H25" s="1">
        <v>101.71</v>
      </c>
      <c r="I25" s="1">
        <v>-11117.83</v>
      </c>
      <c r="J25" s="1">
        <v>2424.0500000000002</v>
      </c>
      <c r="K25" s="1">
        <v>6327.59</v>
      </c>
    </row>
    <row r="26" spans="1:11" x14ac:dyDescent="0.35">
      <c r="A26" s="3" t="s">
        <v>22</v>
      </c>
      <c r="B26" s="1">
        <v>11078.16</v>
      </c>
      <c r="C26" s="1">
        <v>13388.63</v>
      </c>
      <c r="D26" s="1">
        <v>16710.78</v>
      </c>
      <c r="E26" s="1">
        <v>17904.990000000002</v>
      </c>
      <c r="F26" s="1">
        <v>21553.59</v>
      </c>
      <c r="G26" s="1">
        <v>23590.63</v>
      </c>
      <c r="H26" s="1">
        <v>21425.43</v>
      </c>
      <c r="I26" s="1">
        <v>23546.71</v>
      </c>
      <c r="J26" s="1">
        <v>24835.69</v>
      </c>
      <c r="K26" s="1">
        <v>24860.36</v>
      </c>
    </row>
    <row r="27" spans="1:11" x14ac:dyDescent="0.35">
      <c r="A27" s="3" t="s">
        <v>23</v>
      </c>
      <c r="B27" s="1">
        <v>4749.4399999999996</v>
      </c>
      <c r="C27" s="1">
        <v>4861.49</v>
      </c>
      <c r="D27" s="1">
        <v>4889.08</v>
      </c>
      <c r="E27" s="1">
        <v>4238.01</v>
      </c>
      <c r="F27" s="1">
        <v>4681.79</v>
      </c>
      <c r="G27" s="1">
        <v>5758.6</v>
      </c>
      <c r="H27" s="1">
        <v>7243.33</v>
      </c>
      <c r="I27" s="1">
        <v>8097.17</v>
      </c>
      <c r="J27" s="1">
        <v>9311.86</v>
      </c>
      <c r="K27" s="1">
        <v>10225.48</v>
      </c>
    </row>
    <row r="28" spans="1:11" x14ac:dyDescent="0.35">
      <c r="A28" s="3" t="s">
        <v>24</v>
      </c>
      <c r="B28" s="1">
        <v>18868.97</v>
      </c>
      <c r="C28" s="1">
        <v>21702.560000000001</v>
      </c>
      <c r="D28" s="1">
        <v>14125.77</v>
      </c>
      <c r="E28" s="1">
        <v>9314.7900000000009</v>
      </c>
      <c r="F28" s="1">
        <v>11155.03</v>
      </c>
      <c r="G28" s="1">
        <v>-31371.15</v>
      </c>
      <c r="H28" s="1">
        <v>-10579.98</v>
      </c>
      <c r="I28" s="1">
        <v>-10474.280000000001</v>
      </c>
      <c r="J28" s="1">
        <v>-7003.41</v>
      </c>
      <c r="K28" s="1">
        <v>3057.55</v>
      </c>
    </row>
    <row r="29" spans="1:11" x14ac:dyDescent="0.35">
      <c r="A29" s="3" t="s">
        <v>25</v>
      </c>
      <c r="B29" s="1">
        <v>4764.79</v>
      </c>
      <c r="C29" s="1">
        <v>7642.91</v>
      </c>
      <c r="D29" s="1">
        <v>3025.05</v>
      </c>
      <c r="E29" s="1">
        <v>3251.23</v>
      </c>
      <c r="F29" s="1">
        <v>4341.93</v>
      </c>
      <c r="G29" s="1">
        <v>-2437.4499999999998</v>
      </c>
      <c r="H29" s="1">
        <v>395.25</v>
      </c>
      <c r="I29" s="1">
        <v>2541.86</v>
      </c>
      <c r="J29" s="1">
        <v>4231.29</v>
      </c>
      <c r="K29" s="1">
        <v>704.06</v>
      </c>
    </row>
    <row r="30" spans="1:11" x14ac:dyDescent="0.35">
      <c r="A30" s="3" t="s">
        <v>26</v>
      </c>
      <c r="B30" s="1">
        <v>13991.02</v>
      </c>
      <c r="C30" s="1">
        <v>13986.29</v>
      </c>
      <c r="D30" s="1">
        <v>11579.31</v>
      </c>
      <c r="E30" s="1">
        <v>7454.36</v>
      </c>
      <c r="F30" s="1">
        <v>8988.91</v>
      </c>
      <c r="G30" s="1">
        <v>-28826.23</v>
      </c>
      <c r="H30" s="1">
        <v>-12070.85</v>
      </c>
      <c r="I30" s="1">
        <v>-13451.39</v>
      </c>
      <c r="J30" s="1">
        <v>-11441.47</v>
      </c>
      <c r="K30" s="1">
        <v>2414.29</v>
      </c>
    </row>
    <row r="31" spans="1:11" x14ac:dyDescent="0.35">
      <c r="A31" s="3" t="s">
        <v>27</v>
      </c>
      <c r="B31" s="1">
        <v>643.78</v>
      </c>
      <c r="C31" s="3"/>
      <c r="D31" s="1">
        <v>67.92</v>
      </c>
      <c r="E31" s="3"/>
      <c r="F31" s="3"/>
      <c r="G31" s="3"/>
      <c r="H31" s="3"/>
      <c r="I31" s="3"/>
      <c r="J31" s="3"/>
      <c r="K31" s="1">
        <v>766.02</v>
      </c>
    </row>
    <row r="32" spans="1:1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35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5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3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35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3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35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35">
      <c r="A40" s="2" t="s">
        <v>28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35">
      <c r="A41" s="5" t="s">
        <v>12</v>
      </c>
      <c r="B41" s="4">
        <v>44469</v>
      </c>
      <c r="C41" s="4">
        <v>44561</v>
      </c>
      <c r="D41" s="4">
        <v>44651</v>
      </c>
      <c r="E41" s="4">
        <v>44742</v>
      </c>
      <c r="F41" s="4">
        <v>44834</v>
      </c>
      <c r="G41" s="4">
        <v>44926</v>
      </c>
      <c r="H41" s="4">
        <v>45016</v>
      </c>
      <c r="I41" s="4">
        <v>45107</v>
      </c>
      <c r="J41" s="4">
        <v>45199</v>
      </c>
      <c r="K41" s="4">
        <v>45291</v>
      </c>
    </row>
    <row r="42" spans="1:11" x14ac:dyDescent="0.35">
      <c r="A42" s="3" t="s">
        <v>13</v>
      </c>
      <c r="B42" s="1">
        <v>61378.82</v>
      </c>
      <c r="C42" s="1">
        <v>72229.289999999994</v>
      </c>
      <c r="D42" s="1">
        <v>78439.06</v>
      </c>
      <c r="E42" s="1">
        <v>71934.66</v>
      </c>
      <c r="F42" s="1">
        <v>79611.37</v>
      </c>
      <c r="G42" s="1">
        <v>88488.59</v>
      </c>
      <c r="H42" s="1">
        <v>105932.35</v>
      </c>
      <c r="I42" s="1">
        <v>102236.08</v>
      </c>
      <c r="J42" s="1">
        <v>105128.24</v>
      </c>
      <c r="K42" s="1">
        <v>110577.14</v>
      </c>
    </row>
    <row r="43" spans="1:11" x14ac:dyDescent="0.35">
      <c r="A43" s="3" t="s">
        <v>29</v>
      </c>
      <c r="B43" s="1">
        <v>57262.21</v>
      </c>
      <c r="C43" s="1">
        <v>65151.27</v>
      </c>
      <c r="D43" s="1">
        <v>70156.27</v>
      </c>
      <c r="E43" s="1">
        <v>69521.929999999993</v>
      </c>
      <c r="F43" s="1">
        <v>74039.06</v>
      </c>
      <c r="G43" s="1">
        <v>77668.350000000006</v>
      </c>
      <c r="H43" s="1">
        <v>92817.95</v>
      </c>
      <c r="I43" s="1">
        <v>89018.36</v>
      </c>
      <c r="J43" s="1">
        <v>91361.3</v>
      </c>
      <c r="K43" s="1">
        <v>95158.77</v>
      </c>
    </row>
    <row r="44" spans="1:11" x14ac:dyDescent="0.35">
      <c r="A44" s="3" t="s">
        <v>21</v>
      </c>
      <c r="B44" s="1">
        <v>862.46</v>
      </c>
      <c r="C44" s="1">
        <v>788.73</v>
      </c>
      <c r="D44" s="1">
        <v>188.74</v>
      </c>
      <c r="E44" s="1">
        <v>2380.98</v>
      </c>
      <c r="F44" s="1">
        <v>1351.14</v>
      </c>
      <c r="G44" s="1">
        <v>1129.98</v>
      </c>
      <c r="H44" s="1">
        <v>1361.61</v>
      </c>
      <c r="I44" s="1">
        <v>683.56</v>
      </c>
      <c r="J44" s="1">
        <v>1507.05</v>
      </c>
      <c r="K44" s="1">
        <v>1410.5</v>
      </c>
    </row>
    <row r="45" spans="1:11" x14ac:dyDescent="0.35">
      <c r="A45" s="3" t="s">
        <v>22</v>
      </c>
      <c r="B45" s="1">
        <v>6123.32</v>
      </c>
      <c r="C45" s="1">
        <v>6078.13</v>
      </c>
      <c r="D45" s="1">
        <v>6432.11</v>
      </c>
      <c r="E45" s="1">
        <v>5841.04</v>
      </c>
      <c r="F45" s="1">
        <v>5897.34</v>
      </c>
      <c r="G45" s="1">
        <v>6071.78</v>
      </c>
      <c r="H45" s="1">
        <v>7050.2</v>
      </c>
      <c r="I45" s="1">
        <v>6633.18</v>
      </c>
      <c r="J45" s="1">
        <v>6636.42</v>
      </c>
      <c r="K45" s="1">
        <v>6850</v>
      </c>
    </row>
    <row r="46" spans="1:11" x14ac:dyDescent="0.35">
      <c r="A46" s="3" t="s">
        <v>23</v>
      </c>
      <c r="B46" s="1">
        <v>2327.3000000000002</v>
      </c>
      <c r="C46" s="1">
        <v>2400.7399999999998</v>
      </c>
      <c r="D46" s="1">
        <v>2380.52</v>
      </c>
      <c r="E46" s="1">
        <v>2420.7199999999998</v>
      </c>
      <c r="F46" s="1">
        <v>2487.2600000000002</v>
      </c>
      <c r="G46" s="1">
        <v>2675.83</v>
      </c>
      <c r="H46" s="1">
        <v>2641.67</v>
      </c>
      <c r="I46" s="1">
        <v>2615.39</v>
      </c>
      <c r="J46" s="1">
        <v>2651.69</v>
      </c>
      <c r="K46" s="1">
        <v>2484.91</v>
      </c>
    </row>
    <row r="47" spans="1:11" x14ac:dyDescent="0.35">
      <c r="A47" s="3" t="s">
        <v>24</v>
      </c>
      <c r="B47" s="1">
        <v>-3471.55</v>
      </c>
      <c r="C47" s="1">
        <v>-612.12</v>
      </c>
      <c r="D47" s="1">
        <v>-341.1</v>
      </c>
      <c r="E47" s="1">
        <v>-3468.05</v>
      </c>
      <c r="F47" s="1">
        <v>-1461.15</v>
      </c>
      <c r="G47" s="1">
        <v>3202.61</v>
      </c>
      <c r="H47" s="1">
        <v>4784.1400000000003</v>
      </c>
      <c r="I47" s="1">
        <v>4652.71</v>
      </c>
      <c r="J47" s="1">
        <v>5985.88</v>
      </c>
      <c r="K47" s="1">
        <v>7493.96</v>
      </c>
    </row>
    <row r="48" spans="1:11" x14ac:dyDescent="0.35">
      <c r="A48" s="3" t="s">
        <v>25</v>
      </c>
      <c r="B48" s="1">
        <v>1005.06</v>
      </c>
      <c r="C48" s="1">
        <v>726.05</v>
      </c>
      <c r="D48" s="1">
        <v>758.22</v>
      </c>
      <c r="E48" s="1">
        <v>1518.96</v>
      </c>
      <c r="F48" s="1">
        <v>-457.08</v>
      </c>
      <c r="G48" s="1">
        <v>262.83</v>
      </c>
      <c r="H48" s="1">
        <v>-620.65</v>
      </c>
      <c r="I48" s="1">
        <v>1563.01</v>
      </c>
      <c r="J48" s="1">
        <v>2202.84</v>
      </c>
      <c r="K48" s="1">
        <v>541.79</v>
      </c>
    </row>
    <row r="49" spans="1:11" x14ac:dyDescent="0.35">
      <c r="A49" s="3" t="s">
        <v>26</v>
      </c>
      <c r="B49" s="1">
        <v>-4441.57</v>
      </c>
      <c r="C49" s="1">
        <v>-1516.14</v>
      </c>
      <c r="D49" s="1">
        <v>-1032.8399999999999</v>
      </c>
      <c r="E49" s="1">
        <v>-5006.6000000000004</v>
      </c>
      <c r="F49" s="1">
        <v>-944.61</v>
      </c>
      <c r="G49" s="1">
        <v>2957.71</v>
      </c>
      <c r="H49" s="1">
        <v>5407.79</v>
      </c>
      <c r="I49" s="1">
        <v>3202.8</v>
      </c>
      <c r="J49" s="1">
        <v>3764</v>
      </c>
      <c r="K49" s="1">
        <v>7025.11</v>
      </c>
    </row>
    <row r="50" spans="1:11" x14ac:dyDescent="0.35">
      <c r="A50" s="3" t="s">
        <v>30</v>
      </c>
      <c r="B50" s="1">
        <v>4116.6099999999997</v>
      </c>
      <c r="C50" s="1">
        <v>7078.02</v>
      </c>
      <c r="D50" s="1">
        <v>8282.7900000000009</v>
      </c>
      <c r="E50" s="1">
        <v>2412.73</v>
      </c>
      <c r="F50" s="1">
        <v>5572.31</v>
      </c>
      <c r="G50" s="1">
        <v>10820.24</v>
      </c>
      <c r="H50" s="1">
        <v>13114.4</v>
      </c>
      <c r="I50" s="1">
        <v>13217.72</v>
      </c>
      <c r="J50" s="1">
        <v>13766.94</v>
      </c>
      <c r="K50" s="1">
        <v>15418.37</v>
      </c>
    </row>
    <row r="51" spans="1:11" x14ac:dyDescent="0.3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35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5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3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35">
      <c r="A55" s="2" t="s">
        <v>31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35">
      <c r="A56" s="5" t="s">
        <v>12</v>
      </c>
      <c r="B56" s="4">
        <v>41729</v>
      </c>
      <c r="C56" s="4">
        <v>42094</v>
      </c>
      <c r="D56" s="4">
        <v>42460</v>
      </c>
      <c r="E56" s="4">
        <v>42825</v>
      </c>
      <c r="F56" s="4">
        <v>43190</v>
      </c>
      <c r="G56" s="4">
        <v>43555</v>
      </c>
      <c r="H56" s="4">
        <v>43921</v>
      </c>
      <c r="I56" s="4">
        <v>44286</v>
      </c>
      <c r="J56" s="4">
        <v>44651</v>
      </c>
      <c r="K56" s="4">
        <v>45016</v>
      </c>
    </row>
    <row r="57" spans="1:11" x14ac:dyDescent="0.35">
      <c r="A57" s="3" t="s">
        <v>32</v>
      </c>
      <c r="B57" s="1">
        <v>643.78</v>
      </c>
      <c r="C57" s="1">
        <v>643.78</v>
      </c>
      <c r="D57" s="1">
        <v>679.18</v>
      </c>
      <c r="E57" s="1">
        <v>679.22</v>
      </c>
      <c r="F57" s="1">
        <v>679.22</v>
      </c>
      <c r="G57" s="1">
        <v>679.22</v>
      </c>
      <c r="H57" s="1">
        <v>719.54</v>
      </c>
      <c r="I57" s="1">
        <v>765.81</v>
      </c>
      <c r="J57" s="1">
        <v>765.88</v>
      </c>
      <c r="K57" s="1">
        <v>766.02</v>
      </c>
    </row>
    <row r="58" spans="1:11" x14ac:dyDescent="0.35">
      <c r="A58" s="3" t="s">
        <v>33</v>
      </c>
      <c r="B58" s="1">
        <v>64959.67</v>
      </c>
      <c r="C58" s="1">
        <v>55618.14</v>
      </c>
      <c r="D58" s="1">
        <v>78273.23</v>
      </c>
      <c r="E58" s="1">
        <v>57382.67</v>
      </c>
      <c r="F58" s="1">
        <v>94748.69</v>
      </c>
      <c r="G58" s="1">
        <v>59500.34</v>
      </c>
      <c r="H58" s="1">
        <v>61491.49</v>
      </c>
      <c r="I58" s="1">
        <v>54480.91</v>
      </c>
      <c r="J58" s="1">
        <v>43795.360000000001</v>
      </c>
      <c r="K58" s="1">
        <v>44555.77</v>
      </c>
    </row>
    <row r="59" spans="1:11" x14ac:dyDescent="0.35">
      <c r="A59" s="3" t="s">
        <v>34</v>
      </c>
      <c r="B59" s="1">
        <v>60642.28</v>
      </c>
      <c r="C59" s="1">
        <v>73610.39</v>
      </c>
      <c r="D59" s="1">
        <v>69359.960000000006</v>
      </c>
      <c r="E59" s="1">
        <v>78603.98</v>
      </c>
      <c r="F59" s="1">
        <v>88950.47</v>
      </c>
      <c r="G59" s="1">
        <v>106175.34</v>
      </c>
      <c r="H59" s="1">
        <v>124787.64</v>
      </c>
      <c r="I59" s="1">
        <v>142130.57</v>
      </c>
      <c r="J59" s="1">
        <v>146449.03</v>
      </c>
      <c r="K59" s="1">
        <v>134113.44</v>
      </c>
    </row>
    <row r="60" spans="1:11" x14ac:dyDescent="0.35">
      <c r="A60" s="3" t="s">
        <v>35</v>
      </c>
      <c r="B60" s="1">
        <v>92180.26</v>
      </c>
      <c r="C60" s="1">
        <v>107442.48</v>
      </c>
      <c r="D60" s="1">
        <v>114871.75</v>
      </c>
      <c r="E60" s="1">
        <v>135914.49</v>
      </c>
      <c r="F60" s="1">
        <v>142813.43</v>
      </c>
      <c r="G60" s="1">
        <v>139348.59</v>
      </c>
      <c r="H60" s="1">
        <v>133180.72</v>
      </c>
      <c r="I60" s="1">
        <v>144192.62</v>
      </c>
      <c r="J60" s="1">
        <v>138051.22</v>
      </c>
      <c r="K60" s="1">
        <v>155239.20000000001</v>
      </c>
    </row>
    <row r="61" spans="1:11" x14ac:dyDescent="0.35">
      <c r="A61" s="2" t="s">
        <v>36</v>
      </c>
      <c r="B61" s="1">
        <v>218425.99</v>
      </c>
      <c r="C61" s="1">
        <v>237314.79</v>
      </c>
      <c r="D61" s="1">
        <v>263184.12</v>
      </c>
      <c r="E61" s="1">
        <v>272580.36</v>
      </c>
      <c r="F61" s="1">
        <v>327191.81</v>
      </c>
      <c r="G61" s="1">
        <v>305703.49</v>
      </c>
      <c r="H61" s="1">
        <v>320179.39</v>
      </c>
      <c r="I61" s="1">
        <v>341569.91</v>
      </c>
      <c r="J61" s="1">
        <v>329061.49</v>
      </c>
      <c r="K61" s="1">
        <v>334674.43</v>
      </c>
    </row>
    <row r="62" spans="1:11" x14ac:dyDescent="0.35">
      <c r="A62" s="3" t="s">
        <v>37</v>
      </c>
      <c r="B62" s="1">
        <v>69091.67</v>
      </c>
      <c r="C62" s="1">
        <v>88479.49</v>
      </c>
      <c r="D62" s="1">
        <v>107231.76</v>
      </c>
      <c r="E62" s="1">
        <v>95944.08</v>
      </c>
      <c r="F62" s="1">
        <v>121413.86</v>
      </c>
      <c r="G62" s="1">
        <v>111234.47</v>
      </c>
      <c r="H62" s="1">
        <v>127107.14</v>
      </c>
      <c r="I62" s="1">
        <v>138707.60999999999</v>
      </c>
      <c r="J62" s="1">
        <v>138855.45000000001</v>
      </c>
      <c r="K62" s="1">
        <v>132079.76</v>
      </c>
    </row>
    <row r="63" spans="1:11" x14ac:dyDescent="0.35">
      <c r="A63" s="3" t="s">
        <v>38</v>
      </c>
      <c r="B63" s="1">
        <v>33262.559999999998</v>
      </c>
      <c r="C63" s="1">
        <v>28640.09</v>
      </c>
      <c r="D63" s="1">
        <v>25918.94</v>
      </c>
      <c r="E63" s="1">
        <v>33698.839999999997</v>
      </c>
      <c r="F63" s="1">
        <v>40033.5</v>
      </c>
      <c r="G63" s="1">
        <v>31883.84</v>
      </c>
      <c r="H63" s="1">
        <v>35622.29</v>
      </c>
      <c r="I63" s="1">
        <v>20963.93</v>
      </c>
      <c r="J63" s="1">
        <v>10251.09</v>
      </c>
      <c r="K63" s="1">
        <v>14274.5</v>
      </c>
    </row>
    <row r="64" spans="1:11" x14ac:dyDescent="0.35">
      <c r="A64" s="3" t="s">
        <v>39</v>
      </c>
      <c r="B64" s="1">
        <v>10686.67</v>
      </c>
      <c r="C64" s="1">
        <v>15336.74</v>
      </c>
      <c r="D64" s="1">
        <v>23767.02</v>
      </c>
      <c r="E64" s="1">
        <v>20337.919999999998</v>
      </c>
      <c r="F64" s="1">
        <v>20812.75</v>
      </c>
      <c r="G64" s="1">
        <v>15770.72</v>
      </c>
      <c r="H64" s="1">
        <v>16308.48</v>
      </c>
      <c r="I64" s="1">
        <v>24620.28</v>
      </c>
      <c r="J64" s="1">
        <v>29379.53</v>
      </c>
      <c r="K64" s="1">
        <v>26379.16</v>
      </c>
    </row>
    <row r="65" spans="1:11" x14ac:dyDescent="0.35">
      <c r="A65" s="3" t="s">
        <v>40</v>
      </c>
      <c r="B65" s="1">
        <v>105385.09</v>
      </c>
      <c r="C65" s="1">
        <v>104858.47</v>
      </c>
      <c r="D65" s="1">
        <v>106266.4</v>
      </c>
      <c r="E65" s="1">
        <v>122599.52</v>
      </c>
      <c r="F65" s="1">
        <v>144931.70000000001</v>
      </c>
      <c r="G65" s="1">
        <v>146814.46</v>
      </c>
      <c r="H65" s="1">
        <v>141141.48000000001</v>
      </c>
      <c r="I65" s="1">
        <v>157278.09</v>
      </c>
      <c r="J65" s="1">
        <v>150575.42000000001</v>
      </c>
      <c r="K65" s="1">
        <v>161941.01</v>
      </c>
    </row>
    <row r="66" spans="1:11" x14ac:dyDescent="0.35">
      <c r="A66" s="2" t="s">
        <v>36</v>
      </c>
      <c r="B66" s="1">
        <v>218425.99</v>
      </c>
      <c r="C66" s="1">
        <v>237314.79</v>
      </c>
      <c r="D66" s="1">
        <v>263184.12</v>
      </c>
      <c r="E66" s="1">
        <v>272580.36</v>
      </c>
      <c r="F66" s="1">
        <v>327191.81</v>
      </c>
      <c r="G66" s="1">
        <v>305703.49</v>
      </c>
      <c r="H66" s="1">
        <v>320179.39</v>
      </c>
      <c r="I66" s="1">
        <v>341569.91</v>
      </c>
      <c r="J66" s="1">
        <v>329061.49</v>
      </c>
      <c r="K66" s="1">
        <v>334674.43</v>
      </c>
    </row>
    <row r="67" spans="1:11" x14ac:dyDescent="0.35">
      <c r="A67" s="3" t="s">
        <v>41</v>
      </c>
      <c r="B67" s="1">
        <v>10574.23</v>
      </c>
      <c r="C67" s="1">
        <v>12579.2</v>
      </c>
      <c r="D67" s="1">
        <v>13570.91</v>
      </c>
      <c r="E67" s="1">
        <v>14075.55</v>
      </c>
      <c r="F67" s="1">
        <v>19893.3</v>
      </c>
      <c r="G67" s="1">
        <v>18996.169999999998</v>
      </c>
      <c r="H67" s="1">
        <v>11172.69</v>
      </c>
      <c r="I67" s="1">
        <v>12679.08</v>
      </c>
      <c r="J67" s="1">
        <v>12442.12</v>
      </c>
      <c r="K67" s="1">
        <v>15737.97</v>
      </c>
    </row>
    <row r="68" spans="1:11" x14ac:dyDescent="0.35">
      <c r="A68" s="3" t="s">
        <v>42</v>
      </c>
      <c r="B68" s="1">
        <v>27270.89</v>
      </c>
      <c r="C68" s="1">
        <v>29272.34</v>
      </c>
      <c r="D68" s="1">
        <v>32655.73</v>
      </c>
      <c r="E68" s="1">
        <v>35085.31</v>
      </c>
      <c r="F68" s="1">
        <v>42137.63</v>
      </c>
      <c r="G68" s="1">
        <v>39013.730000000003</v>
      </c>
      <c r="H68" s="1">
        <v>37456.879999999997</v>
      </c>
      <c r="I68" s="1">
        <v>36088.589999999997</v>
      </c>
      <c r="J68" s="1">
        <v>35240.339999999997</v>
      </c>
      <c r="K68" s="1">
        <v>40755.39</v>
      </c>
    </row>
    <row r="69" spans="1:11" x14ac:dyDescent="0.35">
      <c r="A69" s="3" t="s">
        <v>43</v>
      </c>
      <c r="B69" s="1">
        <v>29711.79</v>
      </c>
      <c r="C69" s="1">
        <v>32115.759999999998</v>
      </c>
      <c r="D69" s="1">
        <v>30460.400000000001</v>
      </c>
      <c r="E69" s="1">
        <v>36077.879999999997</v>
      </c>
      <c r="F69" s="1">
        <v>34613.910000000003</v>
      </c>
      <c r="G69" s="1">
        <v>32648.82</v>
      </c>
      <c r="H69" s="1">
        <v>33726.97</v>
      </c>
      <c r="I69" s="1">
        <v>46792.46</v>
      </c>
      <c r="J69" s="1">
        <v>40669.19</v>
      </c>
      <c r="K69" s="1">
        <v>37015.56</v>
      </c>
    </row>
    <row r="70" spans="1:11" x14ac:dyDescent="0.35">
      <c r="A70" s="3" t="s">
        <v>44</v>
      </c>
      <c r="B70" s="1">
        <v>3218930000</v>
      </c>
      <c r="C70" s="1">
        <v>3218930067</v>
      </c>
      <c r="D70" s="1">
        <v>3395930306</v>
      </c>
      <c r="E70" s="1">
        <v>3396100719</v>
      </c>
      <c r="F70" s="1">
        <v>3396100719</v>
      </c>
      <c r="G70" s="1">
        <v>3396100719</v>
      </c>
      <c r="H70" s="1">
        <v>3597726185</v>
      </c>
      <c r="I70" s="1">
        <v>3829060661</v>
      </c>
      <c r="J70" s="1">
        <v>3829414903</v>
      </c>
      <c r="K70" s="1">
        <v>3830097221</v>
      </c>
    </row>
    <row r="71" spans="1:11" x14ac:dyDescent="0.35">
      <c r="A71" s="3" t="s">
        <v>45</v>
      </c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35">
      <c r="A72" s="3" t="s">
        <v>46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</row>
    <row r="74" spans="1:11" x14ac:dyDescent="0.35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3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35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35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35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35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35">
      <c r="A80" s="2" t="s">
        <v>47</v>
      </c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35">
      <c r="A81" s="5" t="s">
        <v>12</v>
      </c>
      <c r="B81" s="4">
        <v>41729</v>
      </c>
      <c r="C81" s="4">
        <v>42094</v>
      </c>
      <c r="D81" s="4">
        <v>42460</v>
      </c>
      <c r="E81" s="4">
        <v>42825</v>
      </c>
      <c r="F81" s="4">
        <v>43190</v>
      </c>
      <c r="G81" s="4">
        <v>43555</v>
      </c>
      <c r="H81" s="4">
        <v>43921</v>
      </c>
      <c r="I81" s="4">
        <v>44286</v>
      </c>
      <c r="J81" s="4">
        <v>44651</v>
      </c>
      <c r="K81" s="4">
        <v>45016</v>
      </c>
    </row>
    <row r="82" spans="1:11" x14ac:dyDescent="0.35">
      <c r="A82" s="3" t="s">
        <v>48</v>
      </c>
      <c r="B82" s="1">
        <v>36151.160000000003</v>
      </c>
      <c r="C82" s="1">
        <v>35531.26</v>
      </c>
      <c r="D82" s="1">
        <v>37899.54</v>
      </c>
      <c r="E82" s="1">
        <v>30199.25</v>
      </c>
      <c r="F82" s="1">
        <v>23857.42</v>
      </c>
      <c r="G82" s="1">
        <v>18890.75</v>
      </c>
      <c r="H82" s="1">
        <v>26632.94</v>
      </c>
      <c r="I82" s="1">
        <v>29000.51</v>
      </c>
      <c r="J82" s="1">
        <v>14282.83</v>
      </c>
      <c r="K82" s="1">
        <v>35388.01</v>
      </c>
    </row>
    <row r="83" spans="1:11" x14ac:dyDescent="0.35">
      <c r="A83" s="3" t="s">
        <v>49</v>
      </c>
      <c r="B83" s="1">
        <v>-27990.91</v>
      </c>
      <c r="C83" s="1">
        <v>-36232.35</v>
      </c>
      <c r="D83" s="1">
        <v>-36693.9</v>
      </c>
      <c r="E83" s="1">
        <v>-39571.4</v>
      </c>
      <c r="F83" s="1">
        <v>-25139.14</v>
      </c>
      <c r="G83" s="1">
        <v>-20878.07</v>
      </c>
      <c r="H83" s="1">
        <v>-33114.550000000003</v>
      </c>
      <c r="I83" s="1">
        <v>-25672.5</v>
      </c>
      <c r="J83" s="1">
        <v>-4443.66</v>
      </c>
      <c r="K83" s="1">
        <v>-15417.17</v>
      </c>
    </row>
    <row r="84" spans="1:11" x14ac:dyDescent="0.35">
      <c r="A84" s="3" t="s">
        <v>50</v>
      </c>
      <c r="B84" s="1">
        <v>-3883.24</v>
      </c>
      <c r="C84" s="1">
        <v>5201.4399999999996</v>
      </c>
      <c r="D84" s="1">
        <v>-3795.12</v>
      </c>
      <c r="E84" s="1">
        <v>6205.3</v>
      </c>
      <c r="F84" s="1">
        <v>2011.71</v>
      </c>
      <c r="G84" s="1">
        <v>8830.3700000000008</v>
      </c>
      <c r="H84" s="1">
        <v>3389.61</v>
      </c>
      <c r="I84" s="1">
        <v>9904.2000000000007</v>
      </c>
      <c r="J84" s="1">
        <v>-3380.17</v>
      </c>
      <c r="K84" s="1">
        <v>-26242.9</v>
      </c>
    </row>
    <row r="85" spans="1:11" x14ac:dyDescent="0.35">
      <c r="A85" s="3" t="s">
        <v>51</v>
      </c>
      <c r="B85" s="1">
        <v>4277.01</v>
      </c>
      <c r="C85" s="1">
        <v>4500.3500000000004</v>
      </c>
      <c r="D85" s="1">
        <v>-2589.48</v>
      </c>
      <c r="E85" s="1">
        <v>-3166.85</v>
      </c>
      <c r="F85" s="1">
        <v>729.99</v>
      </c>
      <c r="G85" s="1">
        <v>6843.05</v>
      </c>
      <c r="H85" s="1">
        <v>-3092</v>
      </c>
      <c r="I85" s="1">
        <v>13232.21</v>
      </c>
      <c r="J85" s="1">
        <v>6459</v>
      </c>
      <c r="K85" s="1">
        <v>-6272.06</v>
      </c>
    </row>
    <row r="86" spans="1:11" x14ac:dyDescent="0.35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35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35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35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35">
      <c r="A90" s="2" t="s">
        <v>52</v>
      </c>
      <c r="B90" s="1">
        <v>394.42</v>
      </c>
      <c r="C90" s="1">
        <v>544.37</v>
      </c>
      <c r="D90" s="1">
        <v>386.6</v>
      </c>
      <c r="E90" s="1">
        <v>465.85</v>
      </c>
      <c r="F90" s="1">
        <v>326.85000000000002</v>
      </c>
      <c r="G90" s="1">
        <v>174.25</v>
      </c>
      <c r="H90" s="1">
        <v>71.05</v>
      </c>
      <c r="I90" s="1">
        <v>301.8</v>
      </c>
      <c r="J90" s="1">
        <v>433.75</v>
      </c>
      <c r="K90" s="1">
        <v>420.8</v>
      </c>
    </row>
    <row r="92" spans="1:11" x14ac:dyDescent="0.35">
      <c r="A92" s="2" t="s">
        <v>53</v>
      </c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35">
      <c r="A93" s="3" t="s">
        <v>54</v>
      </c>
      <c r="B93" s="3">
        <v>288.74</v>
      </c>
      <c r="C93" s="3">
        <v>288.74</v>
      </c>
      <c r="D93" s="3">
        <v>288.72000000000003</v>
      </c>
      <c r="E93" s="3">
        <v>288.73</v>
      </c>
      <c r="F93" s="3">
        <v>288.73</v>
      </c>
      <c r="G93" s="3">
        <v>288.73</v>
      </c>
      <c r="H93" s="3">
        <v>308.89999999999998</v>
      </c>
      <c r="I93" s="3">
        <v>332.03</v>
      </c>
      <c r="J93" s="3">
        <v>332.07</v>
      </c>
      <c r="K93" s="3">
        <v>332.13</v>
      </c>
    </row>
  </sheetData>
  <mergeCells count="2">
    <mergeCell ref="E1:K1"/>
    <mergeCell ref="E2:K2"/>
  </mergeCells>
  <hyperlinks>
    <hyperlink ref="E1:K1" r:id="rId1" display="https://www.screener.in/excel/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HistoricalFS</vt:lpstr>
      <vt:lpstr>Ratio Analysis</vt:lpstr>
      <vt:lpstr>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Snehasish Ghosh</dc:creator>
  <cp:lastModifiedBy>Snehasish Ghosh</cp:lastModifiedBy>
  <dcterms:created xsi:type="dcterms:W3CDTF">2024-04-10T10:46:08Z</dcterms:created>
  <dcterms:modified xsi:type="dcterms:W3CDTF">2024-07-01T14:10:56Z</dcterms:modified>
</cp:coreProperties>
</file>