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4"/>
    <sheet state="visible" name="Weather" sheetId="2" r:id="rId5"/>
    <sheet state="visible" name="Team Avgs" sheetId="3" r:id="rId6"/>
    <sheet state="visible" name="Copy of Team" sheetId="4" r:id="rId7"/>
    <sheet state="visible" name="player Data Bat" sheetId="5" r:id="rId8"/>
    <sheet state="visible" name="player Data Bowl" sheetId="6" r:id="rId9"/>
    <sheet state="visible" name="WL Ratio Table" sheetId="7" r:id="rId10"/>
    <sheet state="visible" name="Batsman" sheetId="8" r:id="rId11"/>
    <sheet state="visible" name="Bowlers" sheetId="9" r:id="rId12"/>
    <sheet state="visible" name="Bowler_Avg" sheetId="10" r:id="rId13"/>
    <sheet state="visible" name="Stadium" sheetId="11" r:id="rId14"/>
    <sheet state="visible" name="Scratch" sheetId="12" r:id="rId15"/>
    <sheet state="visible" name="Random" sheetId="13" r:id="rId16"/>
  </sheets>
  <definedNames>
    <definedName hidden="1" localSheetId="0" name="_xlnm._FilterDatabase">Team!$A$1:$AU$203</definedName>
    <definedName hidden="1" localSheetId="6" name="_xlnm._FilterDatabase">'WL Ratio Table'!$A$34:$AA$63</definedName>
    <definedName hidden="1" localSheetId="3" name="Z_E6512F17_0A67_4DE3_B0F7_B55665D93D6C_.wvu.FilterData">'Copy of Team'!$A$1:$G$66</definedName>
    <definedName hidden="1" localSheetId="0" name="Z_A07EF3A1_82D5_4679_A5D0_73F8EDBB3883_.wvu.FilterData">Team!$A$1:$T$203</definedName>
    <definedName hidden="1" localSheetId="9" name="Z_A07EF3A1_82D5_4679_A5D0_73F8EDBB3883_.wvu.FilterData">Bowler_Avg!$A$1:$L$335</definedName>
    <definedName hidden="1" localSheetId="0" name="Z_26C562CA_5C7B_4B93_A386_66678C153D15_.wvu.FilterData">Team!$A$1:$R$203</definedName>
  </definedNames>
  <calcPr/>
  <customWorkbookViews>
    <customWorkbookView activeSheetId="0" maximized="1" windowHeight="0" windowWidth="0" guid="{26C562CA-5C7B-4B93-A386-66678C153D15}" name="Filter 2"/>
    <customWorkbookView activeSheetId="0" maximized="1" windowHeight="0" windowWidth="0" guid="{E6512F17-0A67-4DE3-B0F7-B55665D93D6C}" name="odi t20i"/>
    <customWorkbookView activeSheetId="0" maximized="1" windowHeight="0" windowWidth="0" guid="{A07EF3A1-82D5-4679-A5D0-73F8EDBB3883}" name="Filter 1"/>
  </customWorkbookViews>
  <extLst>
    <ext uri="GoogleSheetsCustomDataVersion2">
      <go:sheetsCustomData xmlns:go="http://customooxmlschemas.google.com/" r:id="rId17" roundtripDataChecksum="+LPd5/Z+pKSj3MRfGdhSELhPDDCc9tOjnDEzqZGh7ds="/>
    </ext>
  </extLst>
</workbook>
</file>

<file path=xl/sharedStrings.xml><?xml version="1.0" encoding="utf-8"?>
<sst xmlns="http://schemas.openxmlformats.org/spreadsheetml/2006/main" count="7450" uniqueCount="673">
  <si>
    <t>Team1</t>
  </si>
  <si>
    <t>Team2</t>
  </si>
  <si>
    <t>Date_of_Game</t>
  </si>
  <si>
    <t>Month</t>
  </si>
  <si>
    <t>Location</t>
  </si>
  <si>
    <t>Location_Country</t>
  </si>
  <si>
    <t>Team1_Win_Loss_Status</t>
  </si>
  <si>
    <t>Team2_Win_Loss_Status</t>
  </si>
  <si>
    <t>Team1 _Win_Loss_Ratio</t>
  </si>
  <si>
    <t>Team2 _Win_Loss_Ratio</t>
  </si>
  <si>
    <t>Format</t>
  </si>
  <si>
    <t>Team1_Score</t>
  </si>
  <si>
    <t>Team2_Score</t>
  </si>
  <si>
    <t>Winner</t>
  </si>
  <si>
    <t>Standardized_Wins_by_Runs_or_Wickets</t>
  </si>
  <si>
    <t>Team1_Odd_Oddsportal</t>
  </si>
  <si>
    <t>Team2_Odd_Oddsportal</t>
  </si>
  <si>
    <t>Team1_Team2_Avg_Odd</t>
  </si>
  <si>
    <t>Avg_Max_Temp</t>
  </si>
  <si>
    <t>Avg_Min_Temp</t>
  </si>
  <si>
    <t>Avg_Rain</t>
  </si>
  <si>
    <t>Team1_Bat_Avg</t>
  </si>
  <si>
    <t>Team1_Bat_Avg_SR</t>
  </si>
  <si>
    <t>Team1_Bowl_Avg_Econ</t>
  </si>
  <si>
    <t>Team1_Bowl_Avg_Wkt</t>
  </si>
  <si>
    <t>Team1_Bowl_Avg_SR</t>
  </si>
  <si>
    <t>Team2_Bat_Avg</t>
  </si>
  <si>
    <t>Team2_Bat_Avg_SR</t>
  </si>
  <si>
    <t>Team2_Bowl_Avg_Econ</t>
  </si>
  <si>
    <t>Team2_Bowl_Avg_Wkt</t>
  </si>
  <si>
    <t>Team2_Bowl_Avg_SR</t>
  </si>
  <si>
    <t>Team1_Odd_Predicted_RF</t>
  </si>
  <si>
    <t>Team2_Odd_Predicted_RF</t>
  </si>
  <si>
    <t>Team1_ML_Predicted_RF</t>
  </si>
  <si>
    <t>Team2_ML_Predicted_RF</t>
  </si>
  <si>
    <t>Team1and2_Spread_Predicted_RF</t>
  </si>
  <si>
    <t>Team1_Odd_Predicted_GB</t>
  </si>
  <si>
    <t>Team2_Odd_Predicted_GB</t>
  </si>
  <si>
    <t>Team1_ML_Predicted_GB</t>
  </si>
  <si>
    <t>Team2_ML_Predicted_GB</t>
  </si>
  <si>
    <t>Team1and2_Spread_Predicted_GB</t>
  </si>
  <si>
    <t>Team1_Odd_Predicted_XGB</t>
  </si>
  <si>
    <t>Team2_Odd_Predicted_XGB</t>
  </si>
  <si>
    <t>Team1_ML_Predicted_XGB</t>
  </si>
  <si>
    <t>Team2_ML_Predicted_XGB</t>
  </si>
  <si>
    <t>Team1and2_Spread_Predicted_XGB</t>
  </si>
  <si>
    <t>Team1_Over_Under</t>
  </si>
  <si>
    <t>India</t>
  </si>
  <si>
    <t>Australia</t>
  </si>
  <si>
    <t>Nov</t>
  </si>
  <si>
    <t>Ahmedabad</t>
  </si>
  <si>
    <t>L</t>
  </si>
  <si>
    <t>W</t>
  </si>
  <si>
    <t>ODI</t>
  </si>
  <si>
    <t>South Africa</t>
  </si>
  <si>
    <t>Lucknow</t>
  </si>
  <si>
    <t>New Zealand</t>
  </si>
  <si>
    <t>Mumbai</t>
  </si>
  <si>
    <t>England</t>
  </si>
  <si>
    <t>Pakistan</t>
  </si>
  <si>
    <t>Kolkata</t>
  </si>
  <si>
    <t>Bangladesh</t>
  </si>
  <si>
    <t>Sri Lanka</t>
  </si>
  <si>
    <t>Bangalore</t>
  </si>
  <si>
    <t>Oct</t>
  </si>
  <si>
    <t>Dharamshala</t>
  </si>
  <si>
    <t>Chennai</t>
  </si>
  <si>
    <t>Hyderabad</t>
  </si>
  <si>
    <t>New Delhi</t>
  </si>
  <si>
    <t>Guwahati</t>
  </si>
  <si>
    <t>Sep</t>
  </si>
  <si>
    <t>Nottingham</t>
  </si>
  <si>
    <t>T20I</t>
  </si>
  <si>
    <t>Durban</t>
  </si>
  <si>
    <t>Birmingham</t>
  </si>
  <si>
    <t>Manchester</t>
  </si>
  <si>
    <t>Aug</t>
  </si>
  <si>
    <t>Chester Le Street</t>
  </si>
  <si>
    <t>Apr</t>
  </si>
  <si>
    <t>Rawalpindi</t>
  </si>
  <si>
    <t>Lahore</t>
  </si>
  <si>
    <t>Queenstown</t>
  </si>
  <si>
    <t>Dunedin</t>
  </si>
  <si>
    <t>Mar</t>
  </si>
  <si>
    <t>Dhaka</t>
  </si>
  <si>
    <t>Chattogram</t>
  </si>
  <si>
    <t>Feb</t>
  </si>
  <si>
    <t>Jan</t>
  </si>
  <si>
    <t>Ranchi</t>
  </si>
  <si>
    <t>Rajkot</t>
  </si>
  <si>
    <t>Pune</t>
  </si>
  <si>
    <t>Thiruvananthapuram</t>
  </si>
  <si>
    <t>Melbourne</t>
  </si>
  <si>
    <t>Adelaide</t>
  </si>
  <si>
    <t>Sydney</t>
  </si>
  <si>
    <t>Brisbane</t>
  </si>
  <si>
    <t>Perth</t>
  </si>
  <si>
    <t>Canberra</t>
  </si>
  <si>
    <t>Indore</t>
  </si>
  <si>
    <t>Karachi</t>
  </si>
  <si>
    <t>Nagpur</t>
  </si>
  <si>
    <t>Mohali</t>
  </si>
  <si>
    <t>Jul</t>
  </si>
  <si>
    <t>Southhampton</t>
  </si>
  <si>
    <t>Cardiff</t>
  </si>
  <si>
    <t>Bristol</t>
  </si>
  <si>
    <t>Jun</t>
  </si>
  <si>
    <t>Visakhapatnam</t>
  </si>
  <si>
    <t>Cuttack</t>
  </si>
  <si>
    <t>Pallekele</t>
  </si>
  <si>
    <t>Colombo</t>
  </si>
  <si>
    <t>Dubai</t>
  </si>
  <si>
    <t>Abu Dhabi</t>
  </si>
  <si>
    <t>Sharjah</t>
  </si>
  <si>
    <t>Jaipur</t>
  </si>
  <si>
    <t>Leeds</t>
  </si>
  <si>
    <t>Southampton</t>
  </si>
  <si>
    <t>Centurion</t>
  </si>
  <si>
    <t>Sandton</t>
  </si>
  <si>
    <t>Auckland</t>
  </si>
  <si>
    <t>Napier</t>
  </si>
  <si>
    <t>Hamilton</t>
  </si>
  <si>
    <t>Wellington</t>
  </si>
  <si>
    <t>Dec</t>
  </si>
  <si>
    <t>Griffith</t>
  </si>
  <si>
    <t>Cape Town</t>
  </si>
  <si>
    <t>Paarl</t>
  </si>
  <si>
    <t>Gqeberha</t>
  </si>
  <si>
    <t>East London</t>
  </si>
  <si>
    <t>Mount Maunganui</t>
  </si>
  <si>
    <t>Country</t>
  </si>
  <si>
    <t>Name</t>
  </si>
  <si>
    <t>May</t>
  </si>
  <si>
    <t>Wales</t>
  </si>
  <si>
    <t>United Arab Emirates</t>
  </si>
  <si>
    <t>Wins</t>
  </si>
  <si>
    <t>Loses</t>
  </si>
  <si>
    <t>W/L Ratio</t>
  </si>
  <si>
    <t>Team_Bat_Avg</t>
  </si>
  <si>
    <t>Team_Bat_Avg_SR</t>
  </si>
  <si>
    <t>Team_Bowl_Avg_Econ</t>
  </si>
  <si>
    <t>Team_Bowl_Avg_Wkt</t>
  </si>
  <si>
    <t>Team_Bowl_Avg_SR</t>
  </si>
  <si>
    <t>Team_1</t>
  </si>
  <si>
    <t>Team_2</t>
  </si>
  <si>
    <t>Team_1_Score</t>
  </si>
  <si>
    <t>Team_2_Score</t>
  </si>
  <si>
    <t>Won_By_Runs</t>
  </si>
  <si>
    <t>Won_By_Wickets</t>
  </si>
  <si>
    <t>Team</t>
  </si>
  <si>
    <t>M</t>
  </si>
  <si>
    <t>Inn</t>
  </si>
  <si>
    <t>NO</t>
  </si>
  <si>
    <t>Runs</t>
  </si>
  <si>
    <t>HS</t>
  </si>
  <si>
    <t>Avg</t>
  </si>
  <si>
    <t>BF</t>
  </si>
  <si>
    <t>SR</t>
  </si>
  <si>
    <t>4s</t>
  </si>
  <si>
    <t>6s</t>
  </si>
  <si>
    <t>Batsman_Avg_Run</t>
  </si>
  <si>
    <t>Batsman_Avg_SR</t>
  </si>
  <si>
    <t>Rohit Sharma</t>
  </si>
  <si>
    <t>shubman Gill</t>
  </si>
  <si>
    <t>Virat Kohli</t>
  </si>
  <si>
    <t>Shreyas Iyer</t>
  </si>
  <si>
    <t>Suryakumar Yadav</t>
  </si>
  <si>
    <t>Hardik Pandya</t>
  </si>
  <si>
    <t>Ravindra Jadeja</t>
  </si>
  <si>
    <t>Ravinchandran Ashwin</t>
  </si>
  <si>
    <t>KL Rahul</t>
  </si>
  <si>
    <t>Ishan Kishan</t>
  </si>
  <si>
    <t>shardul Thakur</t>
  </si>
  <si>
    <t>Jasprit Bumrah</t>
  </si>
  <si>
    <t>Kuldeep Yadav</t>
  </si>
  <si>
    <t>Mohammed Shami</t>
  </si>
  <si>
    <t>Mohammed Sirag</t>
  </si>
  <si>
    <t>Prasidh Krishna</t>
  </si>
  <si>
    <t>Temba Bavuma</t>
  </si>
  <si>
    <t>Reeza Hendricks</t>
  </si>
  <si>
    <t>aiden-markram</t>
  </si>
  <si>
    <t>48 ODI</t>
  </si>
  <si>
    <t>david-miller</t>
  </si>
  <si>
    <t>rassie-van-der-dussen</t>
  </si>
  <si>
    <t>40 ODI</t>
  </si>
  <si>
    <t>marco-jansen</t>
  </si>
  <si>
    <t>20 ODI</t>
  </si>
  <si>
    <t>andile-phehlukwayo</t>
  </si>
  <si>
    <t>31 ODI</t>
  </si>
  <si>
    <t>quinton-de-kock</t>
  </si>
  <si>
    <t>115 ODI</t>
  </si>
  <si>
    <t>heinrich-klaasen</t>
  </si>
  <si>
    <t>58 ODI</t>
  </si>
  <si>
    <t>gerald-coetzee</t>
  </si>
  <si>
    <t>1 ODI</t>
  </si>
  <si>
    <t>keshav-maharaj</t>
  </si>
  <si>
    <t>2 ODI</t>
  </si>
  <si>
    <t>lungi-ngidi</t>
  </si>
  <si>
    <t>5 ODI</t>
  </si>
  <si>
    <t>kagiso-rabada</t>
  </si>
  <si>
    <t>10 ODI</t>
  </si>
  <si>
    <t>tabraiz-shamsi</t>
  </si>
  <si>
    <t>0 ODI</t>
  </si>
  <si>
    <t>lizaad-williams</t>
  </si>
  <si>
    <t>-</t>
  </si>
  <si>
    <t>- ODI</t>
  </si>
  <si>
    <t>steven-smith</t>
  </si>
  <si>
    <t>50 ODI</t>
  </si>
  <si>
    <t>travis-head</t>
  </si>
  <si>
    <t>47 ODI</t>
  </si>
  <si>
    <t>david-warner</t>
  </si>
  <si>
    <t>126 ODI</t>
  </si>
  <si>
    <t>marnus-labuschagne</t>
  </si>
  <si>
    <t>6 ODI</t>
  </si>
  <si>
    <t>cameron-green</t>
  </si>
  <si>
    <t>9 ODI</t>
  </si>
  <si>
    <t>mitchell-marsh</t>
  </si>
  <si>
    <t>79 ODI</t>
  </si>
  <si>
    <t>glenn-maxwell</t>
  </si>
  <si>
    <t>150 ODI</t>
  </si>
  <si>
    <t>marcus-stoinis</t>
  </si>
  <si>
    <t>sean-abbott</t>
  </si>
  <si>
    <t>alex-carey</t>
  </si>
  <si>
    <t>18 ODI</t>
  </si>
  <si>
    <t>josh-inglis</t>
  </si>
  <si>
    <t>pat-cummins</t>
  </si>
  <si>
    <t>11 ODI</t>
  </si>
  <si>
    <t>josh-hazlewood</t>
  </si>
  <si>
    <t>3 ODI</t>
  </si>
  <si>
    <t>adam-zampa</t>
  </si>
  <si>
    <t>mitchell-starc</t>
  </si>
  <si>
    <t>14 ODI</t>
  </si>
  <si>
    <t>kane-williamson</t>
  </si>
  <si>
    <t>54 ODI</t>
  </si>
  <si>
    <t>mark-chapman</t>
  </si>
  <si>
    <t>glenn-phillips</t>
  </si>
  <si>
    <t>28 ODI</t>
  </si>
  <si>
    <t>will-young</t>
  </si>
  <si>
    <t>daryl-mitchell</t>
  </si>
  <si>
    <t>35 ODI</t>
  </si>
  <si>
    <t>james-neesham</t>
  </si>
  <si>
    <t>38 ODI</t>
  </si>
  <si>
    <t>rachin-ravindra</t>
  </si>
  <si>
    <t>19 ODI</t>
  </si>
  <si>
    <t>mitchell-santner</t>
  </si>
  <si>
    <t>devon-conway</t>
  </si>
  <si>
    <t>16 ODI</t>
  </si>
  <si>
    <t>tom-latham</t>
  </si>
  <si>
    <t>53 ODI</t>
  </si>
  <si>
    <t>trent-boult</t>
  </si>
  <si>
    <t>7 ODI</t>
  </si>
  <si>
    <t>lockie-ferguson</t>
  </si>
  <si>
    <t>matt-henry</t>
  </si>
  <si>
    <t>ish-sodhi</t>
  </si>
  <si>
    <t>tim-southee</t>
  </si>
  <si>
    <t>26 ODI</t>
  </si>
  <si>
    <t>harry-brook</t>
  </si>
  <si>
    <t>dawid-malan</t>
  </si>
  <si>
    <t>30 ODI</t>
  </si>
  <si>
    <t>joe-root</t>
  </si>
  <si>
    <t>49 ODI</t>
  </si>
  <si>
    <t>moeen-ali</t>
  </si>
  <si>
    <t>77 ODI</t>
  </si>
  <si>
    <t>liam-livingstone</t>
  </si>
  <si>
    <t>22 ODI</t>
  </si>
  <si>
    <t>ben-stokes</t>
  </si>
  <si>
    <t>101 ODI</t>
  </si>
  <si>
    <t>sam-curran</t>
  </si>
  <si>
    <t>david-willey</t>
  </si>
  <si>
    <t>chris-woakes</t>
  </si>
  <si>
    <t>jos-buttler</t>
  </si>
  <si>
    <t>166 ODI</t>
  </si>
  <si>
    <t>jonny-bairstow</t>
  </si>
  <si>
    <t>91 ODI</t>
  </si>
  <si>
    <t>gus-atkinson</t>
  </si>
  <si>
    <t>adil-rashid</t>
  </si>
  <si>
    <t>12 ODI</t>
  </si>
  <si>
    <t>mark-wood</t>
  </si>
  <si>
    <t>brydon-carse</t>
  </si>
  <si>
    <t>babar-azam</t>
  </si>
  <si>
    <t>60 ODI</t>
  </si>
  <si>
    <t>abdullah-shafique</t>
  </si>
  <si>
    <t>fakhar-zaman</t>
  </si>
  <si>
    <t>74 ODI</t>
  </si>
  <si>
    <t>imam-ul-haq</t>
  </si>
  <si>
    <t>iftikhar-ahmed</t>
  </si>
  <si>
    <t>agha-salman</t>
  </si>
  <si>
    <t>8 ODI</t>
  </si>
  <si>
    <t>saud-shakeel</t>
  </si>
  <si>
    <t>shadab-khan</t>
  </si>
  <si>
    <t>mohammad-nawaz</t>
  </si>
  <si>
    <t>mohammad-rizwan</t>
  </si>
  <si>
    <t>21 ODI</t>
  </si>
  <si>
    <t>haris-rauf</t>
  </si>
  <si>
    <t>hasan-ali</t>
  </si>
  <si>
    <t>24 ODI</t>
  </si>
  <si>
    <t>mohammad-wasim-jr</t>
  </si>
  <si>
    <t>4 ODI</t>
  </si>
  <si>
    <t>shaheen-afridi</t>
  </si>
  <si>
    <t>usama-mir</t>
  </si>
  <si>
    <t>pathum-nissanka</t>
  </si>
  <si>
    <t>dimuth-karunaratne</t>
  </si>
  <si>
    <t>charith-asalanka</t>
  </si>
  <si>
    <t>33 ODI</t>
  </si>
  <si>
    <t>dhananjaya-de-silva</t>
  </si>
  <si>
    <t>angelo-mathews</t>
  </si>
  <si>
    <t>90 ODI</t>
  </si>
  <si>
    <t>dushan-hemantha</t>
  </si>
  <si>
    <t>dunith-wellalage</t>
  </si>
  <si>
    <t>chamika-karunaratne</t>
  </si>
  <si>
    <t>kusal-mendis</t>
  </si>
  <si>
    <t>62 ODI</t>
  </si>
  <si>
    <t>kusal-perera</t>
  </si>
  <si>
    <t>sadeera-samarawickrama</t>
  </si>
  <si>
    <t>maheesh-theekshana</t>
  </si>
  <si>
    <t>kasun-rajitha</t>
  </si>
  <si>
    <t>lahiru-kumara</t>
  </si>
  <si>
    <t>dilshan-madushanka</t>
  </si>
  <si>
    <t>dushmantha-chameera</t>
  </si>
  <si>
    <t>najmul-hossain-shanto</t>
  </si>
  <si>
    <t>towhid-hridoy</t>
  </si>
  <si>
    <t>tanzid-hasan</t>
  </si>
  <si>
    <t>shakib-al-hasan</t>
  </si>
  <si>
    <t>mahedi-hasan</t>
  </si>
  <si>
    <t>mahmudullah</t>
  </si>
  <si>
    <t>89 ODI</t>
  </si>
  <si>
    <t>mehidy-hasan-miraz</t>
  </si>
  <si>
    <t>mushfiqur-rahim</t>
  </si>
  <si>
    <t>98 ODI</t>
  </si>
  <si>
    <t>litton-das</t>
  </si>
  <si>
    <t>44 ODI</t>
  </si>
  <si>
    <t>anamul-haque</t>
  </si>
  <si>
    <t>27 ODI</t>
  </si>
  <si>
    <t>taskin-ahmed</t>
  </si>
  <si>
    <t>mustafizur-rahman</t>
  </si>
  <si>
    <t>hasan-mahmud</t>
  </si>
  <si>
    <t>shoriful-islam</t>
  </si>
  <si>
    <t>nasum-ahmed</t>
  </si>
  <si>
    <t>tanzim-hasan-sakib</t>
  </si>
  <si>
    <t>B</t>
  </si>
  <si>
    <t>Wkts</t>
  </si>
  <si>
    <t>BBI</t>
  </si>
  <si>
    <t>BBM</t>
  </si>
  <si>
    <t>Econ</t>
  </si>
  <si>
    <t>5W</t>
  </si>
  <si>
    <t>10W</t>
  </si>
  <si>
    <t>Bowler_Avg_Econ</t>
  </si>
  <si>
    <t>Bowler_Avg_Wkt</t>
  </si>
  <si>
    <t>Bowler_Avg_SR</t>
  </si>
  <si>
    <t>0/1</t>
  </si>
  <si>
    <t>5/33</t>
  </si>
  <si>
    <t>4/37</t>
  </si>
  <si>
    <t>0/22</t>
  </si>
  <si>
    <t>5/39</t>
  </si>
  <si>
    <t>0/14</t>
  </si>
  <si>
    <t>4/50</t>
  </si>
  <si>
    <t>4/33</t>
  </si>
  <si>
    <t>6/58</t>
  </si>
  <si>
    <t>5/49</t>
  </si>
  <si>
    <t>2/56</t>
  </si>
  <si>
    <t>0/8</t>
  </si>
  <si>
    <t>4/40</t>
  </si>
  <si>
    <t>5/70</t>
  </si>
  <si>
    <t>6/52</t>
  </si>
  <si>
    <t>5/35</t>
  </si>
  <si>
    <t>3/37</t>
  </si>
  <si>
    <t>4/60</t>
  </si>
  <si>
    <t>5/50</t>
  </si>
  <si>
    <t>7/34</t>
  </si>
  <si>
    <t>5/45</t>
  </si>
  <si>
    <t>6/39</t>
  </si>
  <si>
    <t>7/33</t>
  </si>
  <si>
    <t>3/52</t>
  </si>
  <si>
    <t>4/46</t>
  </si>
  <si>
    <t>5/61</t>
  </si>
  <si>
    <t>5/48</t>
  </si>
  <si>
    <t>6/45</t>
  </si>
  <si>
    <t>2/60</t>
  </si>
  <si>
    <t>5/40</t>
  </si>
  <si>
    <t>2/42</t>
  </si>
  <si>
    <t>5/34</t>
  </si>
  <si>
    <t>4/36</t>
  </si>
  <si>
    <t>6/35</t>
  </si>
  <si>
    <t>4/43</t>
  </si>
  <si>
    <t>3/32</t>
  </si>
  <si>
    <t>2/49</t>
  </si>
  <si>
    <t>0/13</t>
  </si>
  <si>
    <t>5/80</t>
  </si>
  <si>
    <t>4/71</t>
  </si>
  <si>
    <t>6/43</t>
  </si>
  <si>
    <t>5/32</t>
  </si>
  <si>
    <t>3/80</t>
  </si>
  <si>
    <t>https://www.espncricinfo.com/records/results-summary-283878</t>
  </si>
  <si>
    <t>Span</t>
  </si>
  <si>
    <t>Mat</t>
  </si>
  <si>
    <t>Won</t>
  </si>
  <si>
    <t>Lost</t>
  </si>
  <si>
    <t>Draw</t>
  </si>
  <si>
    <t>Tied</t>
  </si>
  <si>
    <t>Tie+W</t>
  </si>
  <si>
    <t>Tie+L</t>
  </si>
  <si>
    <t>NR</t>
  </si>
  <si>
    <t>W/L</t>
  </si>
  <si>
    <t>%W</t>
  </si>
  <si>
    <t>%L</t>
  </si>
  <si>
    <t>%D</t>
  </si>
  <si>
    <t>Result %</t>
  </si>
  <si>
    <t>Afghanistan</t>
  </si>
  <si>
    <t>2009-2023</t>
  </si>
  <si>
    <t>Africa XI</t>
  </si>
  <si>
    <t>2005-2007</t>
  </si>
  <si>
    <t>Asia XI</t>
  </si>
  <si>
    <t>1971-2023</t>
  </si>
  <si>
    <t>1986-2023</t>
  </si>
  <si>
    <t>Bermuda</t>
  </si>
  <si>
    <t>2006-2009</t>
  </si>
  <si>
    <t>Canada</t>
  </si>
  <si>
    <t>1979-2023</t>
  </si>
  <si>
    <t>East Africa</t>
  </si>
  <si>
    <t>1975-1975</t>
  </si>
  <si>
    <t>Hong Kong</t>
  </si>
  <si>
    <t>2004-2018</t>
  </si>
  <si>
    <t>ICC World XI</t>
  </si>
  <si>
    <t>2005-2005</t>
  </si>
  <si>
    <t>1974-2023</t>
  </si>
  <si>
    <t>Ireland</t>
  </si>
  <si>
    <t>2006-2023</t>
  </si>
  <si>
    <t>Jersey</t>
  </si>
  <si>
    <t>2023-2023</t>
  </si>
  <si>
    <t>Kenya</t>
  </si>
  <si>
    <t>1996-2014</t>
  </si>
  <si>
    <t>Namibia</t>
  </si>
  <si>
    <t>2003-2023</t>
  </si>
  <si>
    <t>Nepal</t>
  </si>
  <si>
    <t>2018-2023</t>
  </si>
  <si>
    <t>Netherlands</t>
  </si>
  <si>
    <t>1996-2023</t>
  </si>
  <si>
    <t>1973-2023</t>
  </si>
  <si>
    <t>Oman</t>
  </si>
  <si>
    <t>2019-2023</t>
  </si>
  <si>
    <t>Papua New Guinea</t>
  </si>
  <si>
    <t>2014-2023</t>
  </si>
  <si>
    <t>Scotland</t>
  </si>
  <si>
    <t>1999-2023</t>
  </si>
  <si>
    <t>1991-2023</t>
  </si>
  <si>
    <t>1975-2023</t>
  </si>
  <si>
    <t>1994-2023</t>
  </si>
  <si>
    <t>United States of America</t>
  </si>
  <si>
    <t>2004-2023</t>
  </si>
  <si>
    <t>West Indies</t>
  </si>
  <si>
    <t>Zimbabwe</t>
  </si>
  <si>
    <t>1983-2023</t>
  </si>
  <si>
    <t>https://www.icc-cricket.com/world-test-championship/tournament-stats/best-batting-strike-rate</t>
  </si>
  <si>
    <t>Avg Sr</t>
  </si>
  <si>
    <t>sr</t>
  </si>
  <si>
    <t>match</t>
  </si>
  <si>
    <t>inn</t>
  </si>
  <si>
    <t>runs</t>
  </si>
  <si>
    <t>Jhye Richardson AUS</t>
  </si>
  <si>
    <t>Travis Head</t>
  </si>
  <si>
    <t>AUS</t>
  </si>
  <si>
    <t>Michael Neser</t>
  </si>
  <si>
    <t>Nathan Lyon</t>
  </si>
  <si>
    <t>Pat Cummins</t>
  </si>
  <si>
    <t>https://www.cricbuzz.com/cricket-series/6732/icc-cricket-world-cup-2023/squads</t>
  </si>
  <si>
    <t>batting</t>
  </si>
  <si>
    <t>bowling</t>
  </si>
  <si>
    <t>avg runs per over</t>
  </si>
  <si>
    <t>avg runs allowed/wkt</t>
  </si>
  <si>
    <t>bowled balls/wkt</t>
  </si>
  <si>
    <t>Aiden Markram</t>
  </si>
  <si>
    <t>Score</t>
  </si>
  <si>
    <t>Playing Against</t>
  </si>
  <si>
    <t xml:space="preserve">Sri Lanka </t>
  </si>
  <si>
    <t>Surya Kumar Yadav</t>
  </si>
  <si>
    <t>Mohammad Rizwan</t>
  </si>
  <si>
    <t>Shan Masood</t>
  </si>
  <si>
    <t>Babar Azam</t>
  </si>
  <si>
    <t>Iftikhar Ahmed</t>
  </si>
  <si>
    <t>Shadab Khan</t>
  </si>
  <si>
    <t>Rilee Rossouw</t>
  </si>
  <si>
    <t>Quinton de Kock</t>
  </si>
  <si>
    <t>David Miller</t>
  </si>
  <si>
    <t>Marcus Stoinis</t>
  </si>
  <si>
    <t>Glenn Maxwell</t>
  </si>
  <si>
    <t>Aaron Finch</t>
  </si>
  <si>
    <t>Mitch Marsh</t>
  </si>
  <si>
    <t>David Warner</t>
  </si>
  <si>
    <t>Glenn Phillips</t>
  </si>
  <si>
    <t>Kane Williamson</t>
  </si>
  <si>
    <t>Devon Conway</t>
  </si>
  <si>
    <t>Daryl Mitchell</t>
  </si>
  <si>
    <t>Finn Allen</t>
  </si>
  <si>
    <t>Jos Buttler</t>
  </si>
  <si>
    <t>Alex Hales</t>
  </si>
  <si>
    <t>Ben Stokes</t>
  </si>
  <si>
    <t>Moeen Ali</t>
  </si>
  <si>
    <t>Dawid Malan</t>
  </si>
  <si>
    <t>Kusal Mendis</t>
  </si>
  <si>
    <t>Pathum Nissanka</t>
  </si>
  <si>
    <t>Dhananjaya de Silva</t>
  </si>
  <si>
    <t>Charith Asalanka</t>
  </si>
  <si>
    <t>Bhanuka Rajapaksa</t>
  </si>
  <si>
    <t>Najmul Hossain Shanto</t>
  </si>
  <si>
    <t>Litton Das</t>
  </si>
  <si>
    <t>Afif Hossain</t>
  </si>
  <si>
    <t>Soumya Sarkar</t>
  </si>
  <si>
    <t>Shakib Al Hasan</t>
  </si>
  <si>
    <t>Bowler_Name</t>
  </si>
  <si>
    <t>Played_Against</t>
  </si>
  <si>
    <t>Overs_Bowled</t>
  </si>
  <si>
    <t>Runs_Allowed</t>
  </si>
  <si>
    <t>Wickets_Taken</t>
  </si>
  <si>
    <t>Bowling_Economy</t>
  </si>
  <si>
    <t>Allowed_0s</t>
  </si>
  <si>
    <t>Allowed_4s</t>
  </si>
  <si>
    <t>Allowed_6s</t>
  </si>
  <si>
    <t>Allowed_WD</t>
  </si>
  <si>
    <t>Allowed_NB</t>
  </si>
  <si>
    <t>Shivam Mavi</t>
  </si>
  <si>
    <t>Umran Malik</t>
  </si>
  <si>
    <t>Yuzvendra Chahal</t>
  </si>
  <si>
    <t>Harshal Patel</t>
  </si>
  <si>
    <t>Axar Patel</t>
  </si>
  <si>
    <t>Kasun Rajitha</t>
  </si>
  <si>
    <t>Dilshan Madushanka</t>
  </si>
  <si>
    <t>Maheesh Theekshana</t>
  </si>
  <si>
    <t>Chamika Karunaratne</t>
  </si>
  <si>
    <t>Wanindu Hasaranga</t>
  </si>
  <si>
    <t>Arshdeep Singh</t>
  </si>
  <si>
    <t>Dasun Shanaka</t>
  </si>
  <si>
    <t>Washington Sundar</t>
  </si>
  <si>
    <t>Deepak Hooda</t>
  </si>
  <si>
    <t>Jacob Duffy</t>
  </si>
  <si>
    <t>Michael Bracewell</t>
  </si>
  <si>
    <t>Mitchell Santner</t>
  </si>
  <si>
    <t>Lockie Ferguson</t>
  </si>
  <si>
    <t>Ish Sodhi</t>
  </si>
  <si>
    <t>Blair Tickner</t>
  </si>
  <si>
    <t>Mark Chapman</t>
  </si>
  <si>
    <t>Ben Lister</t>
  </si>
  <si>
    <t>Nasum Ahmed</t>
  </si>
  <si>
    <t>Taskin Ahmed</t>
  </si>
  <si>
    <t>Mustafizur Rahman</t>
  </si>
  <si>
    <t>Hasan Mahmud</t>
  </si>
  <si>
    <t>Sam Curran</t>
  </si>
  <si>
    <t>Chris Woakes</t>
  </si>
  <si>
    <t>Jofra Archer</t>
  </si>
  <si>
    <t>Adil Rashid</t>
  </si>
  <si>
    <t>Mark Wood</t>
  </si>
  <si>
    <t>Chris Jordan</t>
  </si>
  <si>
    <t>Mehidy Hasan Miraz</t>
  </si>
  <si>
    <t>Rehan Ahmed</t>
  </si>
  <si>
    <t>Shaheen Shah Afridi</t>
  </si>
  <si>
    <t>Zaman Khan</t>
  </si>
  <si>
    <t>Imad Wasim</t>
  </si>
  <si>
    <t>Haris Rauf</t>
  </si>
  <si>
    <t>Faheem Ashraf</t>
  </si>
  <si>
    <t>Adam Milne</t>
  </si>
  <si>
    <t>Rachin Ravindra</t>
  </si>
  <si>
    <t>Henry Shipley</t>
  </si>
  <si>
    <t>James Neesham</t>
  </si>
  <si>
    <t>Ihsanullah</t>
  </si>
  <si>
    <t>Luke Wood</t>
  </si>
  <si>
    <t>Brydon Carse</t>
  </si>
  <si>
    <t>Liam Livingstone</t>
  </si>
  <si>
    <t>Tim Southee</t>
  </si>
  <si>
    <t>Gus Atkinson</t>
  </si>
  <si>
    <t>Will Jacks</t>
  </si>
  <si>
    <t>Matt Henry</t>
  </si>
  <si>
    <t>Kyle Jamieson</t>
  </si>
  <si>
    <t>Dushmantha Chameera</t>
  </si>
  <si>
    <t xml:space="preserve">Australia </t>
  </si>
  <si>
    <t>Binura Fernando</t>
  </si>
  <si>
    <t>Mitchell Starc</t>
  </si>
  <si>
    <t>Josh Hazlewood</t>
  </si>
  <si>
    <t>Adam Zampa</t>
  </si>
  <si>
    <t>Nuwan Thushara</t>
  </si>
  <si>
    <t>Kane Richardson</t>
  </si>
  <si>
    <t>Daniel Sams</t>
  </si>
  <si>
    <t>Ashton Agar</t>
  </si>
  <si>
    <t>Jeffrey Vandersay</t>
  </si>
  <si>
    <t>Kagiso Rabada</t>
  </si>
  <si>
    <t>Wayne Parnell</t>
  </si>
  <si>
    <t>Anrich Nortje</t>
  </si>
  <si>
    <t>Dwaine Pretorius</t>
  </si>
  <si>
    <t>Tabraiz Shamsi</t>
  </si>
  <si>
    <t>Keshav Maharaj</t>
  </si>
  <si>
    <t>Bhuvneshwar Kumar</t>
  </si>
  <si>
    <t>Avesh Khan</t>
  </si>
  <si>
    <t>Mitchell Marsh</t>
  </si>
  <si>
    <t>Ben Dwarshuis</t>
  </si>
  <si>
    <t>Sean Abbott</t>
  </si>
  <si>
    <t>Nathan Ellis</t>
  </si>
  <si>
    <t>Cameron Green</t>
  </si>
  <si>
    <t>Hasan Ali</t>
  </si>
  <si>
    <t>Usman Qadir</t>
  </si>
  <si>
    <t>Khushdil Shah</t>
  </si>
  <si>
    <t>Mohammad Wasim</t>
  </si>
  <si>
    <t>Jhye Richardson</t>
  </si>
  <si>
    <t>Danushka Gunathilaka</t>
  </si>
  <si>
    <t>Praveen Jayawickrama</t>
  </si>
  <si>
    <t>Marco Jansen</t>
  </si>
  <si>
    <t>Lungi Ngidi</t>
  </si>
  <si>
    <t>Reece Topley</t>
  </si>
  <si>
    <t>Tymal Mills</t>
  </si>
  <si>
    <t>Matt Parkinson</t>
  </si>
  <si>
    <t>David Willey</t>
  </si>
  <si>
    <t>Richard Gleeson</t>
  </si>
  <si>
    <t>Ravi Bishnoi</t>
  </si>
  <si>
    <t>Andile Phehlukwayo</t>
  </si>
  <si>
    <t>Tristan Stubbs</t>
  </si>
  <si>
    <t>Umesh Yadav</t>
  </si>
  <si>
    <t>Naseem Shah</t>
  </si>
  <si>
    <t>Mohammad Nawaz</t>
  </si>
  <si>
    <t>Shahnawaz Dahani</t>
  </si>
  <si>
    <t>Mohammad Hasnain</t>
  </si>
  <si>
    <t>Liam Dawson</t>
  </si>
  <si>
    <t>avg Overs_Bowled</t>
  </si>
  <si>
    <t>avg Bowling_Economy</t>
  </si>
  <si>
    <t>avg Allowed_0s</t>
  </si>
  <si>
    <t>avg Allowed_4s</t>
  </si>
  <si>
    <t>avg Allowed_6s</t>
  </si>
  <si>
    <t>avg Allowed_WD</t>
  </si>
  <si>
    <t>avg Allowed_NB</t>
  </si>
  <si>
    <t>City</t>
  </si>
  <si>
    <t>2019 Betting Data</t>
  </si>
  <si>
    <t>2019 Team Data</t>
  </si>
  <si>
    <t>2019 Player Data</t>
  </si>
  <si>
    <t>Weather</t>
  </si>
  <si>
    <t>Team_1_Odd</t>
  </si>
  <si>
    <t>Team_2_Odd</t>
  </si>
  <si>
    <t>Moneyline</t>
  </si>
  <si>
    <t>Game_Status</t>
  </si>
  <si>
    <t>Position</t>
  </si>
  <si>
    <t>2019_Batting_Score</t>
  </si>
  <si>
    <t>2019_6s</t>
  </si>
  <si>
    <t>2019_4s</t>
  </si>
  <si>
    <t>2019_Batting_Strike_Rate</t>
  </si>
  <si>
    <t>2019_Wikets_Taken</t>
  </si>
  <si>
    <t>2019_Overs_Bowled</t>
  </si>
  <si>
    <t>2019_Runs_Allowed</t>
  </si>
  <si>
    <t>2019_Bowling_Strike_Rate</t>
  </si>
  <si>
    <t>Team1_Spread_Predicted_RF</t>
  </si>
  <si>
    <t>Team1_Spread_Predicted_GB</t>
  </si>
  <si>
    <t>Team1_Spread_Predicted_XGB</t>
  </si>
  <si>
    <t>For final report</t>
  </si>
  <si>
    <t>Model</t>
  </si>
  <si>
    <t>Accuracy</t>
  </si>
  <si>
    <t>Random Forest</t>
  </si>
  <si>
    <t>Logistic Regression</t>
  </si>
  <si>
    <t>Decision Tree</t>
  </si>
  <si>
    <t>Gradient Boost</t>
  </si>
  <si>
    <t>XGBoost</t>
  </si>
  <si>
    <t>Date</t>
  </si>
  <si>
    <t>Opponent</t>
  </si>
  <si>
    <t>Predicted Winner</t>
  </si>
  <si>
    <t>Real Winner</t>
  </si>
  <si>
    <t>Moneyline Bet on Winner</t>
  </si>
  <si>
    <t>Payout on Moneyline Bet</t>
  </si>
  <si>
    <t>Prediction Accuracy</t>
  </si>
  <si>
    <t>Prediction Failure</t>
  </si>
  <si>
    <t>Total</t>
  </si>
  <si>
    <t>Team Runs</t>
  </si>
  <si>
    <t>Opponent Runs</t>
  </si>
  <si>
    <t>Real Spread</t>
  </si>
  <si>
    <t>Predicted Spread</t>
  </si>
  <si>
    <t>Spread Bet</t>
  </si>
  <si>
    <t>Payout on Spread Bet</t>
  </si>
  <si>
    <t>Predicted Over/Under</t>
  </si>
  <si>
    <t>Over/Under Bet on Under</t>
  </si>
  <si>
    <t>Payout on Over/Under Bet</t>
  </si>
  <si>
    <t>Filter_AMT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</si>
</sst>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mm/dd/yyyy"/>
    <numFmt numFmtId="166" formatCode="m/d/yyyy"/>
    <numFmt numFmtId="167" formatCode="0.000"/>
    <numFmt numFmtId="168" formatCode="m&quot;/&quot;d&quot;/&quot;yyyy"/>
    <numFmt numFmtId="169" formatCode="m/d"/>
    <numFmt numFmtId="170" formatCode="&quot;$&quot;#,##0"/>
  </numFmts>
  <fonts count="38">
    <font>
      <sz val="10.0"/>
      <color rgb="FF000000"/>
      <name val="Arial"/>
      <scheme val="minor"/>
    </font>
    <font>
      <b/>
      <color theme="1"/>
      <name val="Arial"/>
    </font>
    <font>
      <b/>
      <sz val="10.0"/>
      <color theme="1"/>
      <name val="Arial"/>
    </font>
    <font>
      <b/>
      <sz val="11.0"/>
      <color rgb="FF212121"/>
      <name val="Arial"/>
    </font>
    <font>
      <sz val="11.0"/>
      <color rgb="FF212121"/>
      <name val="Monospace"/>
    </font>
    <font>
      <color theme="1"/>
      <name val="Arial"/>
    </font>
    <font>
      <sz val="9.0"/>
      <color rgb="FF000000"/>
      <name val="Arial"/>
    </font>
    <font>
      <color rgb="FF1F1F1F"/>
      <name val="Arial"/>
    </font>
    <font>
      <b/>
      <sz val="10.0"/>
      <color rgb="FF222222"/>
      <name val="Helvetica Neue"/>
    </font>
    <font>
      <sz val="11.0"/>
      <color rgb="FF222222"/>
      <name val="Helvetica Neue"/>
    </font>
    <font>
      <color rgb="FF222222"/>
      <name val="Helvetica Neue"/>
    </font>
    <font>
      <sz val="11.0"/>
      <color rgb="FF222222"/>
      <name val="Arial"/>
    </font>
    <font>
      <u/>
      <color rgb="FF0000FF"/>
    </font>
    <font>
      <color rgb="FF48494A"/>
      <name val="Bentonsans"/>
    </font>
    <font>
      <color rgb="FF48494A"/>
      <name val="Arial"/>
    </font>
    <font>
      <u/>
      <color rgb="FF0000FF"/>
      <name val="Bentonsans"/>
    </font>
    <font>
      <u/>
      <color rgb="FF0000FF"/>
      <name val="Bentonsans"/>
    </font>
    <font>
      <color rgb="FFFFFFFF"/>
      <name val="Hind Siliguri"/>
    </font>
    <font/>
    <font>
      <color rgb="FFB1A79A"/>
      <name val="Hind Siliguri"/>
    </font>
    <font>
      <color rgb="FF2F2F2F"/>
      <name val="Hind Siliguri"/>
    </font>
    <font>
      <color rgb="FF000000"/>
      <name val="Hind Siliguri"/>
    </font>
    <font>
      <b/>
      <sz val="9.0"/>
      <color rgb="FF222222"/>
      <name val="Helvetica Neue"/>
    </font>
    <font>
      <b/>
      <sz val="11.0"/>
      <color rgb="FF222222"/>
      <name val="Helvetica Neue"/>
    </font>
    <font>
      <sz val="10.0"/>
      <color rgb="FF222222"/>
      <name val="Helvetica Neue"/>
    </font>
    <font>
      <b/>
      <sz val="12.0"/>
      <color theme="1"/>
      <name val="Calibri"/>
    </font>
    <font>
      <b/>
      <sz val="12.0"/>
      <color theme="1"/>
      <name val="Arial"/>
    </font>
    <font>
      <b/>
      <sz val="12.0"/>
      <color rgb="FF48494A"/>
      <name val="Arial"/>
    </font>
    <font>
      <sz val="10.0"/>
      <color theme="1"/>
      <name val="Arial"/>
    </font>
    <font>
      <sz val="10.0"/>
      <color rgb="FF48494A"/>
      <name val="Arial"/>
    </font>
    <font>
      <sz val="11.0"/>
      <color rgb="FF000000"/>
      <name val="Calibri"/>
    </font>
    <font>
      <sz val="14.0"/>
      <color theme="1"/>
      <name val="Arial"/>
    </font>
    <font>
      <sz val="10.0"/>
      <color rgb="FF000000"/>
      <name val="Arial"/>
    </font>
    <font>
      <sz val="12.0"/>
      <color theme="1"/>
      <name val="Arial"/>
    </font>
    <font>
      <sz val="11.0"/>
      <color theme="1"/>
      <name val="Calibri"/>
    </font>
    <font>
      <color rgb="FF3B4852"/>
      <name val="Hind Siliguri"/>
    </font>
    <font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7F9FA"/>
        <bgColor rgb="FFF7F9FA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5">
    <border/>
    <border>
      <bottom style="thin">
        <color rgb="FF000000"/>
      </bottom>
    </border>
    <border>
      <bottom style="thin">
        <color rgb="FFF7F7F7"/>
      </bottom>
    </border>
    <border>
      <bottom style="thin">
        <color rgb="FFE6E9F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vertical="bottom"/>
    </xf>
    <xf borderId="0" fillId="2" fontId="1" numFmtId="164" xfId="0" applyFont="1" applyNumberFormat="1"/>
    <xf borderId="0" fillId="2" fontId="1" numFmtId="4" xfId="0" applyFont="1" applyNumberFormat="1"/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0" fontId="5" numFmtId="4" xfId="0" applyAlignment="1" applyFont="1" applyNumberFormat="1">
      <alignment vertical="bottom"/>
    </xf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6" xfId="0" applyAlignment="1" applyFont="1" applyNumberFormat="1">
      <alignment vertical="bottom"/>
    </xf>
    <xf borderId="0" fillId="0" fontId="5" numFmtId="167" xfId="0" applyAlignment="1" applyFont="1" applyNumberFormat="1">
      <alignment horizontal="right" vertical="bottom"/>
    </xf>
    <xf borderId="0" fillId="4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5" numFmtId="167" xfId="0" applyAlignment="1" applyFont="1" applyNumberFormat="1">
      <alignment readingOrder="0" vertical="bottom"/>
    </xf>
    <xf borderId="0" fillId="0" fontId="5" numFmtId="167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167" xfId="0" applyFont="1" applyNumberFormat="1"/>
    <xf borderId="0" fillId="0" fontId="5" numFmtId="0" xfId="0" applyFont="1"/>
    <xf borderId="0" fillId="0" fontId="5" numFmtId="168" xfId="0" applyFont="1" applyNumberFormat="1"/>
    <xf borderId="0" fillId="0" fontId="5" numFmtId="164" xfId="0" applyFont="1" applyNumberFormat="1"/>
    <xf borderId="0" fillId="0" fontId="5" numFmtId="4" xfId="0" applyFont="1" applyNumberFormat="1"/>
    <xf borderId="0" fillId="0" fontId="5" numFmtId="0" xfId="0" applyAlignment="1" applyFont="1">
      <alignment readingOrder="0"/>
    </xf>
    <xf borderId="0" fillId="0" fontId="5" numFmtId="166" xfId="0" applyFont="1" applyNumberFormat="1"/>
    <xf borderId="0" fillId="4" fontId="6" numFmtId="164" xfId="0" applyAlignment="1" applyFont="1" applyNumberFormat="1">
      <alignment horizontal="right"/>
    </xf>
    <xf borderId="0" fillId="0" fontId="5" numFmtId="165" xfId="0" applyFont="1" applyNumberFormat="1"/>
    <xf borderId="0" fillId="2" fontId="5" numFmtId="0" xfId="0" applyFont="1"/>
    <xf borderId="0" fillId="4" fontId="7" numFmtId="4" xfId="0" applyFont="1" applyNumberFormat="1"/>
    <xf borderId="0" fillId="4" fontId="7" numFmtId="0" xfId="0" applyFont="1"/>
    <xf borderId="0" fillId="0" fontId="1" numFmtId="0" xfId="0" applyFont="1"/>
    <xf borderId="0" fillId="3" fontId="8" numFmtId="0" xfId="0" applyAlignment="1" applyFont="1">
      <alignment horizontal="right" vertical="bottom"/>
    </xf>
    <xf borderId="0" fillId="4" fontId="9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169" xfId="0" applyAlignment="1" applyFont="1" applyNumberFormat="1">
      <alignment vertical="bottom"/>
    </xf>
    <xf borderId="0" fillId="0" fontId="5" numFmtId="169" xfId="0" applyAlignment="1" applyFont="1" applyNumberFormat="1">
      <alignment vertical="bottom"/>
    </xf>
    <xf borderId="0" fillId="4" fontId="10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4" fontId="9" numFmtId="167" xfId="0" applyAlignment="1" applyFont="1" applyNumberFormat="1">
      <alignment horizontal="right" vertical="bottom"/>
    </xf>
    <xf borderId="0" fillId="4" fontId="11" numFmtId="0" xfId="0" applyAlignment="1" applyFont="1">
      <alignment vertical="bottom"/>
    </xf>
    <xf borderId="0" fillId="4" fontId="9" numFmtId="169" xfId="0" applyAlignment="1" applyFont="1" applyNumberFormat="1">
      <alignment horizontal="right" vertical="bottom"/>
    </xf>
    <xf borderId="0" fillId="0" fontId="5" numFmtId="169" xfId="0" applyAlignment="1" applyFont="1" applyNumberFormat="1">
      <alignment horizontal="right" vertical="bottom"/>
    </xf>
    <xf borderId="0" fillId="0" fontId="12" numFmtId="0" xfId="0" applyFont="1"/>
    <xf borderId="0" fillId="4" fontId="13" numFmtId="0" xfId="0" applyAlignment="1" applyFont="1">
      <alignment horizontal="left"/>
    </xf>
    <xf borderId="0" fillId="4" fontId="13" numFmtId="0" xfId="0" applyAlignment="1" applyFont="1">
      <alignment horizontal="right"/>
    </xf>
    <xf borderId="0" fillId="4" fontId="14" numFmtId="0" xfId="0" applyAlignment="1" applyFont="1">
      <alignment horizontal="right"/>
    </xf>
    <xf borderId="1" fillId="4" fontId="15" numFmtId="0" xfId="0" applyBorder="1" applyFont="1"/>
    <xf borderId="1" fillId="4" fontId="13" numFmtId="0" xfId="0" applyAlignment="1" applyBorder="1" applyFont="1">
      <alignment horizontal="right"/>
    </xf>
    <xf borderId="0" fillId="4" fontId="16" numFmtId="0" xfId="0" applyFont="1"/>
    <xf borderId="2" fillId="5" fontId="17" numFmtId="0" xfId="0" applyAlignment="1" applyBorder="1" applyFill="1" applyFont="1">
      <alignment horizontal="left"/>
    </xf>
    <xf borderId="2" fillId="0" fontId="18" numFmtId="0" xfId="0" applyBorder="1" applyFont="1"/>
    <xf borderId="2" fillId="5" fontId="19" numFmtId="0" xfId="0" applyAlignment="1" applyBorder="1" applyFont="1">
      <alignment horizontal="center"/>
    </xf>
    <xf borderId="2" fillId="5" fontId="17" numFmtId="0" xfId="0" applyAlignment="1" applyBorder="1" applyFont="1">
      <alignment horizontal="center"/>
    </xf>
    <xf borderId="2" fillId="4" fontId="20" numFmtId="0" xfId="0" applyAlignment="1" applyBorder="1" applyFont="1">
      <alignment horizontal="left"/>
    </xf>
    <xf borderId="2" fillId="4" fontId="20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  <xf borderId="0" fillId="3" fontId="22" numFmtId="0" xfId="0" applyAlignment="1" applyFont="1">
      <alignment horizontal="right"/>
    </xf>
    <xf borderId="0" fillId="3" fontId="23" numFmtId="0" xfId="0" applyAlignment="1" applyFont="1">
      <alignment horizontal="right"/>
    </xf>
    <xf borderId="0" fillId="4" fontId="9" numFmtId="0" xfId="0" applyAlignment="1" applyFont="1">
      <alignment horizontal="right"/>
    </xf>
    <xf borderId="0" fillId="4" fontId="9" numFmtId="169" xfId="0" applyAlignment="1" applyFont="1" applyNumberFormat="1">
      <alignment horizontal="right"/>
    </xf>
    <xf borderId="0" fillId="4" fontId="24" numFmtId="0" xfId="0" applyFont="1"/>
    <xf borderId="0" fillId="6" fontId="25" numFmtId="0" xfId="0" applyAlignment="1" applyFill="1" applyFont="1">
      <alignment shrinkToFit="0" vertical="bottom" wrapText="0"/>
    </xf>
    <xf borderId="0" fillId="0" fontId="26" numFmtId="0" xfId="0" applyAlignment="1" applyFont="1">
      <alignment horizontal="center"/>
    </xf>
    <xf borderId="0" fillId="4" fontId="27" numFmtId="0" xfId="0" applyAlignment="1" applyFont="1">
      <alignment horizontal="center" shrinkToFit="0" wrapText="0"/>
    </xf>
    <xf borderId="3" fillId="0" fontId="21" numFmtId="0" xfId="0" applyAlignment="1" applyBorder="1" applyFont="1">
      <alignment horizontal="left"/>
    </xf>
    <xf borderId="0" fillId="6" fontId="28" numFmtId="0" xfId="0" applyAlignment="1" applyFont="1">
      <alignment shrinkToFit="0" vertical="bottom" wrapText="0"/>
    </xf>
    <xf borderId="0" fillId="0" fontId="28" numFmtId="0" xfId="0" applyFont="1"/>
    <xf borderId="0" fillId="4" fontId="29" numFmtId="0" xfId="0" applyAlignment="1" applyFont="1">
      <alignment horizontal="right" shrinkToFit="0" wrapText="0"/>
    </xf>
    <xf borderId="0" fillId="0" fontId="30" numFmtId="0" xfId="0" applyAlignment="1" applyFont="1">
      <alignment horizontal="right" shrinkToFit="0" vertical="bottom" wrapText="0"/>
    </xf>
    <xf borderId="3" fillId="7" fontId="21" numFmtId="0" xfId="0" applyAlignment="1" applyBorder="1" applyFill="1" applyFont="1">
      <alignment horizontal="left"/>
    </xf>
    <xf borderId="0" fillId="0" fontId="31" numFmtId="0" xfId="0" applyFont="1"/>
    <xf borderId="0" fillId="6" fontId="32" numFmtId="0" xfId="0" applyAlignment="1" applyFont="1">
      <alignment shrinkToFit="0" vertical="bottom" wrapText="0"/>
    </xf>
    <xf borderId="0" fillId="0" fontId="33" numFmtId="0" xfId="0" applyFont="1"/>
    <xf borderId="0" fillId="4" fontId="34" numFmtId="0" xfId="0" applyAlignment="1" applyFont="1">
      <alignment horizontal="right" shrinkToFit="0" wrapText="0"/>
    </xf>
    <xf borderId="0" fillId="8" fontId="1" numFmtId="0" xfId="0" applyAlignment="1" applyFill="1" applyFont="1">
      <alignment vertical="bottom"/>
    </xf>
    <xf borderId="0" fillId="8" fontId="1" numFmtId="4" xfId="0" applyAlignment="1" applyFont="1" applyNumberFormat="1">
      <alignment vertical="bottom"/>
    </xf>
    <xf borderId="0" fillId="0" fontId="34" numFmtId="4" xfId="0" applyAlignment="1" applyFont="1" applyNumberFormat="1">
      <alignment horizontal="right" vertical="bottom"/>
    </xf>
    <xf borderId="0" fillId="0" fontId="34" numFmtId="0" xfId="0" applyAlignment="1" applyFont="1">
      <alignment vertical="bottom"/>
    </xf>
    <xf borderId="0" fillId="8" fontId="1" numFmtId="3" xfId="0" applyAlignment="1" applyFont="1" applyNumberFormat="1">
      <alignment vertical="bottom"/>
    </xf>
    <xf borderId="0" fillId="0" fontId="5" numFmtId="3" xfId="0" applyAlignment="1" applyFont="1" applyNumberFormat="1">
      <alignment horizontal="right" vertical="bottom"/>
    </xf>
    <xf borderId="0" fillId="0" fontId="34" numFmtId="3" xfId="0" applyAlignment="1" applyFont="1" applyNumberFormat="1">
      <alignment horizontal="right" vertical="bottom"/>
    </xf>
    <xf borderId="0" fillId="0" fontId="5" numFmtId="3" xfId="0" applyFont="1" applyNumberFormat="1"/>
    <xf borderId="0" fillId="0" fontId="17" numFmtId="0" xfId="0" applyAlignment="1" applyFont="1">
      <alignment horizontal="center"/>
    </xf>
    <xf borderId="0" fillId="0" fontId="17" numFmtId="3" xfId="0" applyAlignment="1" applyFont="1" applyNumberFormat="1">
      <alignment horizontal="center"/>
    </xf>
    <xf borderId="0" fillId="0" fontId="17" numFmtId="0" xfId="0" applyAlignment="1" applyFont="1">
      <alignment horizontal="right"/>
    </xf>
    <xf borderId="3" fillId="0" fontId="35" numFmtId="0" xfId="0" applyAlignment="1" applyBorder="1" applyFont="1">
      <alignment horizontal="right"/>
    </xf>
    <xf borderId="3" fillId="0" fontId="35" numFmtId="0" xfId="0" applyAlignment="1" applyBorder="1" applyFont="1">
      <alignment horizontal="left"/>
    </xf>
    <xf borderId="3" fillId="0" fontId="35" numFmtId="3" xfId="0" applyAlignment="1" applyBorder="1" applyFont="1" applyNumberFormat="1">
      <alignment horizontal="left"/>
    </xf>
    <xf borderId="0" fillId="0" fontId="35" numFmtId="0" xfId="0" applyAlignment="1" applyFont="1">
      <alignment horizontal="right"/>
    </xf>
    <xf borderId="3" fillId="7" fontId="35" numFmtId="0" xfId="0" applyAlignment="1" applyBorder="1" applyFont="1">
      <alignment horizontal="right"/>
    </xf>
    <xf borderId="0" fillId="0" fontId="36" numFmtId="0" xfId="0" applyAlignment="1" applyFont="1">
      <alignment readingOrder="0"/>
    </xf>
    <xf borderId="4" fillId="9" fontId="37" numFmtId="0" xfId="0" applyAlignment="1" applyBorder="1" applyFill="1" applyFont="1">
      <alignment readingOrder="0"/>
    </xf>
    <xf borderId="4" fillId="0" fontId="36" numFmtId="0" xfId="0" applyAlignment="1" applyBorder="1" applyFont="1">
      <alignment readingOrder="0"/>
    </xf>
    <xf borderId="0" fillId="0" fontId="37" numFmtId="0" xfId="0" applyAlignment="1" applyFont="1">
      <alignment readingOrder="0"/>
    </xf>
    <xf borderId="4" fillId="10" fontId="37" numFmtId="0" xfId="0" applyAlignment="1" applyBorder="1" applyFill="1" applyFont="1">
      <alignment horizontal="center" readingOrder="0" shrinkToFit="0" vertical="center" wrapText="1"/>
    </xf>
    <xf borderId="4" fillId="10" fontId="37" numFmtId="0" xfId="0" applyAlignment="1" applyBorder="1" applyFont="1">
      <alignment horizontal="center" readingOrder="0" shrinkToFit="0" wrapText="1"/>
    </xf>
    <xf borderId="4" fillId="0" fontId="5" numFmtId="165" xfId="0" applyAlignment="1" applyBorder="1" applyFont="1" applyNumberFormat="1">
      <alignment horizontal="left" vertical="bottom"/>
    </xf>
    <xf borderId="4" fillId="0" fontId="5" numFmtId="4" xfId="0" applyAlignment="1" applyBorder="1" applyFont="1" applyNumberFormat="1">
      <alignment vertical="bottom"/>
    </xf>
    <xf borderId="4" fillId="0" fontId="5" numFmtId="4" xfId="0" applyAlignment="1" applyBorder="1" applyFont="1" applyNumberFormat="1">
      <alignment readingOrder="0" vertical="bottom"/>
    </xf>
    <xf borderId="4" fillId="0" fontId="36" numFmtId="170" xfId="0" applyAlignment="1" applyBorder="1" applyFont="1" applyNumberFormat="1">
      <alignment readingOrder="0"/>
    </xf>
    <xf borderId="4" fillId="0" fontId="36" numFmtId="0" xfId="0" applyBorder="1" applyFont="1"/>
    <xf borderId="4" fillId="0" fontId="5" numFmtId="166" xfId="0" applyAlignment="1" applyBorder="1" applyFont="1" applyNumberFormat="1">
      <alignment horizontal="left" vertical="bottom"/>
    </xf>
    <xf borderId="4" fillId="0" fontId="5" numFmtId="168" xfId="0" applyAlignment="1" applyBorder="1" applyFont="1" applyNumberFormat="1">
      <alignment horizontal="left" vertical="bottom"/>
    </xf>
    <xf borderId="4" fillId="0" fontId="5" numFmtId="0" xfId="0" applyAlignment="1" applyBorder="1" applyFont="1">
      <alignment vertical="bottom"/>
    </xf>
    <xf borderId="0" fillId="0" fontId="36" numFmtId="0" xfId="0" applyFont="1"/>
    <xf borderId="4" fillId="0" fontId="37" numFmtId="0" xfId="0" applyAlignment="1" applyBorder="1" applyFont="1">
      <alignment horizontal="right" readingOrder="0"/>
    </xf>
    <xf borderId="4" fillId="9" fontId="36" numFmtId="170" xfId="0" applyBorder="1" applyFont="1" applyNumberFormat="1"/>
    <xf borderId="4" fillId="9" fontId="36" numFmtId="0" xfId="0" applyBorder="1" applyFont="1"/>
    <xf borderId="4" fillId="4" fontId="5" numFmtId="49" xfId="0" applyAlignment="1" applyBorder="1" applyFont="1" applyNumberFormat="1">
      <alignment horizontal="right" vertical="bottom"/>
    </xf>
    <xf borderId="4" fillId="4" fontId="5" numFmtId="0" xfId="0" applyAlignment="1" applyBorder="1" applyFont="1">
      <alignment horizontal="right" vertical="bottom"/>
    </xf>
    <xf borderId="4" fillId="0" fontId="5" numFmtId="49" xfId="0" applyAlignment="1" applyBorder="1" applyFont="1" applyNumberFormat="1">
      <alignment horizontal="right" vertical="bottom"/>
    </xf>
    <xf borderId="4" fillId="0" fontId="5" numFmtId="0" xfId="0" applyAlignment="1" applyBorder="1" applyFont="1">
      <alignment horizontal="right" vertical="bottom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cricinfo.com/team/new-zealand-5" TargetMode="External"/><Relationship Id="rId22" Type="http://schemas.openxmlformats.org/officeDocument/2006/relationships/hyperlink" Target="https://www.espncricinfo.com/team/pakistan-7" TargetMode="External"/><Relationship Id="rId21" Type="http://schemas.openxmlformats.org/officeDocument/2006/relationships/hyperlink" Target="https://www.espncricinfo.com/team/oman-37" TargetMode="External"/><Relationship Id="rId24" Type="http://schemas.openxmlformats.org/officeDocument/2006/relationships/hyperlink" Target="https://www.espncricinfo.com/team/scotland-30" TargetMode="External"/><Relationship Id="rId23" Type="http://schemas.openxmlformats.org/officeDocument/2006/relationships/hyperlink" Target="https://www.espncricinfo.com/team/papua-new-guinea-20" TargetMode="External"/><Relationship Id="rId1" Type="http://schemas.openxmlformats.org/officeDocument/2006/relationships/hyperlink" Target="https://www.espncricinfo.com/records/results-summary-283878" TargetMode="External"/><Relationship Id="rId2" Type="http://schemas.openxmlformats.org/officeDocument/2006/relationships/hyperlink" Target="https://www.espncricinfo.com/team/afghanistan-40" TargetMode="External"/><Relationship Id="rId3" Type="http://schemas.openxmlformats.org/officeDocument/2006/relationships/hyperlink" Target="https://www.espncricinfo.com/team/africa-xi-213709" TargetMode="External"/><Relationship Id="rId4" Type="http://schemas.openxmlformats.org/officeDocument/2006/relationships/hyperlink" Target="https://www.espncricinfo.com/team/asia-xi-55" TargetMode="External"/><Relationship Id="rId9" Type="http://schemas.openxmlformats.org/officeDocument/2006/relationships/hyperlink" Target="https://www.espncricinfo.com/team/east-and-central-africa-14" TargetMode="External"/><Relationship Id="rId26" Type="http://schemas.openxmlformats.org/officeDocument/2006/relationships/hyperlink" Target="https://www.espncricinfo.com/team/sri-lanka-8" TargetMode="External"/><Relationship Id="rId25" Type="http://schemas.openxmlformats.org/officeDocument/2006/relationships/hyperlink" Target="https://www.espncricinfo.com/team/south-africa-3" TargetMode="External"/><Relationship Id="rId28" Type="http://schemas.openxmlformats.org/officeDocument/2006/relationships/hyperlink" Target="https://www.espncricinfo.com/team/united-states-of-america-11" TargetMode="External"/><Relationship Id="rId27" Type="http://schemas.openxmlformats.org/officeDocument/2006/relationships/hyperlink" Target="https://www.espncricinfo.com/team/united-arab-emirates-27" TargetMode="External"/><Relationship Id="rId5" Type="http://schemas.openxmlformats.org/officeDocument/2006/relationships/hyperlink" Target="https://www.espncricinfo.com/team/australia-2" TargetMode="External"/><Relationship Id="rId6" Type="http://schemas.openxmlformats.org/officeDocument/2006/relationships/hyperlink" Target="https://www.espncricinfo.com/team/bangladesh-25" TargetMode="External"/><Relationship Id="rId29" Type="http://schemas.openxmlformats.org/officeDocument/2006/relationships/hyperlink" Target="https://www.espncricinfo.com/team/west-indies-4" TargetMode="External"/><Relationship Id="rId7" Type="http://schemas.openxmlformats.org/officeDocument/2006/relationships/hyperlink" Target="https://www.espncricinfo.com/team/bermuda-12" TargetMode="External"/><Relationship Id="rId8" Type="http://schemas.openxmlformats.org/officeDocument/2006/relationships/hyperlink" Target="https://www.espncricinfo.com/team/canada-17" TargetMode="External"/><Relationship Id="rId31" Type="http://schemas.openxmlformats.org/officeDocument/2006/relationships/hyperlink" Target="https://www.icc-cricket.com/world-test-championship/tournament-stats/best-batting-strike-rate" TargetMode="External"/><Relationship Id="rId30" Type="http://schemas.openxmlformats.org/officeDocument/2006/relationships/hyperlink" Target="https://www.espncricinfo.com/team/zimbabwe-9" TargetMode="External"/><Relationship Id="rId11" Type="http://schemas.openxmlformats.org/officeDocument/2006/relationships/hyperlink" Target="https://www.espncricinfo.com/team/hong-kong-19" TargetMode="External"/><Relationship Id="rId33" Type="http://schemas.openxmlformats.org/officeDocument/2006/relationships/drawing" Target="../drawings/drawing7.xml"/><Relationship Id="rId10" Type="http://schemas.openxmlformats.org/officeDocument/2006/relationships/hyperlink" Target="https://www.espncricinfo.com/team/england-1" TargetMode="External"/><Relationship Id="rId32" Type="http://schemas.openxmlformats.org/officeDocument/2006/relationships/hyperlink" Target="https://www.cricbuzz.com/cricket-series/6732/icc-cricket-world-cup-2023/squads" TargetMode="External"/><Relationship Id="rId13" Type="http://schemas.openxmlformats.org/officeDocument/2006/relationships/hyperlink" Target="https://www.espncricinfo.com/team/india-6" TargetMode="External"/><Relationship Id="rId12" Type="http://schemas.openxmlformats.org/officeDocument/2006/relationships/hyperlink" Target="https://www.espncricinfo.com/team/icc-world-xi-89" TargetMode="External"/><Relationship Id="rId15" Type="http://schemas.openxmlformats.org/officeDocument/2006/relationships/hyperlink" Target="https://www.espncricinfo.com/team/jersey-218211" TargetMode="External"/><Relationship Id="rId14" Type="http://schemas.openxmlformats.org/officeDocument/2006/relationships/hyperlink" Target="https://www.espncricinfo.com/team/ireland-29" TargetMode="External"/><Relationship Id="rId17" Type="http://schemas.openxmlformats.org/officeDocument/2006/relationships/hyperlink" Target="https://www.espncricinfo.com/team/namibia-28" TargetMode="External"/><Relationship Id="rId16" Type="http://schemas.openxmlformats.org/officeDocument/2006/relationships/hyperlink" Target="https://www.espncricinfo.com/team/kenya-26" TargetMode="External"/><Relationship Id="rId19" Type="http://schemas.openxmlformats.org/officeDocument/2006/relationships/hyperlink" Target="https://www.espncricinfo.com/team/netherlands-15" TargetMode="External"/><Relationship Id="rId18" Type="http://schemas.openxmlformats.org/officeDocument/2006/relationships/hyperlink" Target="https://www.espncricinfo.com/team/nepal-33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4" width="15.13"/>
    <col customWidth="1" min="5" max="6" width="16.88"/>
    <col customWidth="1" min="7" max="9" width="21.38"/>
    <col customWidth="1" min="10" max="10" width="20.5"/>
    <col customWidth="1" min="13" max="13" width="15.13"/>
    <col customWidth="1" min="15" max="15" width="36.63"/>
    <col customWidth="1" min="16" max="17" width="22.75"/>
    <col customWidth="1" min="18" max="18" width="23.0"/>
    <col customWidth="1" min="19" max="21" width="18.75"/>
    <col customWidth="1" min="22" max="22" width="16.25"/>
    <col customWidth="1" min="23" max="23" width="19.5"/>
    <col customWidth="1" min="24" max="24" width="22.63"/>
    <col customWidth="1" min="25" max="25" width="21.5"/>
    <col customWidth="1" min="26" max="26" width="20.88"/>
    <col customWidth="1" min="27" max="27" width="16.25"/>
    <col customWidth="1" min="28" max="28" width="19.5"/>
    <col customWidth="1" min="29" max="29" width="22.63"/>
    <col customWidth="1" min="30" max="30" width="21.5"/>
    <col customWidth="1" min="31" max="31" width="20.88"/>
    <col customWidth="1" min="32" max="33" width="24.63"/>
    <col customWidth="1" min="34" max="35" width="23.5"/>
    <col customWidth="1" min="36" max="36" width="26.88"/>
    <col customWidth="1" min="37" max="38" width="24.88"/>
    <col customWidth="1" min="39" max="39" width="23.5"/>
    <col customWidth="1" min="40" max="40" width="23.88"/>
    <col customWidth="1" min="41" max="41" width="27.13"/>
    <col customWidth="1" min="42" max="43" width="26.0"/>
    <col customWidth="1" min="44" max="45" width="23.5"/>
    <col customWidth="1" min="46" max="49" width="28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7" t="s">
        <v>46</v>
      </c>
      <c r="AV1" s="8"/>
      <c r="AW1" s="8"/>
    </row>
    <row r="2" ht="15.75" hidden="1" customHeight="1">
      <c r="A2" s="9" t="s">
        <v>47</v>
      </c>
      <c r="B2" s="9" t="s">
        <v>48</v>
      </c>
      <c r="C2" s="10">
        <v>45249.0</v>
      </c>
      <c r="D2" s="11" t="s">
        <v>49</v>
      </c>
      <c r="E2" s="11" t="s">
        <v>50</v>
      </c>
      <c r="F2" s="12" t="s">
        <v>47</v>
      </c>
      <c r="G2" s="13" t="s">
        <v>51</v>
      </c>
      <c r="H2" s="13" t="s">
        <v>52</v>
      </c>
      <c r="I2" s="14">
        <f>7/9</f>
        <v>0.7777777778</v>
      </c>
      <c r="J2" s="14">
        <f>2/9</f>
        <v>0.2222222222</v>
      </c>
      <c r="K2" s="12" t="s">
        <v>53</v>
      </c>
      <c r="L2" s="15">
        <v>240.0</v>
      </c>
      <c r="M2" s="15">
        <v>241.0</v>
      </c>
      <c r="N2" s="12" t="s">
        <v>48</v>
      </c>
      <c r="O2" s="16">
        <v>60.0</v>
      </c>
      <c r="P2" s="17">
        <v>-270.0</v>
      </c>
      <c r="Q2" s="17">
        <v>210.0</v>
      </c>
      <c r="R2" s="17">
        <f t="shared" ref="R2:R203" si="1">AVERAGE(P2:Q2)</f>
        <v>-30</v>
      </c>
      <c r="S2" s="18">
        <v>24.8</v>
      </c>
      <c r="T2" s="18">
        <v>17.2</v>
      </c>
      <c r="U2" s="18">
        <v>0.3</v>
      </c>
      <c r="V2" s="15">
        <v>29.216249999999995</v>
      </c>
      <c r="W2" s="15">
        <v>82.43625</v>
      </c>
      <c r="X2" s="17">
        <v>5.422499999999999</v>
      </c>
      <c r="Y2" s="17">
        <v>40.535</v>
      </c>
      <c r="Z2" s="17">
        <v>43.995000000000005</v>
      </c>
      <c r="AA2" s="17">
        <v>27.727333333333334</v>
      </c>
      <c r="AB2" s="17">
        <v>92.17733333333332</v>
      </c>
      <c r="AC2" s="17">
        <v>5.772307692307693</v>
      </c>
      <c r="AD2" s="17">
        <v>39.89076923076924</v>
      </c>
      <c r="AE2" s="17">
        <v>41.56384615384616</v>
      </c>
      <c r="AF2" s="17">
        <v>203.0</v>
      </c>
      <c r="AG2" s="17">
        <v>-2683.0</v>
      </c>
      <c r="AH2" s="17">
        <v>204.0</v>
      </c>
      <c r="AI2" s="17">
        <v>4.0</v>
      </c>
      <c r="AJ2" s="17">
        <v>-68.0</v>
      </c>
      <c r="AK2" s="17">
        <v>200.0</v>
      </c>
      <c r="AL2" s="17">
        <v>-10000.0</v>
      </c>
      <c r="AM2" s="17">
        <v>200.0</v>
      </c>
      <c r="AN2" s="17">
        <v>1.0</v>
      </c>
      <c r="AO2" s="17">
        <v>-68.0</v>
      </c>
      <c r="AP2" s="17">
        <v>207.0</v>
      </c>
      <c r="AQ2" s="17">
        <v>-1295.0</v>
      </c>
      <c r="AR2" s="17">
        <v>208.0</v>
      </c>
      <c r="AS2" s="17">
        <v>8.0</v>
      </c>
      <c r="AT2" s="17">
        <v>-69.0</v>
      </c>
      <c r="AU2" s="19">
        <v>318.0</v>
      </c>
      <c r="AV2" s="11"/>
      <c r="AW2" s="11"/>
    </row>
    <row r="3" ht="15.75" hidden="1" customHeight="1">
      <c r="A3" s="9" t="s">
        <v>48</v>
      </c>
      <c r="B3" s="9" t="s">
        <v>54</v>
      </c>
      <c r="C3" s="20">
        <v>45246.0</v>
      </c>
      <c r="D3" s="11" t="s">
        <v>49</v>
      </c>
      <c r="E3" s="11" t="s">
        <v>55</v>
      </c>
      <c r="F3" s="12" t="s">
        <v>47</v>
      </c>
      <c r="G3" s="13" t="s">
        <v>52</v>
      </c>
      <c r="H3" s="13" t="s">
        <v>51</v>
      </c>
      <c r="I3" s="21">
        <v>0.7</v>
      </c>
      <c r="J3" s="21">
        <v>0.3</v>
      </c>
      <c r="K3" s="12" t="s">
        <v>53</v>
      </c>
      <c r="L3" s="15">
        <v>215.0</v>
      </c>
      <c r="M3" s="15">
        <v>212.0</v>
      </c>
      <c r="N3" s="12" t="s">
        <v>48</v>
      </c>
      <c r="O3" s="16">
        <v>30.0</v>
      </c>
      <c r="P3" s="17">
        <v>108.0</v>
      </c>
      <c r="Q3" s="17">
        <v>-137.0</v>
      </c>
      <c r="R3" s="17">
        <f t="shared" si="1"/>
        <v>-14.5</v>
      </c>
      <c r="S3" s="18">
        <v>29.1</v>
      </c>
      <c r="T3" s="18">
        <v>21.2</v>
      </c>
      <c r="U3" s="18">
        <v>3.9</v>
      </c>
      <c r="V3" s="17">
        <v>27.727333333333334</v>
      </c>
      <c r="W3" s="17">
        <v>92.17733333333332</v>
      </c>
      <c r="X3" s="17">
        <v>5.772307692307693</v>
      </c>
      <c r="Y3" s="17">
        <v>39.89076923076924</v>
      </c>
      <c r="Z3" s="17">
        <v>41.56384615384616</v>
      </c>
      <c r="AA3" s="17">
        <v>29.26</v>
      </c>
      <c r="AB3" s="17">
        <v>86.99071428571429</v>
      </c>
      <c r="AC3" s="17">
        <v>5.596923076923077</v>
      </c>
      <c r="AD3" s="17">
        <v>26.36384615384615</v>
      </c>
      <c r="AE3" s="17">
        <v>26.93846153846153</v>
      </c>
      <c r="AF3" s="17">
        <v>-390.0</v>
      </c>
      <c r="AG3" s="17">
        <v>225.0</v>
      </c>
      <c r="AH3" s="17">
        <v>26.0</v>
      </c>
      <c r="AI3" s="17">
        <v>226.0</v>
      </c>
      <c r="AJ3" s="17">
        <v>70.0</v>
      </c>
      <c r="AK3" s="17">
        <v>-43978.0</v>
      </c>
      <c r="AL3" s="17">
        <v>200.0</v>
      </c>
      <c r="AM3" s="17">
        <v>0.0</v>
      </c>
      <c r="AN3" s="17">
        <v>200.0</v>
      </c>
      <c r="AO3" s="17">
        <v>68.0</v>
      </c>
      <c r="AP3" s="17">
        <v>-1090.0</v>
      </c>
      <c r="AQ3" s="17">
        <v>209.0</v>
      </c>
      <c r="AR3" s="17">
        <v>9.0</v>
      </c>
      <c r="AS3" s="17">
        <v>209.0</v>
      </c>
      <c r="AT3" s="17">
        <v>69.0</v>
      </c>
      <c r="AU3" s="19">
        <v>237.0</v>
      </c>
      <c r="AV3" s="11"/>
      <c r="AW3" s="11"/>
    </row>
    <row r="4" ht="15.75" customHeight="1">
      <c r="A4" s="9" t="s">
        <v>47</v>
      </c>
      <c r="B4" s="9" t="s">
        <v>56</v>
      </c>
      <c r="C4" s="20">
        <v>6619610.0</v>
      </c>
      <c r="D4" s="11" t="s">
        <v>49</v>
      </c>
      <c r="E4" s="11" t="s">
        <v>57</v>
      </c>
      <c r="F4" s="12" t="s">
        <v>47</v>
      </c>
      <c r="G4" s="13" t="s">
        <v>52</v>
      </c>
      <c r="H4" s="13" t="s">
        <v>51</v>
      </c>
      <c r="I4" s="22">
        <f>12/14</f>
        <v>0.8571428571</v>
      </c>
      <c r="J4" s="22">
        <f>2/14</f>
        <v>0.1428571429</v>
      </c>
      <c r="K4" s="12" t="s">
        <v>53</v>
      </c>
      <c r="L4" s="17">
        <v>397.0</v>
      </c>
      <c r="M4" s="17">
        <v>327.0</v>
      </c>
      <c r="N4" s="12" t="s">
        <v>47</v>
      </c>
      <c r="O4" s="16">
        <f t="shared" ref="O4:O5" si="2">(abs(L4-M4)/max(L4, M4)) * 100</f>
        <v>17.63224181</v>
      </c>
      <c r="P4" s="17">
        <v>-303.0</v>
      </c>
      <c r="Q4" s="17">
        <v>229.0</v>
      </c>
      <c r="R4" s="17">
        <f t="shared" si="1"/>
        <v>-37</v>
      </c>
      <c r="S4" s="18">
        <v>33.8</v>
      </c>
      <c r="T4" s="18">
        <v>28.4</v>
      </c>
      <c r="U4" s="18">
        <v>17.8</v>
      </c>
      <c r="V4" s="15">
        <v>29.216249999999995</v>
      </c>
      <c r="W4" s="15">
        <v>82.43625</v>
      </c>
      <c r="X4" s="17">
        <v>5.422499999999999</v>
      </c>
      <c r="Y4" s="17">
        <v>40.535</v>
      </c>
      <c r="Z4" s="17">
        <v>43.995000000000005</v>
      </c>
      <c r="AA4" s="17">
        <v>29.453333333333333</v>
      </c>
      <c r="AB4" s="17">
        <v>88.70466666666665</v>
      </c>
      <c r="AC4" s="17">
        <v>5.574545454545454</v>
      </c>
      <c r="AD4" s="17">
        <v>33.232727272727274</v>
      </c>
      <c r="AE4" s="17">
        <v>35.72636363636363</v>
      </c>
      <c r="AF4" s="17">
        <v>207.0</v>
      </c>
      <c r="AG4" s="17">
        <v>-1328.0</v>
      </c>
      <c r="AH4" s="17">
        <v>208.0</v>
      </c>
      <c r="AI4" s="17">
        <v>8.0</v>
      </c>
      <c r="AJ4" s="17">
        <v>-68.0</v>
      </c>
      <c r="AK4" s="17">
        <v>200.0</v>
      </c>
      <c r="AL4" s="17">
        <v>-151359.0</v>
      </c>
      <c r="AM4" s="17">
        <v>200.0</v>
      </c>
      <c r="AN4" s="17">
        <v>0.0</v>
      </c>
      <c r="AO4" s="17">
        <v>-68.0</v>
      </c>
      <c r="AP4" s="17">
        <v>202.0</v>
      </c>
      <c r="AQ4" s="17">
        <v>-4889.0</v>
      </c>
      <c r="AR4" s="17">
        <v>202.0</v>
      </c>
      <c r="AS4" s="17">
        <v>2.0</v>
      </c>
      <c r="AT4" s="17">
        <v>-68.0</v>
      </c>
      <c r="AU4" s="19">
        <v>260.0</v>
      </c>
      <c r="AV4" s="11"/>
      <c r="AW4" s="11"/>
    </row>
    <row r="5" ht="15.75" hidden="1" customHeight="1">
      <c r="A5" s="9" t="s">
        <v>58</v>
      </c>
      <c r="B5" s="9" t="s">
        <v>59</v>
      </c>
      <c r="C5" s="20">
        <v>45241.0</v>
      </c>
      <c r="D5" s="11" t="s">
        <v>49</v>
      </c>
      <c r="E5" s="23" t="s">
        <v>60</v>
      </c>
      <c r="F5" s="12" t="s">
        <v>47</v>
      </c>
      <c r="G5" s="13" t="str">
        <f>IF(A5=N5, "W", "L")</f>
        <v>W</v>
      </c>
      <c r="H5" s="13" t="str">
        <f>IF(B5=N5, "W", "L")</f>
        <v>L</v>
      </c>
      <c r="I5" s="14">
        <f>9/14</f>
        <v>0.6428571429</v>
      </c>
      <c r="J5" s="24">
        <f>5/14</f>
        <v>0.3571428571</v>
      </c>
      <c r="K5" s="12" t="s">
        <v>53</v>
      </c>
      <c r="L5" s="15">
        <v>337.0</v>
      </c>
      <c r="M5" s="15">
        <v>244.0</v>
      </c>
      <c r="N5" s="12" t="s">
        <v>58</v>
      </c>
      <c r="O5" s="16">
        <f t="shared" si="2"/>
        <v>27.59643917</v>
      </c>
      <c r="P5" s="17">
        <v>-143.0</v>
      </c>
      <c r="Q5" s="17">
        <v>110.0</v>
      </c>
      <c r="R5" s="17">
        <f t="shared" si="1"/>
        <v>-16.5</v>
      </c>
      <c r="S5" s="18">
        <v>30.2</v>
      </c>
      <c r="T5" s="18">
        <v>20.1</v>
      </c>
      <c r="U5" s="18">
        <v>32.6</v>
      </c>
      <c r="V5" s="17">
        <v>30.137999999999998</v>
      </c>
      <c r="W5" s="17">
        <v>100.968</v>
      </c>
      <c r="X5" s="17">
        <v>5.778333333333333</v>
      </c>
      <c r="Y5" s="17">
        <v>37.89333333333334</v>
      </c>
      <c r="Z5" s="17">
        <v>39.69166666666667</v>
      </c>
      <c r="AA5" s="17">
        <v>28.993333333333332</v>
      </c>
      <c r="AB5" s="17">
        <v>91.364</v>
      </c>
      <c r="AC5" s="17">
        <v>5.425454545454545</v>
      </c>
      <c r="AD5" s="17">
        <v>46.032727272727264</v>
      </c>
      <c r="AE5" s="17">
        <v>51.62</v>
      </c>
      <c r="AF5" s="17">
        <v>-279.0</v>
      </c>
      <c r="AG5" s="17">
        <v>235.0</v>
      </c>
      <c r="AH5" s="17">
        <v>35.0</v>
      </c>
      <c r="AI5" s="17">
        <v>235.0</v>
      </c>
      <c r="AJ5" s="17">
        <v>71.0</v>
      </c>
      <c r="AK5" s="17">
        <v>-1294.0</v>
      </c>
      <c r="AL5" s="17">
        <v>207.0</v>
      </c>
      <c r="AM5" s="17">
        <v>7.0</v>
      </c>
      <c r="AN5" s="17">
        <v>207.0</v>
      </c>
      <c r="AO5" s="17">
        <v>69.0</v>
      </c>
      <c r="AP5" s="17">
        <v>-1392.0</v>
      </c>
      <c r="AQ5" s="17">
        <v>207.0</v>
      </c>
      <c r="AR5" s="17">
        <v>7.0</v>
      </c>
      <c r="AS5" s="17">
        <v>207.0</v>
      </c>
      <c r="AT5" s="17">
        <v>68.0</v>
      </c>
      <c r="AU5" s="23">
        <v>226.0</v>
      </c>
      <c r="AV5" s="11"/>
      <c r="AW5" s="11"/>
    </row>
    <row r="6" ht="15.75" hidden="1" customHeight="1">
      <c r="A6" s="9" t="s">
        <v>48</v>
      </c>
      <c r="B6" s="9" t="s">
        <v>61</v>
      </c>
      <c r="C6" s="20">
        <v>45240.0</v>
      </c>
      <c r="D6" s="12" t="s">
        <v>49</v>
      </c>
      <c r="E6" s="12" t="s">
        <v>57</v>
      </c>
      <c r="F6" s="12" t="s">
        <v>47</v>
      </c>
      <c r="G6" s="12" t="s">
        <v>52</v>
      </c>
      <c r="H6" s="12" t="s">
        <v>51</v>
      </c>
      <c r="I6" s="14">
        <f>3/4</f>
        <v>0.75</v>
      </c>
      <c r="J6" s="14">
        <f>4/3</f>
        <v>1.333333333</v>
      </c>
      <c r="K6" s="12" t="s">
        <v>53</v>
      </c>
      <c r="L6" s="15">
        <v>307.0</v>
      </c>
      <c r="M6" s="15">
        <v>306.0</v>
      </c>
      <c r="N6" s="12" t="s">
        <v>48</v>
      </c>
      <c r="O6" s="16">
        <v>50.0</v>
      </c>
      <c r="P6" s="17">
        <v>-769.0</v>
      </c>
      <c r="Q6" s="17">
        <v>483.0</v>
      </c>
      <c r="R6" s="17">
        <f t="shared" si="1"/>
        <v>-143</v>
      </c>
      <c r="S6" s="18">
        <v>33.8</v>
      </c>
      <c r="T6" s="18">
        <v>28.4</v>
      </c>
      <c r="U6" s="18">
        <v>17.8</v>
      </c>
      <c r="V6" s="17">
        <v>27.727333333333334</v>
      </c>
      <c r="W6" s="17">
        <v>92.17733333333332</v>
      </c>
      <c r="X6" s="17">
        <v>5.772307692307693</v>
      </c>
      <c r="Y6" s="17">
        <v>39.89076923076924</v>
      </c>
      <c r="Z6" s="17">
        <v>41.56384615384616</v>
      </c>
      <c r="AA6" s="17">
        <v>21.11625</v>
      </c>
      <c r="AB6" s="17">
        <v>78.83125</v>
      </c>
      <c r="AC6" s="17">
        <v>5.192727272727272</v>
      </c>
      <c r="AD6" s="17">
        <v>33.17</v>
      </c>
      <c r="AE6" s="17">
        <v>38.899090909090894</v>
      </c>
      <c r="AF6" s="17">
        <v>-108.0</v>
      </c>
      <c r="AG6" s="17">
        <v>291.0</v>
      </c>
      <c r="AH6" s="17">
        <v>91.0</v>
      </c>
      <c r="AI6" s="17">
        <v>291.0</v>
      </c>
      <c r="AJ6" s="17">
        <v>75.0</v>
      </c>
      <c r="AK6" s="17">
        <v>-1680.0</v>
      </c>
      <c r="AL6" s="17">
        <v>205.0</v>
      </c>
      <c r="AM6" s="17">
        <v>6.0</v>
      </c>
      <c r="AN6" s="17">
        <v>206.0</v>
      </c>
      <c r="AO6" s="17">
        <v>68.0</v>
      </c>
      <c r="AP6" s="17">
        <v>237.0</v>
      </c>
      <c r="AQ6" s="17">
        <v>-265.0</v>
      </c>
      <c r="AR6" s="17">
        <v>237.0</v>
      </c>
      <c r="AS6" s="17">
        <v>38.0</v>
      </c>
      <c r="AT6" s="17">
        <v>-71.0</v>
      </c>
      <c r="AU6" s="23">
        <v>255.0</v>
      </c>
      <c r="AV6" s="11"/>
      <c r="AW6" s="11"/>
    </row>
    <row r="7" ht="15.75" hidden="1" customHeight="1">
      <c r="A7" s="25" t="s">
        <v>56</v>
      </c>
      <c r="B7" s="25" t="s">
        <v>62</v>
      </c>
      <c r="C7" s="26">
        <v>45239.0</v>
      </c>
      <c r="D7" s="25" t="s">
        <v>49</v>
      </c>
      <c r="E7" s="12" t="s">
        <v>63</v>
      </c>
      <c r="F7" s="12" t="s">
        <v>47</v>
      </c>
      <c r="G7" s="25" t="s">
        <v>52</v>
      </c>
      <c r="H7" s="25" t="s">
        <v>51</v>
      </c>
      <c r="I7" s="24">
        <f>4/5</f>
        <v>0.8</v>
      </c>
      <c r="J7" s="24">
        <f>1/5</f>
        <v>0.2</v>
      </c>
      <c r="K7" s="25" t="s">
        <v>53</v>
      </c>
      <c r="L7" s="25">
        <v>172.0</v>
      </c>
      <c r="M7" s="25">
        <v>171.0</v>
      </c>
      <c r="N7" s="25" t="s">
        <v>56</v>
      </c>
      <c r="O7" s="27">
        <v>50.0</v>
      </c>
      <c r="P7" s="25">
        <v>-312.0</v>
      </c>
      <c r="Q7" s="25">
        <v>233.0</v>
      </c>
      <c r="R7" s="25">
        <f t="shared" si="1"/>
        <v>-39.5</v>
      </c>
      <c r="S7" s="28">
        <v>18.3</v>
      </c>
      <c r="T7" s="28">
        <v>9.6</v>
      </c>
      <c r="U7" s="28">
        <v>61.0</v>
      </c>
      <c r="V7" s="25">
        <v>29.453333333333333</v>
      </c>
      <c r="W7" s="25">
        <v>88.70466666666665</v>
      </c>
      <c r="X7" s="25">
        <v>5.574545454545454</v>
      </c>
      <c r="Y7" s="25">
        <v>33.232727272727274</v>
      </c>
      <c r="Z7" s="25">
        <v>35.72636363636363</v>
      </c>
      <c r="AA7" s="25">
        <v>24.878750000000004</v>
      </c>
      <c r="AB7" s="25">
        <v>76.75124999999998</v>
      </c>
      <c r="AC7" s="25">
        <v>5.679166666666667</v>
      </c>
      <c r="AD7" s="25">
        <v>34.49333333333333</v>
      </c>
      <c r="AE7" s="25">
        <v>38.29833333333333</v>
      </c>
      <c r="AF7" s="25">
        <v>-185.0</v>
      </c>
      <c r="AG7" s="25">
        <v>53.0</v>
      </c>
      <c r="AH7" s="25">
        <v>127.0</v>
      </c>
      <c r="AI7" s="25">
        <v>206.0</v>
      </c>
      <c r="AJ7" s="25"/>
      <c r="AK7" s="25">
        <v>-638.0</v>
      </c>
      <c r="AL7" s="25">
        <v>15.0</v>
      </c>
      <c r="AM7" s="25">
        <v>107.0</v>
      </c>
      <c r="AN7" s="25">
        <v>131.0</v>
      </c>
      <c r="AO7" s="25"/>
      <c r="AP7" s="25">
        <v>-311.0</v>
      </c>
      <c r="AQ7" s="25">
        <v>32.0</v>
      </c>
      <c r="AR7" s="25">
        <v>116.0</v>
      </c>
      <c r="AS7" s="25">
        <v>164.0</v>
      </c>
      <c r="AT7" s="25"/>
      <c r="AU7" s="29">
        <v>287.0</v>
      </c>
      <c r="AV7" s="29"/>
      <c r="AW7" s="29"/>
    </row>
    <row r="8" ht="15.75" hidden="1" customHeight="1">
      <c r="A8" s="25" t="s">
        <v>48</v>
      </c>
      <c r="B8" s="25" t="s">
        <v>56</v>
      </c>
      <c r="C8" s="26">
        <v>45226.0</v>
      </c>
      <c r="D8" s="25" t="s">
        <v>64</v>
      </c>
      <c r="E8" s="12" t="s">
        <v>65</v>
      </c>
      <c r="F8" s="12" t="str">
        <f>IFERROR(__xludf.DUMMYFUNCTION("FILTER(Stadium!$A$2:$A$61,E8=Stadium!$B$2:$B$61)"),"India")</f>
        <v>India</v>
      </c>
      <c r="G8" s="30" t="str">
        <f t="shared" ref="G8:G202" si="3">IF(A8=N8, "W", "L")</f>
        <v>W</v>
      </c>
      <c r="H8" s="30" t="str">
        <f t="shared" ref="H8:H202" si="4">IF(B8=N8, "W", "L")</f>
        <v>L</v>
      </c>
      <c r="I8" s="24">
        <v>1.125</v>
      </c>
      <c r="J8" s="24">
        <v>0.75</v>
      </c>
      <c r="K8" s="25" t="s">
        <v>53</v>
      </c>
      <c r="L8" s="25">
        <v>388.0</v>
      </c>
      <c r="M8" s="25">
        <v>383.0</v>
      </c>
      <c r="N8" s="25" t="s">
        <v>48</v>
      </c>
      <c r="O8" s="27">
        <f>(5/388)*100</f>
        <v>1.288659794</v>
      </c>
      <c r="P8" s="25">
        <v>-167.0</v>
      </c>
      <c r="Q8" s="25">
        <v>129.0</v>
      </c>
      <c r="R8" s="25">
        <f t="shared" si="1"/>
        <v>-19</v>
      </c>
      <c r="S8" s="28">
        <f>IFERROR(__xludf.DUMMYFUNCTION("IF(F8=""India"", FILTER(Weather!D:D,D8=Weather!C:C,E8=Weather!B:B), FILTER(Weather!D:D,D8=Weather!C:C,F8=Weather!A:A))"),14.3)</f>
        <v>14.3</v>
      </c>
      <c r="T8" s="28">
        <f>IFERROR(__xludf.DUMMYFUNCTION("IF(F8=""India"", FILTER(Weather!E:E,D8=Weather!C:C,E8=Weather!B:B),FILTER(Weather!E:E,D8=Weather!C:C,F8=Weather!A:A))"),8.0)</f>
        <v>8</v>
      </c>
      <c r="U8" s="28">
        <f>IFERROR(__xludf.DUMMYFUNCTION("IF(F8=""India"", FILTER(Weather!F:F,D8=Weather!C:C,E8=Weather!B:B),FILTER(Weather!F:F,D8=Weather!C:C,F8=Weather!A:A))"),63.0)</f>
        <v>63</v>
      </c>
      <c r="V8" s="25">
        <v>27.727333333333334</v>
      </c>
      <c r="W8" s="25">
        <v>92.17733333333332</v>
      </c>
      <c r="X8" s="25">
        <v>5.772307692307693</v>
      </c>
      <c r="Y8" s="25">
        <v>39.89076923076924</v>
      </c>
      <c r="Z8" s="25">
        <v>41.56384615384616</v>
      </c>
      <c r="AA8" s="25">
        <v>29.453333333333333</v>
      </c>
      <c r="AB8" s="25">
        <v>88.70466666666665</v>
      </c>
      <c r="AC8" s="25">
        <v>5.574545454545454</v>
      </c>
      <c r="AD8" s="25">
        <v>33.232727272727274</v>
      </c>
      <c r="AE8" s="25">
        <v>35.72636363636363</v>
      </c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ht="15.75" hidden="1" customHeight="1">
      <c r="A9" s="25" t="s">
        <v>59</v>
      </c>
      <c r="B9" s="25" t="s">
        <v>54</v>
      </c>
      <c r="C9" s="30">
        <v>45226.0</v>
      </c>
      <c r="D9" s="25" t="s">
        <v>64</v>
      </c>
      <c r="E9" s="12" t="s">
        <v>66</v>
      </c>
      <c r="F9" s="12" t="str">
        <f>IFERROR(__xludf.DUMMYFUNCTION("FILTER(Stadium!$A$2:$A$61,E9=Stadium!$B$2:$B$61)"),"India")</f>
        <v>India</v>
      </c>
      <c r="G9" s="30" t="str">
        <f t="shared" si="3"/>
        <v>L</v>
      </c>
      <c r="H9" s="30" t="str">
        <f t="shared" si="4"/>
        <v>W</v>
      </c>
      <c r="I9" s="24">
        <f>VLOOKUP(A9, 'WL Ratio Table'!$A$6:$D$8, 4, FALSE)</f>
        <v>1</v>
      </c>
      <c r="J9" s="24">
        <v>1.0909090909090908</v>
      </c>
      <c r="K9" s="25" t="s">
        <v>53</v>
      </c>
      <c r="L9" s="25">
        <v>270.0</v>
      </c>
      <c r="M9" s="25">
        <v>271.0</v>
      </c>
      <c r="N9" s="25" t="s">
        <v>54</v>
      </c>
      <c r="O9" s="27">
        <v>10.0</v>
      </c>
      <c r="P9" s="25">
        <v>143.0</v>
      </c>
      <c r="Q9" s="25">
        <v>-185.0</v>
      </c>
      <c r="R9" s="25">
        <f t="shared" si="1"/>
        <v>-21</v>
      </c>
      <c r="S9" s="28">
        <f>IFERROR(__xludf.DUMMYFUNCTION("IF(F9=""India"", FILTER(Weather!D:D,D9=Weather!C:C,E9=Weather!B:B), FILTER(Weather!D:D,D9=Weather!C:C,F9=Weather!A:A))"),28.4)</f>
        <v>28.4</v>
      </c>
      <c r="T9" s="28">
        <f>IFERROR(__xludf.DUMMYFUNCTION("IF(F9=""India"", FILTER(Weather!E:E,D9=Weather!C:C,E9=Weather!B:B),FILTER(Weather!E:E,D9=Weather!C:C,F9=Weather!A:A))"),24.6)</f>
        <v>24.6</v>
      </c>
      <c r="U9" s="28">
        <f>IFERROR(__xludf.DUMMYFUNCTION("IF(F9=""India"", FILTER(Weather!F:F,D9=Weather!C:C,E9=Weather!B:B),FILTER(Weather!F:F,D9=Weather!C:C,F9=Weather!A:A))"),10.6)</f>
        <v>10.6</v>
      </c>
      <c r="V9" s="25">
        <v>28.993333333333332</v>
      </c>
      <c r="W9" s="25">
        <v>91.364</v>
      </c>
      <c r="X9" s="25">
        <v>5.425454545454545</v>
      </c>
      <c r="Y9" s="25">
        <v>46.032727272727264</v>
      </c>
      <c r="Z9" s="25">
        <v>51.62</v>
      </c>
      <c r="AA9" s="25">
        <v>29.26</v>
      </c>
      <c r="AB9" s="25">
        <v>86.99071428571429</v>
      </c>
      <c r="AC9" s="25">
        <v>5.596923076923077</v>
      </c>
      <c r="AD9" s="25">
        <v>26.36384615384615</v>
      </c>
      <c r="AE9" s="25">
        <v>26.93846153846153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ht="15.75" hidden="1" customHeight="1">
      <c r="A10" s="25" t="s">
        <v>58</v>
      </c>
      <c r="B10" s="25" t="s">
        <v>62</v>
      </c>
      <c r="C10" s="30">
        <v>45225.0</v>
      </c>
      <c r="D10" s="25" t="s">
        <v>64</v>
      </c>
      <c r="E10" s="12" t="s">
        <v>63</v>
      </c>
      <c r="F10" s="12" t="str">
        <f>IFERROR(__xludf.DUMMYFUNCTION("FILTER(Stadium!$A$2:$A$61,E10=Stadium!$B$2:$B$61)"),"India")</f>
        <v>India</v>
      </c>
      <c r="G10" s="30" t="str">
        <f t="shared" si="3"/>
        <v>L</v>
      </c>
      <c r="H10" s="30" t="str">
        <f t="shared" si="4"/>
        <v>W</v>
      </c>
      <c r="I10" s="24">
        <f>VLOOKUP(A10, 'WL Ratio Table'!$A$6:$D$8, 4, FALSE)</f>
        <v>1.384615385</v>
      </c>
      <c r="J10" s="24">
        <f>VLOOKUP(B10, 'WL Ratio Table'!$A$6:$D$9, 4, FALSE)</f>
        <v>0.21875</v>
      </c>
      <c r="K10" s="25" t="s">
        <v>53</v>
      </c>
      <c r="L10" s="25">
        <v>156.0</v>
      </c>
      <c r="M10" s="25">
        <v>160.0</v>
      </c>
      <c r="N10" s="25" t="s">
        <v>62</v>
      </c>
      <c r="O10" s="27">
        <v>80.0</v>
      </c>
      <c r="P10" s="25">
        <v>-435.0</v>
      </c>
      <c r="Q10" s="25">
        <v>303.0</v>
      </c>
      <c r="R10" s="25">
        <f t="shared" si="1"/>
        <v>-66</v>
      </c>
      <c r="S10" s="28">
        <f>IFERROR(__xludf.DUMMYFUNCTION("IF(F10=""India"", FILTER(Weather!D:D,D10=Weather!C:C,E10=Weather!B:B), FILTER(Weather!D:D,D10=Weather!C:C,F10=Weather!A:A))"),19.8)</f>
        <v>19.8</v>
      </c>
      <c r="T10" s="28">
        <f>IFERROR(__xludf.DUMMYFUNCTION("IF(F10=""India"", FILTER(Weather!E:E,D10=Weather!C:C,E10=Weather!B:B),FILTER(Weather!E:E,D10=Weather!C:C,F10=Weather!A:A))"),13.2)</f>
        <v>13.2</v>
      </c>
      <c r="U10" s="28">
        <f>IFERROR(__xludf.DUMMYFUNCTION("IF(F10=""India"", FILTER(Weather!F:F,D10=Weather!C:C,E10=Weather!B:B),FILTER(Weather!F:F,D10=Weather!C:C,F10=Weather!A:A))"),65.0)</f>
        <v>65</v>
      </c>
      <c r="V10" s="25">
        <v>30.137999999999998</v>
      </c>
      <c r="W10" s="25">
        <v>100.968</v>
      </c>
      <c r="X10" s="25">
        <v>5.778333333333333</v>
      </c>
      <c r="Y10" s="25">
        <v>37.89333333333334</v>
      </c>
      <c r="Z10" s="25">
        <v>39.69166666666667</v>
      </c>
      <c r="AA10" s="25">
        <v>24.878750000000004</v>
      </c>
      <c r="AB10" s="25">
        <v>76.75124999999998</v>
      </c>
      <c r="AC10" s="25">
        <v>5.679166666666667</v>
      </c>
      <c r="AD10" s="25">
        <v>34.49333333333333</v>
      </c>
      <c r="AE10" s="25">
        <v>38.29833333333333</v>
      </c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</row>
    <row r="11" ht="15.75" hidden="1" customHeight="1">
      <c r="A11" s="25" t="s">
        <v>54</v>
      </c>
      <c r="B11" s="25" t="s">
        <v>61</v>
      </c>
      <c r="C11" s="30">
        <v>45223.0</v>
      </c>
      <c r="D11" s="25" t="s">
        <v>64</v>
      </c>
      <c r="E11" s="12" t="s">
        <v>57</v>
      </c>
      <c r="F11" s="12" t="str">
        <f>IFERROR(__xludf.DUMMYFUNCTION("FILTER(Stadium!$A$2:$A$61,E11=Stadium!$B$2:$B$61)"),"India")</f>
        <v>India</v>
      </c>
      <c r="G11" s="30" t="str">
        <f t="shared" si="3"/>
        <v>W</v>
      </c>
      <c r="H11" s="30" t="str">
        <f t="shared" si="4"/>
        <v>L</v>
      </c>
      <c r="I11" s="24">
        <v>1.0909090909090908</v>
      </c>
      <c r="J11" s="24">
        <f>VLOOKUP(B11, 'WL Ratio Table'!$A$6:$D$9, 4, FALSE)</f>
        <v>0.5416666667</v>
      </c>
      <c r="K11" s="25" t="s">
        <v>53</v>
      </c>
      <c r="L11" s="25">
        <v>382.0</v>
      </c>
      <c r="M11" s="25">
        <v>286.0</v>
      </c>
      <c r="N11" s="25" t="s">
        <v>54</v>
      </c>
      <c r="O11" s="27">
        <f>(149/382)*100</f>
        <v>39.0052356</v>
      </c>
      <c r="P11" s="25">
        <v>-556.0</v>
      </c>
      <c r="Q11" s="25">
        <v>367.0</v>
      </c>
      <c r="R11" s="25">
        <f t="shared" si="1"/>
        <v>-94.5</v>
      </c>
      <c r="S11" s="28">
        <f>IFERROR(__xludf.DUMMYFUNCTION("IF(F11=""India"", FILTER(Weather!D:D,D11=Weather!C:C,E11=Weather!B:B), FILTER(Weather!D:D,D11=Weather!C:C,F11=Weather!A:A))"),33.1)</f>
        <v>33.1</v>
      </c>
      <c r="T11" s="28">
        <f>IFERROR(__xludf.DUMMYFUNCTION("IF(F11=""India"", FILTER(Weather!E:E,D11=Weather!C:C,E11=Weather!B:B),FILTER(Weather!E:E,D11=Weather!C:C,F11=Weather!A:A))"),28.9)</f>
        <v>28.9</v>
      </c>
      <c r="U11" s="28">
        <f>IFERROR(__xludf.DUMMYFUNCTION("IF(F11=""India"", FILTER(Weather!F:F,D11=Weather!C:C,E11=Weather!B:B),FILTER(Weather!F:F,D11=Weather!C:C,F11=Weather!A:A))"),20.6)</f>
        <v>20.6</v>
      </c>
      <c r="V11" s="25">
        <v>29.26</v>
      </c>
      <c r="W11" s="25">
        <v>86.99071428571429</v>
      </c>
      <c r="X11" s="25">
        <v>5.596923076923077</v>
      </c>
      <c r="Y11" s="25">
        <v>26.36384615384615</v>
      </c>
      <c r="Z11" s="25">
        <v>26.93846153846153</v>
      </c>
      <c r="AA11" s="25">
        <v>21.11625</v>
      </c>
      <c r="AB11" s="25">
        <v>78.83125</v>
      </c>
      <c r="AC11" s="25">
        <v>5.192727272727272</v>
      </c>
      <c r="AD11" s="25">
        <v>33.17</v>
      </c>
      <c r="AE11" s="25">
        <v>38.899090909090894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</row>
    <row r="12" ht="15.75" customHeight="1">
      <c r="A12" s="25" t="s">
        <v>47</v>
      </c>
      <c r="B12" s="25" t="s">
        <v>56</v>
      </c>
      <c r="C12" s="30">
        <v>45221.0</v>
      </c>
      <c r="D12" s="25" t="s">
        <v>64</v>
      </c>
      <c r="E12" s="25" t="s">
        <v>65</v>
      </c>
      <c r="F12" s="12" t="str">
        <f>IFERROR(__xludf.DUMMYFUNCTION("FILTER(Stadium!$A$2:$A$61,E12=Stadium!$B$2:$B$61)"),"India")</f>
        <v>India</v>
      </c>
      <c r="G12" s="30" t="str">
        <f t="shared" si="3"/>
        <v>W</v>
      </c>
      <c r="H12" s="30" t="str">
        <f t="shared" si="4"/>
        <v>L</v>
      </c>
      <c r="I12" s="22">
        <f>12/14</f>
        <v>0.8571428571</v>
      </c>
      <c r="J12" s="22">
        <f>2/14</f>
        <v>0.1428571429</v>
      </c>
      <c r="K12" s="25" t="s">
        <v>53</v>
      </c>
      <c r="L12" s="25">
        <v>274.0</v>
      </c>
      <c r="M12" s="25">
        <v>273.0</v>
      </c>
      <c r="N12" s="25" t="s">
        <v>47</v>
      </c>
      <c r="O12" s="27">
        <v>40.0</v>
      </c>
      <c r="P12" s="25">
        <v>-244.0</v>
      </c>
      <c r="Q12" s="25">
        <v>189.0</v>
      </c>
      <c r="R12" s="25">
        <f t="shared" si="1"/>
        <v>-27.5</v>
      </c>
      <c r="S12" s="28">
        <f>IFERROR(__xludf.DUMMYFUNCTION("IF(F12=""India"", FILTER(Weather!D:D,D12=Weather!C:C,E12=Weather!B:B), FILTER(Weather!D:D,D12=Weather!C:C,F12=Weather!A:A))"),14.3)</f>
        <v>14.3</v>
      </c>
      <c r="T12" s="28">
        <f>IFERROR(__xludf.DUMMYFUNCTION("IF(F12=""India"", FILTER(Weather!E:E,D12=Weather!C:C,E12=Weather!B:B),FILTER(Weather!E:E,D12=Weather!C:C,F12=Weather!A:A))"),8.0)</f>
        <v>8</v>
      </c>
      <c r="U12" s="28">
        <f>IFERROR(__xludf.DUMMYFUNCTION("IF(F12=""India"", FILTER(Weather!F:F,D12=Weather!C:C,E12=Weather!B:B),FILTER(Weather!F:F,D12=Weather!C:C,F12=Weather!A:A))"),63.0)</f>
        <v>63</v>
      </c>
      <c r="V12" s="15">
        <v>29.216249999999995</v>
      </c>
      <c r="W12" s="15">
        <v>82.43625</v>
      </c>
      <c r="X12" s="25">
        <v>5.422499999999999</v>
      </c>
      <c r="Y12" s="25">
        <v>40.535</v>
      </c>
      <c r="Z12" s="25">
        <v>43.995000000000005</v>
      </c>
      <c r="AA12" s="25">
        <v>29.453333333333333</v>
      </c>
      <c r="AB12" s="25">
        <v>88.70466666666665</v>
      </c>
      <c r="AC12" s="25">
        <v>5.574545454545454</v>
      </c>
      <c r="AD12" s="25">
        <v>33.232727272727274</v>
      </c>
      <c r="AE12" s="25">
        <v>35.72636363636363</v>
      </c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ht="15.75" hidden="1" customHeight="1">
      <c r="A13" s="25" t="s">
        <v>54</v>
      </c>
      <c r="B13" s="25" t="s">
        <v>58</v>
      </c>
      <c r="C13" s="30">
        <v>45220.0</v>
      </c>
      <c r="D13" s="25" t="s">
        <v>64</v>
      </c>
      <c r="E13" s="12" t="s">
        <v>57</v>
      </c>
      <c r="F13" s="12" t="str">
        <f>IFERROR(__xludf.DUMMYFUNCTION("FILTER(Stadium!$A$2:$A$61,E13=Stadium!$B$2:$B$61)"),"India")</f>
        <v>India</v>
      </c>
      <c r="G13" s="30" t="str">
        <f t="shared" si="3"/>
        <v>W</v>
      </c>
      <c r="H13" s="30" t="str">
        <f t="shared" si="4"/>
        <v>L</v>
      </c>
      <c r="I13" s="24">
        <v>1.0909090909090908</v>
      </c>
      <c r="J13" s="24">
        <f>VLOOKUP(B13, 'WL Ratio Table'!$A$6:$D$9, 4, FALSE)</f>
        <v>1.384615385</v>
      </c>
      <c r="K13" s="25" t="s">
        <v>53</v>
      </c>
      <c r="L13" s="25">
        <v>399.0</v>
      </c>
      <c r="M13" s="25">
        <v>170.0</v>
      </c>
      <c r="N13" s="25" t="s">
        <v>54</v>
      </c>
      <c r="O13" s="27">
        <f>(229/399)*100</f>
        <v>57.39348371</v>
      </c>
      <c r="P13" s="25">
        <v>114.0</v>
      </c>
      <c r="Q13" s="25">
        <v>-147.0</v>
      </c>
      <c r="R13" s="25">
        <f t="shared" si="1"/>
        <v>-16.5</v>
      </c>
      <c r="S13" s="28">
        <f>IFERROR(__xludf.DUMMYFUNCTION("IF(F13=""India"", FILTER(Weather!D:D,D13=Weather!C:C,E13=Weather!B:B), FILTER(Weather!D:D,D13=Weather!C:C,F13=Weather!A:A))"),33.1)</f>
        <v>33.1</v>
      </c>
      <c r="T13" s="28">
        <f>IFERROR(__xludf.DUMMYFUNCTION("IF(F13=""India"", FILTER(Weather!E:E,D13=Weather!C:C,E13=Weather!B:B),FILTER(Weather!E:E,D13=Weather!C:C,F13=Weather!A:A))"),28.9)</f>
        <v>28.9</v>
      </c>
      <c r="U13" s="28">
        <f>IFERROR(__xludf.DUMMYFUNCTION("IF(F13=""India"", FILTER(Weather!F:F,D13=Weather!C:C,E13=Weather!B:B),FILTER(Weather!F:F,D13=Weather!C:C,F13=Weather!A:A))"),20.6)</f>
        <v>20.6</v>
      </c>
      <c r="V13" s="25">
        <v>29.26</v>
      </c>
      <c r="W13" s="25">
        <v>86.99071428571429</v>
      </c>
      <c r="X13" s="25">
        <v>5.596923076923077</v>
      </c>
      <c r="Y13" s="25">
        <v>26.36384615384615</v>
      </c>
      <c r="Z13" s="25">
        <v>26.93846153846153</v>
      </c>
      <c r="AA13" s="25">
        <v>30.137999999999998</v>
      </c>
      <c r="AB13" s="25">
        <v>100.968</v>
      </c>
      <c r="AC13" s="25">
        <v>5.778333333333333</v>
      </c>
      <c r="AD13" s="25">
        <v>37.89333333333334</v>
      </c>
      <c r="AE13" s="25">
        <v>39.69166666666667</v>
      </c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</row>
    <row r="14" ht="15.75" hidden="1" customHeight="1">
      <c r="A14" s="25" t="s">
        <v>48</v>
      </c>
      <c r="B14" s="25" t="s">
        <v>59</v>
      </c>
      <c r="C14" s="30">
        <v>45219.0</v>
      </c>
      <c r="D14" s="25" t="s">
        <v>64</v>
      </c>
      <c r="E14" s="12" t="s">
        <v>63</v>
      </c>
      <c r="F14" s="12" t="str">
        <f>IFERROR(__xludf.DUMMYFUNCTION("FILTER(Stadium!$A$2:$A$61,E14=Stadium!$B$2:$B$61)"),"India")</f>
        <v>India</v>
      </c>
      <c r="G14" s="30" t="str">
        <f t="shared" si="3"/>
        <v>W</v>
      </c>
      <c r="H14" s="30" t="str">
        <f t="shared" si="4"/>
        <v>L</v>
      </c>
      <c r="I14" s="24">
        <v>1.125</v>
      </c>
      <c r="J14" s="24">
        <f>VLOOKUP(B14, 'WL Ratio Table'!$A$6:$D$9, 4, FALSE)</f>
        <v>1</v>
      </c>
      <c r="K14" s="25" t="s">
        <v>53</v>
      </c>
      <c r="L14" s="25">
        <v>367.0</v>
      </c>
      <c r="M14" s="25">
        <v>307.0</v>
      </c>
      <c r="N14" s="25" t="s">
        <v>48</v>
      </c>
      <c r="O14" s="27">
        <f>(62/367)*100</f>
        <v>16.89373297</v>
      </c>
      <c r="P14" s="25">
        <v>-196.0</v>
      </c>
      <c r="Q14" s="25">
        <v>152.0</v>
      </c>
      <c r="R14" s="25">
        <f t="shared" si="1"/>
        <v>-22</v>
      </c>
      <c r="S14" s="28">
        <f>IFERROR(__xludf.DUMMYFUNCTION("IF(F14=""India"", FILTER(Weather!D:D,D14=Weather!C:C,E14=Weather!B:B), FILTER(Weather!D:D,D14=Weather!C:C,F14=Weather!A:A))"),19.8)</f>
        <v>19.8</v>
      </c>
      <c r="T14" s="28">
        <f>IFERROR(__xludf.DUMMYFUNCTION("IF(F14=""India"", FILTER(Weather!E:E,D14=Weather!C:C,E14=Weather!B:B),FILTER(Weather!E:E,D14=Weather!C:C,F14=Weather!A:A))"),13.2)</f>
        <v>13.2</v>
      </c>
      <c r="U14" s="28">
        <f>IFERROR(__xludf.DUMMYFUNCTION("IF(F14=""India"", FILTER(Weather!F:F,D14=Weather!C:C,E14=Weather!B:B),FILTER(Weather!F:F,D14=Weather!C:C,F14=Weather!A:A))"),65.0)</f>
        <v>65</v>
      </c>
      <c r="V14" s="25">
        <v>27.727333333333334</v>
      </c>
      <c r="W14" s="25">
        <v>92.17733333333332</v>
      </c>
      <c r="X14" s="25">
        <v>5.772307692307693</v>
      </c>
      <c r="Y14" s="25">
        <v>39.89076923076924</v>
      </c>
      <c r="Z14" s="25">
        <v>41.56384615384616</v>
      </c>
      <c r="AA14" s="25">
        <v>28.993333333333332</v>
      </c>
      <c r="AB14" s="25">
        <v>91.364</v>
      </c>
      <c r="AC14" s="25">
        <v>5.425454545454545</v>
      </c>
      <c r="AD14" s="25">
        <v>46.032727272727264</v>
      </c>
      <c r="AE14" s="25">
        <v>51.62</v>
      </c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</row>
    <row r="15" ht="15.75" hidden="1" customHeight="1">
      <c r="A15" s="25" t="s">
        <v>47</v>
      </c>
      <c r="B15" s="25" t="s">
        <v>61</v>
      </c>
      <c r="C15" s="30">
        <v>45218.0</v>
      </c>
      <c r="D15" s="25" t="s">
        <v>64</v>
      </c>
      <c r="E15" s="12" t="s">
        <v>57</v>
      </c>
      <c r="F15" s="12" t="str">
        <f>IFERROR(__xludf.DUMMYFUNCTION("FILTER(Stadium!$A$2:$A$61,E15=Stadium!$B$2:$B$61)"),"India")</f>
        <v>India</v>
      </c>
      <c r="G15" s="30" t="str">
        <f t="shared" si="3"/>
        <v>W</v>
      </c>
      <c r="H15" s="30" t="str">
        <f t="shared" si="4"/>
        <v>L</v>
      </c>
      <c r="I15" s="24">
        <v>2.8125</v>
      </c>
      <c r="J15" s="24">
        <f>VLOOKUP(B15, 'WL Ratio Table'!$A$6:$D$9, 4, FALSE)</f>
        <v>0.5416666667</v>
      </c>
      <c r="K15" s="25" t="s">
        <v>53</v>
      </c>
      <c r="L15" s="25">
        <v>261.0</v>
      </c>
      <c r="M15" s="25">
        <v>256.0</v>
      </c>
      <c r="N15" s="25" t="s">
        <v>47</v>
      </c>
      <c r="O15" s="27">
        <v>70.0</v>
      </c>
      <c r="P15" s="25">
        <v>-909.0</v>
      </c>
      <c r="Q15" s="25">
        <v>527.0</v>
      </c>
      <c r="R15" s="25">
        <f t="shared" si="1"/>
        <v>-191</v>
      </c>
      <c r="S15" s="28">
        <f>IFERROR(__xludf.DUMMYFUNCTION("IF(F15=""India"", FILTER(Weather!D:D,D15=Weather!C:C,E15=Weather!B:B), FILTER(Weather!D:D,D15=Weather!C:C,F15=Weather!A:A))"),33.1)</f>
        <v>33.1</v>
      </c>
      <c r="T15" s="28">
        <f>IFERROR(__xludf.DUMMYFUNCTION("IF(F15=""India"", FILTER(Weather!E:E,D15=Weather!C:C,E15=Weather!B:B),FILTER(Weather!E:E,D15=Weather!C:C,F15=Weather!A:A))"),28.9)</f>
        <v>28.9</v>
      </c>
      <c r="U15" s="28">
        <f>IFERROR(__xludf.DUMMYFUNCTION("IF(F15=""India"", FILTER(Weather!F:F,D15=Weather!C:C,E15=Weather!B:B),FILTER(Weather!F:F,D15=Weather!C:C,F15=Weather!A:A))"),20.6)</f>
        <v>20.6</v>
      </c>
      <c r="V15" s="15">
        <v>29.216249999999995</v>
      </c>
      <c r="W15" s="15">
        <v>82.43625</v>
      </c>
      <c r="X15" s="25">
        <v>5.422499999999999</v>
      </c>
      <c r="Y15" s="25">
        <v>40.535</v>
      </c>
      <c r="Z15" s="25">
        <v>43.995000000000005</v>
      </c>
      <c r="AA15" s="25">
        <v>21.11625</v>
      </c>
      <c r="AB15" s="25">
        <v>78.83125</v>
      </c>
      <c r="AC15" s="25">
        <v>5.192727272727272</v>
      </c>
      <c r="AD15" s="25">
        <v>33.17</v>
      </c>
      <c r="AE15" s="25">
        <v>38.899090909090894</v>
      </c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</row>
    <row r="16" ht="15.75" hidden="1" customHeight="1">
      <c r="A16" s="25" t="s">
        <v>48</v>
      </c>
      <c r="B16" s="25" t="s">
        <v>62</v>
      </c>
      <c r="C16" s="30">
        <v>45215.0</v>
      </c>
      <c r="D16" s="25" t="s">
        <v>64</v>
      </c>
      <c r="E16" s="12" t="s">
        <v>55</v>
      </c>
      <c r="F16" s="12" t="str">
        <f>IFERROR(__xludf.DUMMYFUNCTION("FILTER(Stadium!$A$2:$A$61,E16=Stadium!$B$2:$B$61)"),"India")</f>
        <v>India</v>
      </c>
      <c r="G16" s="30" t="str">
        <f t="shared" si="3"/>
        <v>W</v>
      </c>
      <c r="H16" s="30" t="str">
        <f t="shared" si="4"/>
        <v>L</v>
      </c>
      <c r="I16" s="24">
        <v>1.125</v>
      </c>
      <c r="J16" s="24">
        <f>VLOOKUP(B16, 'WL Ratio Table'!$A$6:$D$9, 4, FALSE)</f>
        <v>0.21875</v>
      </c>
      <c r="K16" s="25" t="s">
        <v>53</v>
      </c>
      <c r="L16" s="25">
        <v>215.0</v>
      </c>
      <c r="M16" s="25">
        <v>209.0</v>
      </c>
      <c r="N16" s="25" t="s">
        <v>48</v>
      </c>
      <c r="O16" s="27">
        <v>50.0</v>
      </c>
      <c r="P16" s="25">
        <v>-357.0</v>
      </c>
      <c r="Q16" s="25">
        <v>264.0</v>
      </c>
      <c r="R16" s="25">
        <f t="shared" si="1"/>
        <v>-46.5</v>
      </c>
      <c r="S16" s="28">
        <f>IFERROR(__xludf.DUMMYFUNCTION("IF(F16=""India"", FILTER(Weather!D:D,D16=Weather!C:C,E16=Weather!B:B), FILTER(Weather!D:D,D16=Weather!C:C,F16=Weather!A:A))"),32.8)</f>
        <v>32.8</v>
      </c>
      <c r="T16" s="28">
        <f>IFERROR(__xludf.DUMMYFUNCTION("IF(F16=""India"", FILTER(Weather!E:E,D16=Weather!C:C,E16=Weather!B:B),FILTER(Weather!E:E,D16=Weather!C:C,F16=Weather!A:A))"),26.1)</f>
        <v>26.1</v>
      </c>
      <c r="U16" s="28">
        <f>IFERROR(__xludf.DUMMYFUNCTION("IF(F16=""India"", FILTER(Weather!F:F,D16=Weather!C:C,E16=Weather!B:B),FILTER(Weather!F:F,D16=Weather!C:C,F16=Weather!A:A))"),10.0)</f>
        <v>10</v>
      </c>
      <c r="V16" s="25">
        <v>27.727333333333334</v>
      </c>
      <c r="W16" s="25">
        <v>92.17733333333332</v>
      </c>
      <c r="X16" s="25">
        <v>5.772307692307693</v>
      </c>
      <c r="Y16" s="25">
        <v>39.89076923076924</v>
      </c>
      <c r="Z16" s="25">
        <v>41.56384615384616</v>
      </c>
      <c r="AA16" s="25">
        <v>24.878750000000004</v>
      </c>
      <c r="AB16" s="25">
        <v>76.75124999999998</v>
      </c>
      <c r="AC16" s="25">
        <v>5.679166666666667</v>
      </c>
      <c r="AD16" s="25">
        <v>34.49333333333333</v>
      </c>
      <c r="AE16" s="25">
        <v>38.29833333333333</v>
      </c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</row>
    <row r="17" ht="15.75" hidden="1" customHeight="1">
      <c r="A17" s="25" t="s">
        <v>47</v>
      </c>
      <c r="B17" s="25" t="s">
        <v>59</v>
      </c>
      <c r="C17" s="30">
        <v>45213.0</v>
      </c>
      <c r="D17" s="25" t="s">
        <v>64</v>
      </c>
      <c r="E17" s="12" t="s">
        <v>50</v>
      </c>
      <c r="F17" s="12" t="str">
        <f>IFERROR(__xludf.DUMMYFUNCTION("FILTER(Stadium!$A$2:$A$61,E17=Stadium!$B$2:$B$61)"),"India")</f>
        <v>India</v>
      </c>
      <c r="G17" s="30" t="str">
        <f t="shared" si="3"/>
        <v>W</v>
      </c>
      <c r="H17" s="30" t="str">
        <f t="shared" si="4"/>
        <v>L</v>
      </c>
      <c r="I17" s="24">
        <v>2.8125</v>
      </c>
      <c r="J17" s="24">
        <f>VLOOKUP(B17, 'WL Ratio Table'!$A$6:$D$9, 4, FALSE)</f>
        <v>1</v>
      </c>
      <c r="K17" s="25" t="s">
        <v>53</v>
      </c>
      <c r="L17" s="25">
        <v>192.0</v>
      </c>
      <c r="M17" s="25">
        <v>191.0</v>
      </c>
      <c r="N17" s="25" t="s">
        <v>47</v>
      </c>
      <c r="O17" s="27">
        <v>70.0</v>
      </c>
      <c r="P17" s="25">
        <v>-250.0</v>
      </c>
      <c r="Q17" s="25">
        <v>191.0</v>
      </c>
      <c r="R17" s="25">
        <f t="shared" si="1"/>
        <v>-29.5</v>
      </c>
      <c r="S17" s="28">
        <f>IFERROR(__xludf.DUMMYFUNCTION("IF(F17=""India"", FILTER(Weather!D:D,D17=Weather!C:C,E17=Weather!B:B), FILTER(Weather!D:D,D17=Weather!C:C,F17=Weather!A:A))"),28.5)</f>
        <v>28.5</v>
      </c>
      <c r="T17" s="28">
        <f>IFERROR(__xludf.DUMMYFUNCTION("IF(F17=""India"", FILTER(Weather!E:E,D17=Weather!C:C,E17=Weather!B:B),FILTER(Weather!E:E,D17=Weather!C:C,F17=Weather!A:A))"),21.8)</f>
        <v>21.8</v>
      </c>
      <c r="U17" s="28">
        <f>IFERROR(__xludf.DUMMYFUNCTION("IF(F17=""India"", FILTER(Weather!F:F,D17=Weather!C:C,E17=Weather!B:B),FILTER(Weather!F:F,D17=Weather!C:C,F17=Weather!A:A))"),0.9)</f>
        <v>0.9</v>
      </c>
      <c r="V17" s="15">
        <v>29.216249999999995</v>
      </c>
      <c r="W17" s="15">
        <v>82.43625</v>
      </c>
      <c r="X17" s="25">
        <v>5.422499999999999</v>
      </c>
      <c r="Y17" s="25">
        <v>40.535</v>
      </c>
      <c r="Z17" s="25">
        <v>43.995000000000005</v>
      </c>
      <c r="AA17" s="25">
        <v>28.993333333333332</v>
      </c>
      <c r="AB17" s="25">
        <v>91.364</v>
      </c>
      <c r="AC17" s="25">
        <v>5.425454545454545</v>
      </c>
      <c r="AD17" s="25">
        <v>46.032727272727264</v>
      </c>
      <c r="AE17" s="25">
        <v>51.62</v>
      </c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</row>
    <row r="18" ht="15.75" hidden="1" customHeight="1">
      <c r="A18" s="25" t="s">
        <v>56</v>
      </c>
      <c r="B18" s="25" t="s">
        <v>61</v>
      </c>
      <c r="C18" s="30">
        <v>45212.0</v>
      </c>
      <c r="D18" s="25" t="s">
        <v>64</v>
      </c>
      <c r="E18" s="12" t="s">
        <v>60</v>
      </c>
      <c r="F18" s="12" t="str">
        <f>IFERROR(__xludf.DUMMYFUNCTION("FILTER(Stadium!$A$2:$A$61,E18=Stadium!$B$2:$B$61)"),"India")</f>
        <v>India</v>
      </c>
      <c r="G18" s="30" t="str">
        <f t="shared" si="3"/>
        <v>W</v>
      </c>
      <c r="H18" s="30" t="str">
        <f t="shared" si="4"/>
        <v>L</v>
      </c>
      <c r="I18" s="24">
        <v>0.75</v>
      </c>
      <c r="J18" s="24">
        <f>VLOOKUP(B18, 'WL Ratio Table'!$A$6:$D$9, 4, FALSE)</f>
        <v>0.5416666667</v>
      </c>
      <c r="K18" s="25" t="s">
        <v>53</v>
      </c>
      <c r="L18" s="25">
        <v>248.0</v>
      </c>
      <c r="M18" s="25">
        <v>245.0</v>
      </c>
      <c r="N18" s="25" t="s">
        <v>56</v>
      </c>
      <c r="O18" s="27">
        <v>80.0</v>
      </c>
      <c r="P18" s="25">
        <v>-370.0</v>
      </c>
      <c r="Q18" s="25">
        <v>269.0</v>
      </c>
      <c r="R18" s="25">
        <f t="shared" si="1"/>
        <v>-50.5</v>
      </c>
      <c r="S18" s="28">
        <f>IFERROR(__xludf.DUMMYFUNCTION("IF(F18=""India"", FILTER(Weather!D:D,D18=Weather!C:C,E18=Weather!B:B), FILTER(Weather!D:D,D18=Weather!C:C,F18=Weather!A:A))"),32.3)</f>
        <v>32.3</v>
      </c>
      <c r="T18" s="28">
        <f>IFERROR(__xludf.DUMMYFUNCTION("IF(F18=""India"", FILTER(Weather!E:E,D18=Weather!C:C,E18=Weather!B:B),FILTER(Weather!E:E,D18=Weather!C:C,F18=Weather!A:A))"),24.4)</f>
        <v>24.4</v>
      </c>
      <c r="U18" s="28">
        <f>IFERROR(__xludf.DUMMYFUNCTION("IF(F18=""India"", FILTER(Weather!F:F,D18=Weather!C:C,E18=Weather!B:B),FILTER(Weather!F:F,D18=Weather!C:C,F18=Weather!A:A))"),179.6)</f>
        <v>179.6</v>
      </c>
      <c r="V18" s="25">
        <v>29.453333333333333</v>
      </c>
      <c r="W18" s="25">
        <v>88.70466666666665</v>
      </c>
      <c r="X18" s="25">
        <v>5.574545454545454</v>
      </c>
      <c r="Y18" s="25">
        <v>33.232727272727274</v>
      </c>
      <c r="Z18" s="25">
        <v>35.72636363636363</v>
      </c>
      <c r="AA18" s="25">
        <v>21.11625</v>
      </c>
      <c r="AB18" s="25">
        <v>78.83125</v>
      </c>
      <c r="AC18" s="25">
        <v>5.192727272727272</v>
      </c>
      <c r="AD18" s="25">
        <v>33.17</v>
      </c>
      <c r="AE18" s="25">
        <v>38.899090909090894</v>
      </c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</row>
    <row r="19" ht="15.75" hidden="1" customHeight="1">
      <c r="A19" s="25" t="s">
        <v>48</v>
      </c>
      <c r="B19" s="25" t="s">
        <v>54</v>
      </c>
      <c r="C19" s="30">
        <v>45211.0</v>
      </c>
      <c r="D19" s="25" t="s">
        <v>64</v>
      </c>
      <c r="E19" s="12" t="s">
        <v>55</v>
      </c>
      <c r="F19" s="12" t="str">
        <f>IFERROR(__xludf.DUMMYFUNCTION("FILTER(Stadium!$A$2:$A$61,E19=Stadium!$B$2:$B$61)"),"India")</f>
        <v>India</v>
      </c>
      <c r="G19" s="30" t="str">
        <f t="shared" si="3"/>
        <v>L</v>
      </c>
      <c r="H19" s="30" t="str">
        <f t="shared" si="4"/>
        <v>W</v>
      </c>
      <c r="I19" s="21">
        <v>0.7</v>
      </c>
      <c r="J19" s="21">
        <v>0.3</v>
      </c>
      <c r="K19" s="25" t="s">
        <v>53</v>
      </c>
      <c r="L19" s="25">
        <v>177.0</v>
      </c>
      <c r="M19" s="25">
        <v>311.0</v>
      </c>
      <c r="N19" s="25" t="s">
        <v>54</v>
      </c>
      <c r="O19" s="27">
        <f>(134/311)*100</f>
        <v>43.08681672</v>
      </c>
      <c r="P19" s="25">
        <v>-159.0</v>
      </c>
      <c r="Q19" s="25">
        <v>125.0</v>
      </c>
      <c r="R19" s="25">
        <f t="shared" si="1"/>
        <v>-17</v>
      </c>
      <c r="S19" s="28">
        <f>IFERROR(__xludf.DUMMYFUNCTION("IF(F19=""India"", FILTER(Weather!D:D,D19=Weather!C:C,E19=Weather!B:B), FILTER(Weather!D:D,D19=Weather!C:C,F19=Weather!A:A))"),32.8)</f>
        <v>32.8</v>
      </c>
      <c r="T19" s="28">
        <f>IFERROR(__xludf.DUMMYFUNCTION("IF(F19=""India"", FILTER(Weather!E:E,D19=Weather!C:C,E19=Weather!B:B),FILTER(Weather!E:E,D19=Weather!C:C,F19=Weather!A:A))"),26.1)</f>
        <v>26.1</v>
      </c>
      <c r="U19" s="28">
        <f>IFERROR(__xludf.DUMMYFUNCTION("IF(F19=""India"", FILTER(Weather!F:F,D19=Weather!C:C,E19=Weather!B:B),FILTER(Weather!F:F,D19=Weather!C:C,F19=Weather!A:A))"),10.0)</f>
        <v>10</v>
      </c>
      <c r="V19" s="25">
        <v>27.727333333333334</v>
      </c>
      <c r="W19" s="25">
        <v>92.17733333333332</v>
      </c>
      <c r="X19" s="25">
        <v>5.772307692307693</v>
      </c>
      <c r="Y19" s="25">
        <v>39.89076923076924</v>
      </c>
      <c r="Z19" s="25">
        <v>41.56384615384616</v>
      </c>
      <c r="AA19" s="25">
        <v>29.26</v>
      </c>
      <c r="AB19" s="25">
        <v>86.99071428571429</v>
      </c>
      <c r="AC19" s="25">
        <v>5.596923076923077</v>
      </c>
      <c r="AD19" s="25">
        <v>26.36384615384615</v>
      </c>
      <c r="AE19" s="25">
        <v>26.93846153846153</v>
      </c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</row>
    <row r="20" ht="15.75" hidden="1" customHeight="1">
      <c r="A20" s="25" t="s">
        <v>59</v>
      </c>
      <c r="B20" s="25" t="s">
        <v>62</v>
      </c>
      <c r="C20" s="30">
        <v>45209.0</v>
      </c>
      <c r="D20" s="25" t="s">
        <v>64</v>
      </c>
      <c r="E20" s="12" t="s">
        <v>67</v>
      </c>
      <c r="F20" s="12" t="str">
        <f>IFERROR(__xludf.DUMMYFUNCTION("FILTER(Stadium!$A$2:$A$61,E20=Stadium!$B$2:$B$61)"),"India")</f>
        <v>India</v>
      </c>
      <c r="G20" s="30" t="str">
        <f t="shared" si="3"/>
        <v>W</v>
      </c>
      <c r="H20" s="30" t="str">
        <f t="shared" si="4"/>
        <v>L</v>
      </c>
      <c r="I20" s="24">
        <f>VLOOKUP(A20, 'WL Ratio Table'!$A$6:$D$8, 4, FALSE)</f>
        <v>1</v>
      </c>
      <c r="J20" s="24">
        <f>VLOOKUP(B20, 'WL Ratio Table'!$A$6:$D$9, 4, FALSE)</f>
        <v>0.21875</v>
      </c>
      <c r="K20" s="25" t="s">
        <v>53</v>
      </c>
      <c r="L20" s="25">
        <v>345.0</v>
      </c>
      <c r="M20" s="25">
        <v>344.0</v>
      </c>
      <c r="N20" s="25" t="s">
        <v>59</v>
      </c>
      <c r="O20" s="27">
        <v>60.0</v>
      </c>
      <c r="P20" s="25">
        <v>-227.0</v>
      </c>
      <c r="Q20" s="25">
        <v>172.0</v>
      </c>
      <c r="R20" s="25">
        <f t="shared" si="1"/>
        <v>-27.5</v>
      </c>
      <c r="S20" s="28">
        <f>IFERROR(__xludf.DUMMYFUNCTION("IF(F20=""India"", FILTER(Weather!D:D,D20=Weather!C:C,E20=Weather!B:B), FILTER(Weather!D:D,D20=Weather!C:C,F20=Weather!A:A))"),26.1)</f>
        <v>26.1</v>
      </c>
      <c r="T20" s="28">
        <f>IFERROR(__xludf.DUMMYFUNCTION("IF(F20=""India"", FILTER(Weather!E:E,D20=Weather!C:C,E20=Weather!B:B),FILTER(Weather!E:E,D20=Weather!C:C,F20=Weather!A:A))"),20.9)</f>
        <v>20.9</v>
      </c>
      <c r="U20" s="28">
        <f>IFERROR(__xludf.DUMMYFUNCTION("IF(F20=""India"", FILTER(Weather!F:F,D20=Weather!C:C,E20=Weather!B:B),FILTER(Weather!F:F,D20=Weather!C:C,F20=Weather!A:A))"),5.6)</f>
        <v>5.6</v>
      </c>
      <c r="V20" s="25">
        <v>28.993333333333332</v>
      </c>
      <c r="W20" s="25">
        <v>91.364</v>
      </c>
      <c r="X20" s="25">
        <v>5.425454545454545</v>
      </c>
      <c r="Y20" s="25">
        <v>46.032727272727264</v>
      </c>
      <c r="Z20" s="25">
        <v>51.62</v>
      </c>
      <c r="AA20" s="25">
        <v>24.878750000000004</v>
      </c>
      <c r="AB20" s="25">
        <v>76.75124999999998</v>
      </c>
      <c r="AC20" s="25">
        <v>5.679166666666667</v>
      </c>
      <c r="AD20" s="25">
        <v>34.49333333333333</v>
      </c>
      <c r="AE20" s="25">
        <v>38.29833333333333</v>
      </c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</row>
    <row r="21" ht="15.75" hidden="1" customHeight="1">
      <c r="A21" s="25" t="s">
        <v>58</v>
      </c>
      <c r="B21" s="25" t="s">
        <v>61</v>
      </c>
      <c r="C21" s="30">
        <v>45208.0</v>
      </c>
      <c r="D21" s="25" t="s">
        <v>64</v>
      </c>
      <c r="E21" s="12" t="s">
        <v>65</v>
      </c>
      <c r="F21" s="12" t="str">
        <f>IFERROR(__xludf.DUMMYFUNCTION("FILTER(Stadium!$A$2:$A$61,E21=Stadium!$B$2:$B$61)"),"India")</f>
        <v>India</v>
      </c>
      <c r="G21" s="30" t="str">
        <f t="shared" si="3"/>
        <v>W</v>
      </c>
      <c r="H21" s="30" t="str">
        <f t="shared" si="4"/>
        <v>L</v>
      </c>
      <c r="I21" s="24">
        <f>VLOOKUP(A21, 'WL Ratio Table'!$A$6:$D$8, 4, FALSE)</f>
        <v>1.384615385</v>
      </c>
      <c r="J21" s="24">
        <f>VLOOKUP(B21, 'WL Ratio Table'!$A$6:$D$9, 4, FALSE)</f>
        <v>0.5416666667</v>
      </c>
      <c r="K21" s="25" t="s">
        <v>53</v>
      </c>
      <c r="L21" s="25">
        <v>364.0</v>
      </c>
      <c r="M21" s="25">
        <v>227.0</v>
      </c>
      <c r="N21" s="25" t="s">
        <v>58</v>
      </c>
      <c r="O21" s="31">
        <f>(137/364)*100</f>
        <v>37.63736264</v>
      </c>
      <c r="P21" s="25">
        <v>-455.0</v>
      </c>
      <c r="Q21" s="25">
        <v>325.0</v>
      </c>
      <c r="R21" s="25">
        <f t="shared" si="1"/>
        <v>-65</v>
      </c>
      <c r="S21" s="28">
        <f>IFERROR(__xludf.DUMMYFUNCTION("IF(F21=""India"", FILTER(Weather!D:D,D21=Weather!C:C,E21=Weather!B:B), FILTER(Weather!D:D,D21=Weather!C:C,F21=Weather!A:A))"),14.3)</f>
        <v>14.3</v>
      </c>
      <c r="T21" s="28">
        <f>IFERROR(__xludf.DUMMYFUNCTION("IF(F21=""India"", FILTER(Weather!E:E,D21=Weather!C:C,E21=Weather!B:B),FILTER(Weather!E:E,D21=Weather!C:C,F21=Weather!A:A))"),8.0)</f>
        <v>8</v>
      </c>
      <c r="U21" s="28">
        <f>IFERROR(__xludf.DUMMYFUNCTION("IF(F21=""India"", FILTER(Weather!F:F,D21=Weather!C:C,E21=Weather!B:B),FILTER(Weather!F:F,D21=Weather!C:C,F21=Weather!A:A))"),63.0)</f>
        <v>63</v>
      </c>
      <c r="V21" s="25">
        <v>30.137999999999998</v>
      </c>
      <c r="W21" s="25">
        <v>100.968</v>
      </c>
      <c r="X21" s="25">
        <v>5.778333333333333</v>
      </c>
      <c r="Y21" s="25">
        <v>37.89333333333334</v>
      </c>
      <c r="Z21" s="25">
        <v>39.69166666666667</v>
      </c>
      <c r="AA21" s="25">
        <v>21.11625</v>
      </c>
      <c r="AB21" s="25">
        <v>78.83125</v>
      </c>
      <c r="AC21" s="25">
        <v>5.192727272727272</v>
      </c>
      <c r="AD21" s="25">
        <v>33.17</v>
      </c>
      <c r="AE21" s="25">
        <v>38.899090909090894</v>
      </c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</row>
    <row r="22" ht="15.75" hidden="1" customHeight="1">
      <c r="A22" s="25" t="s">
        <v>47</v>
      </c>
      <c r="B22" s="25" t="s">
        <v>48</v>
      </c>
      <c r="C22" s="32">
        <v>45207.0</v>
      </c>
      <c r="D22" s="25" t="s">
        <v>64</v>
      </c>
      <c r="E22" s="12" t="s">
        <v>66</v>
      </c>
      <c r="F22" s="12" t="str">
        <f>IFERROR(__xludf.DUMMYFUNCTION("FILTER(Stadium!$A$2:$A$61,E22=Stadium!$B$2:$B$61)"),"India")</f>
        <v>India</v>
      </c>
      <c r="G22" s="30" t="str">
        <f t="shared" si="3"/>
        <v>W</v>
      </c>
      <c r="H22" s="30" t="str">
        <f t="shared" si="4"/>
        <v>L</v>
      </c>
      <c r="I22" s="24">
        <f>7/9</f>
        <v>0.7777777778</v>
      </c>
      <c r="J22" s="24">
        <f>2/9</f>
        <v>0.2222222222</v>
      </c>
      <c r="K22" s="25" t="s">
        <v>53</v>
      </c>
      <c r="L22" s="25">
        <v>201.0</v>
      </c>
      <c r="M22" s="25">
        <v>199.0</v>
      </c>
      <c r="N22" s="25" t="s">
        <v>47</v>
      </c>
      <c r="O22" s="27">
        <v>60.0</v>
      </c>
      <c r="P22" s="25">
        <v>-169.0</v>
      </c>
      <c r="Q22" s="25">
        <v>131.0</v>
      </c>
      <c r="R22" s="25">
        <f t="shared" si="1"/>
        <v>-19</v>
      </c>
      <c r="S22" s="28">
        <f>IFERROR(__xludf.DUMMYFUNCTION("IF(F22=""India"", FILTER(Weather!D:D,D22=Weather!C:C,E22=Weather!B:B), FILTER(Weather!D:D,D22=Weather!C:C,F22=Weather!A:A))"),28.4)</f>
        <v>28.4</v>
      </c>
      <c r="T22" s="28">
        <f>IFERROR(__xludf.DUMMYFUNCTION("IF(F22=""India"", FILTER(Weather!E:E,D22=Weather!C:C,E22=Weather!B:B),FILTER(Weather!E:E,D22=Weather!C:C,F22=Weather!A:A))"),24.6)</f>
        <v>24.6</v>
      </c>
      <c r="U22" s="28">
        <f>IFERROR(__xludf.DUMMYFUNCTION("IF(F22=""India"", FILTER(Weather!F:F,D22=Weather!C:C,E22=Weather!B:B),FILTER(Weather!F:F,D22=Weather!C:C,F22=Weather!A:A))"),10.6)</f>
        <v>10.6</v>
      </c>
      <c r="V22" s="15">
        <v>29.216249999999995</v>
      </c>
      <c r="W22" s="15">
        <v>82.43625</v>
      </c>
      <c r="X22" s="25">
        <v>5.422499999999999</v>
      </c>
      <c r="Y22" s="25">
        <v>40.535</v>
      </c>
      <c r="Z22" s="25">
        <v>43.995000000000005</v>
      </c>
      <c r="AA22" s="25">
        <v>27.727333333333334</v>
      </c>
      <c r="AB22" s="25">
        <v>92.17733333333332</v>
      </c>
      <c r="AC22" s="25">
        <v>5.772307692307693</v>
      </c>
      <c r="AD22" s="25">
        <v>39.89076923076924</v>
      </c>
      <c r="AE22" s="25">
        <v>41.56384615384616</v>
      </c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</row>
    <row r="23" ht="15.75" hidden="1" customHeight="1">
      <c r="A23" s="25" t="s">
        <v>54</v>
      </c>
      <c r="B23" s="25" t="s">
        <v>62</v>
      </c>
      <c r="C23" s="30">
        <v>45206.0</v>
      </c>
      <c r="D23" s="25" t="s">
        <v>64</v>
      </c>
      <c r="E23" s="12" t="s">
        <v>68</v>
      </c>
      <c r="F23" s="12" t="str">
        <f>IFERROR(__xludf.DUMMYFUNCTION("FILTER(Stadium!$A$2:$A$61,E23=Stadium!$B$2:$B$61)"),"India")</f>
        <v>India</v>
      </c>
      <c r="G23" s="30" t="str">
        <f t="shared" si="3"/>
        <v>W</v>
      </c>
      <c r="H23" s="30" t="str">
        <f t="shared" si="4"/>
        <v>L</v>
      </c>
      <c r="I23" s="24">
        <v>1.0909090909090908</v>
      </c>
      <c r="J23" s="24">
        <f>VLOOKUP(B23, 'WL Ratio Table'!$A$6:$D$9, 4, FALSE)</f>
        <v>0.21875</v>
      </c>
      <c r="K23" s="25" t="s">
        <v>53</v>
      </c>
      <c r="L23" s="25">
        <v>428.0</v>
      </c>
      <c r="M23" s="25">
        <v>326.0</v>
      </c>
      <c r="N23" s="25" t="s">
        <v>54</v>
      </c>
      <c r="O23" s="27">
        <f>(102/428)*100</f>
        <v>23.8317757</v>
      </c>
      <c r="P23" s="25">
        <v>-250.0</v>
      </c>
      <c r="Q23" s="25">
        <v>190.0</v>
      </c>
      <c r="R23" s="25">
        <f t="shared" si="1"/>
        <v>-30</v>
      </c>
      <c r="S23" s="28">
        <f>IFERROR(__xludf.DUMMYFUNCTION("IF(F23=""India"", FILTER(Weather!D:D,D23=Weather!C:C,E23=Weather!B:B), FILTER(Weather!D:D,D23=Weather!C:C,F23=Weather!A:A))"),33.0)</f>
        <v>33</v>
      </c>
      <c r="T23" s="28">
        <f>IFERROR(__xludf.DUMMYFUNCTION("IF(F23=""India"", FILTER(Weather!E:E,D23=Weather!C:C,E23=Weather!B:B),FILTER(Weather!E:E,D23=Weather!C:C,F23=Weather!A:A))"),26.2)</f>
        <v>26.2</v>
      </c>
      <c r="U23" s="28">
        <f>IFERROR(__xludf.DUMMYFUNCTION("IF(F23=""India"", FILTER(Weather!F:F,D23=Weather!C:C,E23=Weather!B:B),FILTER(Weather!F:F,D23=Weather!C:C,F23=Weather!A:A))"),9.4)</f>
        <v>9.4</v>
      </c>
      <c r="V23" s="25">
        <v>29.26</v>
      </c>
      <c r="W23" s="25">
        <v>86.99071428571429</v>
      </c>
      <c r="X23" s="25">
        <v>5.596923076923077</v>
      </c>
      <c r="Y23" s="25">
        <v>26.36384615384615</v>
      </c>
      <c r="Z23" s="25">
        <v>26.93846153846153</v>
      </c>
      <c r="AA23" s="25">
        <v>24.878750000000004</v>
      </c>
      <c r="AB23" s="25">
        <v>76.75124999999998</v>
      </c>
      <c r="AC23" s="25">
        <v>5.679166666666667</v>
      </c>
      <c r="AD23" s="25">
        <v>34.49333333333333</v>
      </c>
      <c r="AE23" s="25">
        <v>38.29833333333333</v>
      </c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</row>
    <row r="24" ht="15.75" hidden="1" customHeight="1">
      <c r="A24" s="25" t="s">
        <v>58</v>
      </c>
      <c r="B24" s="25" t="s">
        <v>56</v>
      </c>
      <c r="C24" s="30">
        <v>45204.0</v>
      </c>
      <c r="D24" s="25" t="s">
        <v>64</v>
      </c>
      <c r="E24" s="12" t="s">
        <v>50</v>
      </c>
      <c r="F24" s="12" t="str">
        <f>IFERROR(__xludf.DUMMYFUNCTION("FILTER(Stadium!$A$2:$A$61,E24=Stadium!$B$2:$B$61)"),"India")</f>
        <v>India</v>
      </c>
      <c r="G24" s="30" t="str">
        <f t="shared" si="3"/>
        <v>L</v>
      </c>
      <c r="H24" s="30" t="str">
        <f t="shared" si="4"/>
        <v>W</v>
      </c>
      <c r="I24" s="24">
        <f>VLOOKUP(A24, 'WL Ratio Table'!$A$6:$D$8, 4, FALSE)</f>
        <v>1.384615385</v>
      </c>
      <c r="J24" s="24">
        <v>0.75</v>
      </c>
      <c r="K24" s="25" t="s">
        <v>53</v>
      </c>
      <c r="L24" s="25">
        <v>282.0</v>
      </c>
      <c r="M24" s="25">
        <v>283.0</v>
      </c>
      <c r="N24" s="25" t="s">
        <v>56</v>
      </c>
      <c r="O24" s="27">
        <v>90.0</v>
      </c>
      <c r="P24" s="25">
        <v>-208.0</v>
      </c>
      <c r="Q24" s="25">
        <v>154.0</v>
      </c>
      <c r="R24" s="25">
        <f t="shared" si="1"/>
        <v>-27</v>
      </c>
      <c r="S24" s="28">
        <f>IFERROR(__xludf.DUMMYFUNCTION("IF(F24=""India"", FILTER(Weather!D:D,D24=Weather!C:C,E24=Weather!B:B), FILTER(Weather!D:D,D24=Weather!C:C,F24=Weather!A:A))"),28.5)</f>
        <v>28.5</v>
      </c>
      <c r="T24" s="28">
        <f>IFERROR(__xludf.DUMMYFUNCTION("IF(F24=""India"", FILTER(Weather!E:E,D24=Weather!C:C,E24=Weather!B:B),FILTER(Weather!E:E,D24=Weather!C:C,F24=Weather!A:A))"),21.8)</f>
        <v>21.8</v>
      </c>
      <c r="U24" s="28">
        <f>IFERROR(__xludf.DUMMYFUNCTION("IF(F24=""India"", FILTER(Weather!F:F,D24=Weather!C:C,E24=Weather!B:B),FILTER(Weather!F:F,D24=Weather!C:C,F24=Weather!A:A))"),0.9)</f>
        <v>0.9</v>
      </c>
      <c r="V24" s="25">
        <v>30.137999999999998</v>
      </c>
      <c r="W24" s="25">
        <v>100.968</v>
      </c>
      <c r="X24" s="25">
        <v>5.778333333333333</v>
      </c>
      <c r="Y24" s="25">
        <v>37.89333333333334</v>
      </c>
      <c r="Z24" s="25">
        <v>39.69166666666667</v>
      </c>
      <c r="AA24" s="25">
        <v>29.453333333333333</v>
      </c>
      <c r="AB24" s="25">
        <v>88.70466666666665</v>
      </c>
      <c r="AC24" s="25">
        <v>5.574545454545454</v>
      </c>
      <c r="AD24" s="25">
        <v>33.232727272727274</v>
      </c>
      <c r="AE24" s="25">
        <v>35.72636363636363</v>
      </c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</row>
    <row r="25" ht="15.75" hidden="1" customHeight="1">
      <c r="A25" s="25" t="s">
        <v>48</v>
      </c>
      <c r="B25" s="25" t="s">
        <v>59</v>
      </c>
      <c r="C25" s="30">
        <v>45202.0</v>
      </c>
      <c r="D25" s="25" t="s">
        <v>64</v>
      </c>
      <c r="E25" s="25" t="s">
        <v>67</v>
      </c>
      <c r="F25" s="12" t="str">
        <f>IFERROR(__xludf.DUMMYFUNCTION("FILTER(Stadium!$A$2:$A$61,E25=Stadium!$B$2:$B$61)"),"India")</f>
        <v>India</v>
      </c>
      <c r="G25" s="30" t="str">
        <f t="shared" si="3"/>
        <v>W</v>
      </c>
      <c r="H25" s="30" t="str">
        <f t="shared" si="4"/>
        <v>L</v>
      </c>
      <c r="I25" s="24">
        <v>1.125</v>
      </c>
      <c r="J25" s="24">
        <f>VLOOKUP(B25, 'WL Ratio Table'!$A$6:$D$9, 4, FALSE)</f>
        <v>1</v>
      </c>
      <c r="K25" s="25" t="s">
        <v>53</v>
      </c>
      <c r="L25" s="25">
        <v>351.0</v>
      </c>
      <c r="M25" s="25">
        <v>337.0</v>
      </c>
      <c r="N25" s="25" t="s">
        <v>48</v>
      </c>
      <c r="O25" s="27">
        <f>(14/351)*100</f>
        <v>3.988603989</v>
      </c>
      <c r="P25" s="25">
        <v>-213.0</v>
      </c>
      <c r="Q25" s="25">
        <v>156.0</v>
      </c>
      <c r="R25" s="25">
        <f t="shared" si="1"/>
        <v>-28.5</v>
      </c>
      <c r="S25" s="28">
        <f>IFERROR(__xludf.DUMMYFUNCTION("IF(F25=""India"", FILTER(Weather!D:D,D25=Weather!C:C,E25=Weather!B:B), FILTER(Weather!D:D,D25=Weather!C:C,F25=Weather!A:A))"),26.1)</f>
        <v>26.1</v>
      </c>
      <c r="T25" s="28">
        <f>IFERROR(__xludf.DUMMYFUNCTION("IF(F25=""India"", FILTER(Weather!E:E,D25=Weather!C:C,E25=Weather!B:B),FILTER(Weather!E:E,D25=Weather!C:C,F25=Weather!A:A))"),20.9)</f>
        <v>20.9</v>
      </c>
      <c r="U25" s="28">
        <f>IFERROR(__xludf.DUMMYFUNCTION("IF(F25=""India"", FILTER(Weather!F:F,D25=Weather!C:C,E25=Weather!B:B),FILTER(Weather!F:F,D25=Weather!C:C,F25=Weather!A:A))"),5.6)</f>
        <v>5.6</v>
      </c>
      <c r="V25" s="25">
        <v>27.727333333333334</v>
      </c>
      <c r="W25" s="25">
        <v>92.17733333333332</v>
      </c>
      <c r="X25" s="25">
        <v>5.772307692307693</v>
      </c>
      <c r="Y25" s="25">
        <v>39.89076923076924</v>
      </c>
      <c r="Z25" s="25">
        <v>41.56384615384616</v>
      </c>
      <c r="AA25" s="25">
        <v>28.993333333333332</v>
      </c>
      <c r="AB25" s="25">
        <v>91.364</v>
      </c>
      <c r="AC25" s="25">
        <v>5.425454545454545</v>
      </c>
      <c r="AD25" s="25">
        <v>46.032727272727264</v>
      </c>
      <c r="AE25" s="25">
        <v>51.62</v>
      </c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</row>
    <row r="26" ht="15.75" hidden="1" customHeight="1">
      <c r="A26" s="25" t="s">
        <v>58</v>
      </c>
      <c r="B26" s="25" t="s">
        <v>61</v>
      </c>
      <c r="C26" s="30">
        <v>45201.0</v>
      </c>
      <c r="D26" s="25" t="s">
        <v>64</v>
      </c>
      <c r="E26" s="25" t="s">
        <v>69</v>
      </c>
      <c r="F26" s="12" t="str">
        <f>IFERROR(__xludf.DUMMYFUNCTION("FILTER(Stadium!$A$2:$A$61,E26=Stadium!$B$2:$B$61)"),"India")</f>
        <v>India</v>
      </c>
      <c r="G26" s="30" t="str">
        <f t="shared" si="3"/>
        <v>W</v>
      </c>
      <c r="H26" s="30" t="str">
        <f t="shared" si="4"/>
        <v>L</v>
      </c>
      <c r="I26" s="24">
        <f>VLOOKUP(A26, 'WL Ratio Table'!$A$6:$D$8, 4, FALSE)</f>
        <v>1.384615385</v>
      </c>
      <c r="J26" s="24">
        <f>VLOOKUP(B26, 'WL Ratio Table'!$A$6:$D$9, 4, FALSE)</f>
        <v>0.5416666667</v>
      </c>
      <c r="K26" s="25" t="s">
        <v>53</v>
      </c>
      <c r="L26" s="25">
        <v>197.0</v>
      </c>
      <c r="M26" s="25">
        <v>188.0</v>
      </c>
      <c r="N26" s="25" t="s">
        <v>58</v>
      </c>
      <c r="O26" s="27">
        <v>40.0</v>
      </c>
      <c r="P26" s="25">
        <v>-556.0</v>
      </c>
      <c r="Q26" s="25">
        <v>351.0</v>
      </c>
      <c r="R26" s="25">
        <f t="shared" si="1"/>
        <v>-102.5</v>
      </c>
      <c r="S26" s="28">
        <f>IFERROR(__xludf.DUMMYFUNCTION("IF(F26=""India"", FILTER(Weather!D:D,D26=Weather!C:C,E26=Weather!B:B), FILTER(Weather!D:D,D26=Weather!C:C,F26=Weather!A:A))"),29.8)</f>
        <v>29.8</v>
      </c>
      <c r="T26" s="28">
        <f>IFERROR(__xludf.DUMMYFUNCTION("IF(F26=""India"", FILTER(Weather!E:E,D26=Weather!C:C,E26=Weather!B:B),FILTER(Weather!E:E,D26=Weather!C:C,F26=Weather!A:A))"),20.4)</f>
        <v>20.4</v>
      </c>
      <c r="U26" s="28">
        <f>IFERROR(__xludf.DUMMYFUNCTION("IF(F26=""India"", FILTER(Weather!F:F,D26=Weather!C:C,E26=Weather!B:B),FILTER(Weather!F:F,D26=Weather!C:C,F26=Weather!A:A))"),164.3)</f>
        <v>164.3</v>
      </c>
      <c r="V26" s="25">
        <v>30.137999999999998</v>
      </c>
      <c r="W26" s="25">
        <v>100.968</v>
      </c>
      <c r="X26" s="25">
        <v>5.778333333333333</v>
      </c>
      <c r="Y26" s="25">
        <v>37.89333333333334</v>
      </c>
      <c r="Z26" s="25">
        <v>39.69166666666667</v>
      </c>
      <c r="AA26" s="25">
        <v>21.11625</v>
      </c>
      <c r="AB26" s="25">
        <v>78.83125</v>
      </c>
      <c r="AC26" s="25">
        <v>5.192727272727272</v>
      </c>
      <c r="AD26" s="25">
        <v>33.17</v>
      </c>
      <c r="AE26" s="25">
        <v>38.899090909090894</v>
      </c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</row>
    <row r="27" ht="15.75" hidden="1" customHeight="1">
      <c r="A27" s="25" t="s">
        <v>59</v>
      </c>
      <c r="B27" s="25" t="s">
        <v>56</v>
      </c>
      <c r="C27" s="30">
        <v>45198.0</v>
      </c>
      <c r="D27" s="25" t="s">
        <v>70</v>
      </c>
      <c r="E27" s="25" t="s">
        <v>67</v>
      </c>
      <c r="F27" s="12" t="str">
        <f>IFERROR(__xludf.DUMMYFUNCTION("FILTER(Stadium!$A$2:$A$61,E27=Stadium!$B$2:$B$61)"),"India")</f>
        <v>India</v>
      </c>
      <c r="G27" s="30" t="str">
        <f t="shared" si="3"/>
        <v>L</v>
      </c>
      <c r="H27" s="30" t="str">
        <f t="shared" si="4"/>
        <v>W</v>
      </c>
      <c r="I27" s="24">
        <f>VLOOKUP(A27, 'WL Ratio Table'!$A$6:$D$8, 4, FALSE)</f>
        <v>1</v>
      </c>
      <c r="J27" s="24">
        <v>0.75</v>
      </c>
      <c r="K27" s="25" t="s">
        <v>53</v>
      </c>
      <c r="L27" s="25">
        <v>345.0</v>
      </c>
      <c r="M27" s="25">
        <v>346.0</v>
      </c>
      <c r="N27" s="25" t="s">
        <v>56</v>
      </c>
      <c r="O27" s="27">
        <v>50.0</v>
      </c>
      <c r="P27" s="25">
        <v>-145.0</v>
      </c>
      <c r="Q27" s="25">
        <v>110.0</v>
      </c>
      <c r="R27" s="25">
        <f t="shared" si="1"/>
        <v>-17.5</v>
      </c>
      <c r="S27" s="28">
        <f>IFERROR(__xludf.DUMMYFUNCTION("IF(F27=""India"", FILTER(Weather!D:D,D27=Weather!C:C,E27=Weather!B:B), FILTER(Weather!D:D,D27=Weather!C:C,F27=Weather!A:A))"),26.7)</f>
        <v>26.7</v>
      </c>
      <c r="T27" s="28">
        <f>IFERROR(__xludf.DUMMYFUNCTION("IF(F27=""India"", FILTER(Weather!E:E,D27=Weather!C:C,E27=Weather!B:B),FILTER(Weather!E:E,D27=Weather!C:C,F27=Weather!A:A))"),22.3)</f>
        <v>22.3</v>
      </c>
      <c r="U27" s="28">
        <f>IFERROR(__xludf.DUMMYFUNCTION("IF(F27=""India"", FILTER(Weather!F:F,D27=Weather!C:C,E27=Weather!B:B),FILTER(Weather!F:F,D27=Weather!C:C,F27=Weather!A:A))"),8.4)</f>
        <v>8.4</v>
      </c>
      <c r="V27" s="25">
        <v>28.993333333333332</v>
      </c>
      <c r="W27" s="25">
        <v>91.364</v>
      </c>
      <c r="X27" s="25">
        <v>5.425454545454545</v>
      </c>
      <c r="Y27" s="25">
        <v>46.032727272727264</v>
      </c>
      <c r="Z27" s="25">
        <v>51.62</v>
      </c>
      <c r="AA27" s="25">
        <v>29.453333333333333</v>
      </c>
      <c r="AB27" s="25">
        <v>88.70466666666665</v>
      </c>
      <c r="AC27" s="25">
        <v>5.574545454545454</v>
      </c>
      <c r="AD27" s="25">
        <v>33.232727272727274</v>
      </c>
      <c r="AE27" s="25">
        <v>35.72636363636363</v>
      </c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</row>
    <row r="28" ht="15.75" hidden="1" customHeight="1">
      <c r="A28" s="25" t="s">
        <v>62</v>
      </c>
      <c r="B28" s="25" t="s">
        <v>61</v>
      </c>
      <c r="C28" s="30">
        <v>45198.0</v>
      </c>
      <c r="D28" s="25" t="s">
        <v>70</v>
      </c>
      <c r="E28" s="25" t="s">
        <v>69</v>
      </c>
      <c r="F28" s="12" t="str">
        <f>IFERROR(__xludf.DUMMYFUNCTION("FILTER(Stadium!$A$2:$A$61,E28=Stadium!$B$2:$B$61)"),"India")</f>
        <v>India</v>
      </c>
      <c r="G28" s="30" t="str">
        <f t="shared" si="3"/>
        <v>L</v>
      </c>
      <c r="H28" s="30" t="str">
        <f t="shared" si="4"/>
        <v>W</v>
      </c>
      <c r="I28" s="24">
        <f>VLOOKUP(A28, 'WL Ratio Table'!$A$6:$D$8, 4, FALSE)</f>
        <v>0.21875</v>
      </c>
      <c r="J28" s="24">
        <f>VLOOKUP(B28, 'WL Ratio Table'!$A$6:$D$9, 4, FALSE)</f>
        <v>0.5416666667</v>
      </c>
      <c r="K28" s="25" t="s">
        <v>53</v>
      </c>
      <c r="L28" s="25">
        <v>263.0</v>
      </c>
      <c r="M28" s="25">
        <v>264.0</v>
      </c>
      <c r="N28" s="25" t="s">
        <v>61</v>
      </c>
      <c r="O28" s="27">
        <v>70.0</v>
      </c>
      <c r="P28" s="25">
        <v>-179.0</v>
      </c>
      <c r="Q28" s="25">
        <v>135.0</v>
      </c>
      <c r="R28" s="25">
        <f t="shared" si="1"/>
        <v>-22</v>
      </c>
      <c r="S28" s="28">
        <f>IFERROR(__xludf.DUMMYFUNCTION("IF(F28=""India"", FILTER(Weather!D:D,D28=Weather!C:C,E28=Weather!B:B), FILTER(Weather!D:D,D28=Weather!C:C,F28=Weather!A:A))"),31.8)</f>
        <v>31.8</v>
      </c>
      <c r="T28" s="28">
        <f>IFERROR(__xludf.DUMMYFUNCTION("IF(F28=""India"", FILTER(Weather!E:E,D28=Weather!C:C,E28=Weather!B:B),FILTER(Weather!E:E,D28=Weather!C:C,F28=Weather!A:A))"),21.6)</f>
        <v>21.6</v>
      </c>
      <c r="U28" s="28">
        <f>IFERROR(__xludf.DUMMYFUNCTION("IF(F28=""India"", FILTER(Weather!F:F,D28=Weather!C:C,E28=Weather!B:B),FILTER(Weather!F:F,D28=Weather!C:C,F28=Weather!A:A))"),249.6)</f>
        <v>249.6</v>
      </c>
      <c r="V28" s="25">
        <v>24.878750000000004</v>
      </c>
      <c r="W28" s="25">
        <v>76.75124999999998</v>
      </c>
      <c r="X28" s="25">
        <v>5.679166666666667</v>
      </c>
      <c r="Y28" s="25">
        <v>34.49333333333333</v>
      </c>
      <c r="Z28" s="25">
        <v>38.29833333333333</v>
      </c>
      <c r="AA28" s="25">
        <v>21.11625</v>
      </c>
      <c r="AB28" s="25">
        <v>78.83125</v>
      </c>
      <c r="AC28" s="25">
        <v>5.192727272727272</v>
      </c>
      <c r="AD28" s="25">
        <v>33.17</v>
      </c>
      <c r="AE28" s="25">
        <v>38.899090909090894</v>
      </c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</row>
    <row r="29" ht="15.75" hidden="1" customHeight="1">
      <c r="A29" s="25" t="s">
        <v>58</v>
      </c>
      <c r="B29" s="25" t="s">
        <v>56</v>
      </c>
      <c r="C29" s="30">
        <v>45174.0</v>
      </c>
      <c r="D29" s="25" t="s">
        <v>70</v>
      </c>
      <c r="E29" s="25" t="s">
        <v>71</v>
      </c>
      <c r="F29" s="12" t="str">
        <f>IFERROR(__xludf.DUMMYFUNCTION("FILTER(Stadium!$A$2:$A$61,E29=Stadium!$B$2:$B$61)"),"England")</f>
        <v>England</v>
      </c>
      <c r="G29" s="30" t="str">
        <f t="shared" si="3"/>
        <v>L</v>
      </c>
      <c r="H29" s="30" t="str">
        <f t="shared" si="4"/>
        <v>W</v>
      </c>
      <c r="I29" s="24">
        <f>VLOOKUP(A29, 'WL Ratio Table'!$A$6:$D$8, 4, FALSE)</f>
        <v>1.384615385</v>
      </c>
      <c r="J29" s="24">
        <v>0.75</v>
      </c>
      <c r="K29" s="25" t="s">
        <v>72</v>
      </c>
      <c r="L29" s="25">
        <v>175.0</v>
      </c>
      <c r="M29" s="25">
        <v>179.0</v>
      </c>
      <c r="N29" s="25" t="s">
        <v>56</v>
      </c>
      <c r="O29" s="27">
        <v>60.0</v>
      </c>
      <c r="P29" s="25">
        <v>-179.0</v>
      </c>
      <c r="Q29" s="25">
        <v>137.0</v>
      </c>
      <c r="R29" s="25">
        <f t="shared" si="1"/>
        <v>-21</v>
      </c>
      <c r="S29" s="28">
        <f>IFERROR(__xludf.DUMMYFUNCTION("IF(F29=""India"", FILTER(Weather!D:D,D29=Weather!C:C,E29=Weather!B:B), FILTER(Weather!D:D,D29=Weather!C:C,F29=Weather!A:A))"),18.3)</f>
        <v>18.3</v>
      </c>
      <c r="T29" s="28">
        <f>IFERROR(__xludf.DUMMYFUNCTION("IF(F29=""India"", FILTER(Weather!E:E,D29=Weather!C:C,E29=Weather!B:B),FILTER(Weather!E:E,D29=Weather!C:C,F29=Weather!A:A))"),10.0)</f>
        <v>10</v>
      </c>
      <c r="U29" s="28">
        <f>IFERROR(__xludf.DUMMYFUNCTION("IF(F29=""India"", FILTER(Weather!F:F,D29=Weather!C:C,E29=Weather!B:B),FILTER(Weather!F:F,D29=Weather!C:C,F29=Weather!A:A))"),49.6)</f>
        <v>49.6</v>
      </c>
      <c r="V29" s="25">
        <v>30.137999999999998</v>
      </c>
      <c r="W29" s="25">
        <v>100.968</v>
      </c>
      <c r="X29" s="25">
        <v>5.778333333333333</v>
      </c>
      <c r="Y29" s="25">
        <v>37.89333333333334</v>
      </c>
      <c r="Z29" s="25">
        <v>39.69166666666667</v>
      </c>
      <c r="AA29" s="25">
        <v>29.453333333333333</v>
      </c>
      <c r="AB29" s="25">
        <v>88.70466666666665</v>
      </c>
      <c r="AC29" s="25">
        <v>5.574545454545454</v>
      </c>
      <c r="AD29" s="25">
        <v>33.232727272727274</v>
      </c>
      <c r="AE29" s="25">
        <v>35.72636363636363</v>
      </c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</row>
    <row r="30" ht="15.75" hidden="1" customHeight="1">
      <c r="A30" s="25" t="s">
        <v>48</v>
      </c>
      <c r="B30" s="25" t="s">
        <v>54</v>
      </c>
      <c r="C30" s="30">
        <v>45172.0</v>
      </c>
      <c r="D30" s="25" t="s">
        <v>70</v>
      </c>
      <c r="E30" s="25" t="s">
        <v>73</v>
      </c>
      <c r="F30" s="12" t="str">
        <f>IFERROR(__xludf.DUMMYFUNCTION("FILTER(Stadium!$A$2:$A$61,E30=Stadium!$B$2:$B$61)"),"South Africa")</f>
        <v>South Africa</v>
      </c>
      <c r="G30" s="30" t="str">
        <f t="shared" si="3"/>
        <v>W</v>
      </c>
      <c r="H30" s="30" t="str">
        <f t="shared" si="4"/>
        <v>L</v>
      </c>
      <c r="I30" s="21">
        <v>0.7</v>
      </c>
      <c r="J30" s="21">
        <v>0.3</v>
      </c>
      <c r="K30" s="25" t="s">
        <v>72</v>
      </c>
      <c r="L30" s="25">
        <v>191.0</v>
      </c>
      <c r="M30" s="25">
        <v>190.0</v>
      </c>
      <c r="N30" s="25" t="s">
        <v>48</v>
      </c>
      <c r="O30" s="27">
        <v>50.0</v>
      </c>
      <c r="P30" s="25">
        <v>-200.0</v>
      </c>
      <c r="Q30" s="25">
        <v>160.0</v>
      </c>
      <c r="R30" s="25">
        <f t="shared" si="1"/>
        <v>-20</v>
      </c>
      <c r="S30" s="28">
        <f>IFERROR(__xludf.DUMMYFUNCTION("IF(F30=""India"", FILTER(Weather!D:D,D30=Weather!C:C,E30=Weather!B:B), FILTER(Weather!D:D,D30=Weather!C:C,F30=Weather!A:A))"),21.4)</f>
        <v>21.4</v>
      </c>
      <c r="T30" s="28">
        <f>IFERROR(__xludf.DUMMYFUNCTION("IF(F30=""India"", FILTER(Weather!E:E,D30=Weather!C:C,E30=Weather!B:B),FILTER(Weather!E:E,D30=Weather!C:C,F30=Weather!A:A))"),10.5)</f>
        <v>10.5</v>
      </c>
      <c r="U30" s="28">
        <f>IFERROR(__xludf.DUMMYFUNCTION("IF(F30=""India"", FILTER(Weather!F:F,D30=Weather!C:C,E30=Weather!B:B),FILTER(Weather!F:F,D30=Weather!C:C,F30=Weather!A:A))"),84.4)</f>
        <v>84.4</v>
      </c>
      <c r="V30" s="25">
        <v>27.727333333333334</v>
      </c>
      <c r="W30" s="25">
        <v>92.17733333333332</v>
      </c>
      <c r="X30" s="25">
        <v>5.772307692307693</v>
      </c>
      <c r="Y30" s="25">
        <v>39.89076923076924</v>
      </c>
      <c r="Z30" s="25">
        <v>41.56384615384616</v>
      </c>
      <c r="AA30" s="25">
        <v>29.26</v>
      </c>
      <c r="AB30" s="25">
        <v>86.99071428571429</v>
      </c>
      <c r="AC30" s="25">
        <v>5.596923076923077</v>
      </c>
      <c r="AD30" s="25">
        <v>26.36384615384615</v>
      </c>
      <c r="AE30" s="25">
        <v>26.93846153846153</v>
      </c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</row>
    <row r="31" ht="15.75" hidden="1" customHeight="1">
      <c r="A31" s="25" t="s">
        <v>58</v>
      </c>
      <c r="B31" s="25" t="s">
        <v>56</v>
      </c>
      <c r="C31" s="30">
        <v>45172.0</v>
      </c>
      <c r="D31" s="25" t="s">
        <v>70</v>
      </c>
      <c r="E31" s="25" t="s">
        <v>74</v>
      </c>
      <c r="F31" s="12" t="str">
        <f>IFERROR(__xludf.DUMMYFUNCTION("FILTER(Stadium!$A$2:$A$61,E31=Stadium!$B$2:$B$61)"),"England")</f>
        <v>England</v>
      </c>
      <c r="G31" s="30" t="str">
        <f t="shared" si="3"/>
        <v>L</v>
      </c>
      <c r="H31" s="30" t="str">
        <f t="shared" si="4"/>
        <v>W</v>
      </c>
      <c r="I31" s="24">
        <f>VLOOKUP(A31, 'WL Ratio Table'!$A$6:$D$8, 4, FALSE)</f>
        <v>1.384615385</v>
      </c>
      <c r="J31" s="24">
        <v>0.75</v>
      </c>
      <c r="K31" s="25" t="s">
        <v>72</v>
      </c>
      <c r="L31" s="25">
        <v>128.0</v>
      </c>
      <c r="M31" s="25">
        <v>202.0</v>
      </c>
      <c r="N31" s="25" t="s">
        <v>56</v>
      </c>
      <c r="O31" s="27">
        <f>(74/202)*100</f>
        <v>36.63366337</v>
      </c>
      <c r="P31" s="25">
        <v>-213.0</v>
      </c>
      <c r="Q31" s="25">
        <v>170.0</v>
      </c>
      <c r="R31" s="25">
        <f t="shared" si="1"/>
        <v>-21.5</v>
      </c>
      <c r="S31" s="28">
        <f>IFERROR(__xludf.DUMMYFUNCTION("IF(F31=""India"", FILTER(Weather!D:D,D31=Weather!C:C,E31=Weather!B:B), FILTER(Weather!D:D,D31=Weather!C:C,F31=Weather!A:A))"),18.3)</f>
        <v>18.3</v>
      </c>
      <c r="T31" s="28">
        <f>IFERROR(__xludf.DUMMYFUNCTION("IF(F31=""India"", FILTER(Weather!E:E,D31=Weather!C:C,E31=Weather!B:B),FILTER(Weather!E:E,D31=Weather!C:C,F31=Weather!A:A))"),10.0)</f>
        <v>10</v>
      </c>
      <c r="U31" s="28">
        <f>IFERROR(__xludf.DUMMYFUNCTION("IF(F31=""India"", FILTER(Weather!F:F,D31=Weather!C:C,E31=Weather!B:B),FILTER(Weather!F:F,D31=Weather!C:C,F31=Weather!A:A))"),49.6)</f>
        <v>49.6</v>
      </c>
      <c r="V31" s="25">
        <v>30.137999999999998</v>
      </c>
      <c r="W31" s="25">
        <v>100.968</v>
      </c>
      <c r="X31" s="25">
        <v>5.778333333333333</v>
      </c>
      <c r="Y31" s="25">
        <v>37.89333333333334</v>
      </c>
      <c r="Z31" s="25">
        <v>39.69166666666667</v>
      </c>
      <c r="AA31" s="25">
        <v>29.453333333333333</v>
      </c>
      <c r="AB31" s="25">
        <v>88.70466666666665</v>
      </c>
      <c r="AC31" s="25">
        <v>5.574545454545454</v>
      </c>
      <c r="AD31" s="25">
        <v>33.232727272727274</v>
      </c>
      <c r="AE31" s="25">
        <v>35.72636363636363</v>
      </c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</row>
    <row r="32" ht="15.75" hidden="1" customHeight="1">
      <c r="A32" s="25" t="s">
        <v>48</v>
      </c>
      <c r="B32" s="25" t="s">
        <v>54</v>
      </c>
      <c r="C32" s="30">
        <v>45170.0</v>
      </c>
      <c r="D32" s="25" t="s">
        <v>70</v>
      </c>
      <c r="E32" s="25" t="s">
        <v>73</v>
      </c>
      <c r="F32" s="12" t="str">
        <f>IFERROR(__xludf.DUMMYFUNCTION("FILTER(Stadium!$A$2:$A$61,E32=Stadium!$B$2:$B$61)"),"South Africa")</f>
        <v>South Africa</v>
      </c>
      <c r="G32" s="30" t="str">
        <f t="shared" si="3"/>
        <v>W</v>
      </c>
      <c r="H32" s="30" t="str">
        <f t="shared" si="4"/>
        <v>L</v>
      </c>
      <c r="I32" s="21">
        <v>0.7</v>
      </c>
      <c r="J32" s="21">
        <v>0.3</v>
      </c>
      <c r="K32" s="25" t="s">
        <v>72</v>
      </c>
      <c r="L32" s="25">
        <v>168.0</v>
      </c>
      <c r="M32" s="25">
        <v>164.0</v>
      </c>
      <c r="N32" s="25" t="s">
        <v>48</v>
      </c>
      <c r="O32" s="27">
        <v>80.0</v>
      </c>
      <c r="P32" s="25">
        <v>-185.0</v>
      </c>
      <c r="Q32" s="25">
        <v>144.0</v>
      </c>
      <c r="R32" s="25">
        <f t="shared" si="1"/>
        <v>-20.5</v>
      </c>
      <c r="S32" s="28">
        <f>IFERROR(__xludf.DUMMYFUNCTION("IF(F32=""India"", FILTER(Weather!D:D,D32=Weather!C:C,E32=Weather!B:B), FILTER(Weather!D:D,D32=Weather!C:C,F32=Weather!A:A))"),21.4)</f>
        <v>21.4</v>
      </c>
      <c r="T32" s="28">
        <f>IFERROR(__xludf.DUMMYFUNCTION("IF(F32=""India"", FILTER(Weather!E:E,D32=Weather!C:C,E32=Weather!B:B),FILTER(Weather!E:E,D32=Weather!C:C,F32=Weather!A:A))"),10.5)</f>
        <v>10.5</v>
      </c>
      <c r="U32" s="28">
        <f>IFERROR(__xludf.DUMMYFUNCTION("IF(F32=""India"", FILTER(Weather!F:F,D32=Weather!C:C,E32=Weather!B:B),FILTER(Weather!F:F,D32=Weather!C:C,F32=Weather!A:A))"),84.4)</f>
        <v>84.4</v>
      </c>
      <c r="V32" s="25">
        <v>27.727333333333334</v>
      </c>
      <c r="W32" s="25">
        <v>92.17733333333332</v>
      </c>
      <c r="X32" s="25">
        <v>5.772307692307693</v>
      </c>
      <c r="Y32" s="25">
        <v>39.89076923076924</v>
      </c>
      <c r="Z32" s="25">
        <v>41.56384615384616</v>
      </c>
      <c r="AA32" s="25">
        <v>29.26</v>
      </c>
      <c r="AB32" s="25">
        <v>86.99071428571429</v>
      </c>
      <c r="AC32" s="25">
        <v>5.596923076923077</v>
      </c>
      <c r="AD32" s="25">
        <v>26.36384615384615</v>
      </c>
      <c r="AE32" s="25">
        <v>26.93846153846153</v>
      </c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ht="15.75" hidden="1" customHeight="1">
      <c r="A33" s="25" t="s">
        <v>58</v>
      </c>
      <c r="B33" s="25" t="s">
        <v>56</v>
      </c>
      <c r="C33" s="30">
        <v>45170.0</v>
      </c>
      <c r="D33" s="25" t="s">
        <v>70</v>
      </c>
      <c r="E33" s="25" t="s">
        <v>75</v>
      </c>
      <c r="F33" s="12" t="str">
        <f>IFERROR(__xludf.DUMMYFUNCTION("FILTER(Stadium!$A$2:$A$61,E33=Stadium!$B$2:$B$61)"),"England")</f>
        <v>England</v>
      </c>
      <c r="G33" s="30" t="str">
        <f t="shared" si="3"/>
        <v>W</v>
      </c>
      <c r="H33" s="30" t="str">
        <f t="shared" si="4"/>
        <v>L</v>
      </c>
      <c r="I33" s="24">
        <f>VLOOKUP(A33, 'WL Ratio Table'!$A$6:$D$8, 4, FALSE)</f>
        <v>1.384615385</v>
      </c>
      <c r="J33" s="24">
        <v>0.75</v>
      </c>
      <c r="K33" s="25" t="s">
        <v>72</v>
      </c>
      <c r="L33" s="25">
        <v>198.0</v>
      </c>
      <c r="M33" s="25">
        <v>103.0</v>
      </c>
      <c r="N33" s="25" t="s">
        <v>58</v>
      </c>
      <c r="O33" s="27">
        <f>(95/198)*100</f>
        <v>47.97979798</v>
      </c>
      <c r="P33" s="25">
        <v>-204.0</v>
      </c>
      <c r="Q33" s="25">
        <v>162.0</v>
      </c>
      <c r="R33" s="25">
        <f t="shared" si="1"/>
        <v>-21</v>
      </c>
      <c r="S33" s="28">
        <f>IFERROR(__xludf.DUMMYFUNCTION("IF(F33=""India"", FILTER(Weather!D:D,D33=Weather!C:C,E33=Weather!B:B), FILTER(Weather!D:D,D33=Weather!C:C,F33=Weather!A:A))"),18.3)</f>
        <v>18.3</v>
      </c>
      <c r="T33" s="28">
        <f>IFERROR(__xludf.DUMMYFUNCTION("IF(F33=""India"", FILTER(Weather!E:E,D33=Weather!C:C,E33=Weather!B:B),FILTER(Weather!E:E,D33=Weather!C:C,F33=Weather!A:A))"),10.0)</f>
        <v>10</v>
      </c>
      <c r="U33" s="28">
        <f>IFERROR(__xludf.DUMMYFUNCTION("IF(F33=""India"", FILTER(Weather!F:F,D33=Weather!C:C,E33=Weather!B:B),FILTER(Weather!F:F,D33=Weather!C:C,F33=Weather!A:A))"),49.6)</f>
        <v>49.6</v>
      </c>
      <c r="V33" s="25">
        <v>30.137999999999998</v>
      </c>
      <c r="W33" s="25">
        <v>100.968</v>
      </c>
      <c r="X33" s="25">
        <v>5.778333333333333</v>
      </c>
      <c r="Y33" s="25">
        <v>37.89333333333334</v>
      </c>
      <c r="Z33" s="25">
        <v>39.69166666666667</v>
      </c>
      <c r="AA33" s="25">
        <v>29.453333333333333</v>
      </c>
      <c r="AB33" s="25">
        <v>88.70466666666665</v>
      </c>
      <c r="AC33" s="25">
        <v>5.574545454545454</v>
      </c>
      <c r="AD33" s="25">
        <v>33.232727272727274</v>
      </c>
      <c r="AE33" s="25">
        <v>35.72636363636363</v>
      </c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</row>
    <row r="34" ht="15.75" hidden="1" customHeight="1">
      <c r="A34" s="25" t="s">
        <v>48</v>
      </c>
      <c r="B34" s="25" t="s">
        <v>54</v>
      </c>
      <c r="C34" s="30">
        <v>45168.0</v>
      </c>
      <c r="D34" s="25" t="s">
        <v>76</v>
      </c>
      <c r="E34" s="25" t="s">
        <v>73</v>
      </c>
      <c r="F34" s="12" t="str">
        <f>IFERROR(__xludf.DUMMYFUNCTION("FILTER(Stadium!$A$2:$A$61,E34=Stadium!$B$2:$B$61)"),"South Africa")</f>
        <v>South Africa</v>
      </c>
      <c r="G34" s="30" t="str">
        <f t="shared" si="3"/>
        <v>W</v>
      </c>
      <c r="H34" s="30" t="str">
        <f t="shared" si="4"/>
        <v>L</v>
      </c>
      <c r="I34" s="21">
        <v>0.7</v>
      </c>
      <c r="J34" s="21">
        <v>0.3</v>
      </c>
      <c r="K34" s="25" t="s">
        <v>72</v>
      </c>
      <c r="L34" s="25">
        <v>226.0</v>
      </c>
      <c r="M34" s="25">
        <v>115.0</v>
      </c>
      <c r="N34" s="25" t="s">
        <v>48</v>
      </c>
      <c r="O34" s="27">
        <f>(111/226)*100</f>
        <v>49.11504425</v>
      </c>
      <c r="P34" s="25">
        <v>143.0</v>
      </c>
      <c r="Q34" s="25">
        <v>117.0</v>
      </c>
      <c r="R34" s="25">
        <f t="shared" si="1"/>
        <v>130</v>
      </c>
      <c r="S34" s="28">
        <f>IFERROR(__xludf.DUMMYFUNCTION("IF(F34=""India"", FILTER(Weather!D:D,D34=Weather!C:C,E34=Weather!B:B), FILTER(Weather!D:D,D34=Weather!C:C,F34=Weather!A:A))"),18.6)</f>
        <v>18.6</v>
      </c>
      <c r="T34" s="28">
        <f>IFERROR(__xludf.DUMMYFUNCTION("IF(F34=""India"", FILTER(Weather!E:E,D34=Weather!C:C,E34=Weather!B:B),FILTER(Weather!E:E,D34=Weather!C:C,F34=Weather!A:A))"),8.1)</f>
        <v>8.1</v>
      </c>
      <c r="U34" s="28">
        <f>IFERROR(__xludf.DUMMYFUNCTION("IF(F34=""India"", FILTER(Weather!F:F,D34=Weather!C:C,E34=Weather!B:B),FILTER(Weather!F:F,D34=Weather!C:C,F34=Weather!A:A))"),76.2)</f>
        <v>76.2</v>
      </c>
      <c r="V34" s="25">
        <v>27.727333333333334</v>
      </c>
      <c r="W34" s="25">
        <v>92.17733333333332</v>
      </c>
      <c r="X34" s="25">
        <v>5.772307692307693</v>
      </c>
      <c r="Y34" s="25">
        <v>39.89076923076924</v>
      </c>
      <c r="Z34" s="25">
        <v>41.56384615384616</v>
      </c>
      <c r="AA34" s="25">
        <v>29.26</v>
      </c>
      <c r="AB34" s="25">
        <v>86.99071428571429</v>
      </c>
      <c r="AC34" s="25">
        <v>5.596923076923077</v>
      </c>
      <c r="AD34" s="25">
        <v>26.36384615384615</v>
      </c>
      <c r="AE34" s="25">
        <v>26.93846153846153</v>
      </c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</row>
    <row r="35" ht="15.75" hidden="1" customHeight="1">
      <c r="A35" s="25" t="s">
        <v>58</v>
      </c>
      <c r="B35" s="25" t="s">
        <v>56</v>
      </c>
      <c r="C35" s="30">
        <v>45168.0</v>
      </c>
      <c r="D35" s="25" t="s">
        <v>76</v>
      </c>
      <c r="E35" s="25" t="s">
        <v>77</v>
      </c>
      <c r="F35" s="12" t="str">
        <f>IFERROR(__xludf.DUMMYFUNCTION("FILTER(Stadium!$A$2:$A$61,E35=Stadium!$B$2:$B$61)"),"England")</f>
        <v>England</v>
      </c>
      <c r="G35" s="30" t="str">
        <f t="shared" si="3"/>
        <v>W</v>
      </c>
      <c r="H35" s="30" t="str">
        <f t="shared" si="4"/>
        <v>L</v>
      </c>
      <c r="I35" s="24">
        <f>VLOOKUP(A35, 'WL Ratio Table'!$A$6:$D$8, 4, FALSE)</f>
        <v>1.384615385</v>
      </c>
      <c r="J35" s="24">
        <v>0.75</v>
      </c>
      <c r="K35" s="25" t="s">
        <v>72</v>
      </c>
      <c r="L35" s="25">
        <v>143.0</v>
      </c>
      <c r="M35" s="25">
        <v>139.0</v>
      </c>
      <c r="N35" s="25" t="s">
        <v>58</v>
      </c>
      <c r="O35" s="27">
        <v>70.0</v>
      </c>
      <c r="P35" s="25">
        <v>-196.0</v>
      </c>
      <c r="Q35" s="25">
        <v>156.0</v>
      </c>
      <c r="R35" s="25">
        <f t="shared" si="1"/>
        <v>-20</v>
      </c>
      <c r="S35" s="28">
        <f>IFERROR(__xludf.DUMMYFUNCTION("IF(F35=""India"", FILTER(Weather!D:D,D35=Weather!C:C,E35=Weather!B:B), FILTER(Weather!D:D,D35=Weather!C:C,F35=Weather!A:A))"),21.5)</f>
        <v>21.5</v>
      </c>
      <c r="T35" s="28">
        <f>IFERROR(__xludf.DUMMYFUNCTION("IF(F35=""India"", FILTER(Weather!E:E,D35=Weather!C:C,E35=Weather!B:B),FILTER(Weather!E:E,D35=Weather!C:C,F35=Weather!A:A))"),11.6)</f>
        <v>11.6</v>
      </c>
      <c r="U35" s="28">
        <f>IFERROR(__xludf.DUMMYFUNCTION("IF(F35=""India"", FILTER(Weather!F:F,D35=Weather!C:C,E35=Weather!B:B),FILTER(Weather!F:F,D35=Weather!C:C,F35=Weather!A:A))"),52.8)</f>
        <v>52.8</v>
      </c>
      <c r="V35" s="25">
        <v>30.137999999999998</v>
      </c>
      <c r="W35" s="25">
        <v>100.968</v>
      </c>
      <c r="X35" s="25">
        <v>5.778333333333333</v>
      </c>
      <c r="Y35" s="25">
        <v>37.89333333333334</v>
      </c>
      <c r="Z35" s="25">
        <v>39.69166666666667</v>
      </c>
      <c r="AA35" s="25">
        <v>29.453333333333333</v>
      </c>
      <c r="AB35" s="25">
        <v>88.70466666666665</v>
      </c>
      <c r="AC35" s="25">
        <v>5.574545454545454</v>
      </c>
      <c r="AD35" s="25">
        <v>33.232727272727274</v>
      </c>
      <c r="AE35" s="25">
        <v>35.72636363636363</v>
      </c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</row>
    <row r="36" ht="15.75" hidden="1" customHeight="1">
      <c r="A36" s="25" t="s">
        <v>59</v>
      </c>
      <c r="B36" s="25" t="s">
        <v>56</v>
      </c>
      <c r="C36" s="30">
        <v>45040.0</v>
      </c>
      <c r="D36" s="25" t="s">
        <v>78</v>
      </c>
      <c r="E36" s="25" t="s">
        <v>79</v>
      </c>
      <c r="F36" s="12" t="str">
        <f>IFERROR(__xludf.DUMMYFUNCTION("FILTER(Stadium!$A$2:$A$61,E36=Stadium!$B$2:$B$61)"),"Pakistan")</f>
        <v>Pakistan</v>
      </c>
      <c r="G36" s="30" t="str">
        <f t="shared" si="3"/>
        <v>L</v>
      </c>
      <c r="H36" s="30" t="str">
        <f t="shared" si="4"/>
        <v>W</v>
      </c>
      <c r="I36" s="24">
        <f>VLOOKUP(A36, 'WL Ratio Table'!$A$6:$D$8, 4, FALSE)</f>
        <v>1</v>
      </c>
      <c r="J36" s="24">
        <v>0.75</v>
      </c>
      <c r="K36" s="25" t="s">
        <v>72</v>
      </c>
      <c r="L36" s="25">
        <v>193.0</v>
      </c>
      <c r="M36" s="25">
        <v>194.0</v>
      </c>
      <c r="N36" s="25" t="s">
        <v>56</v>
      </c>
      <c r="O36" s="27">
        <v>60.0</v>
      </c>
      <c r="P36" s="25">
        <v>-278.0</v>
      </c>
      <c r="Q36" s="25">
        <v>218.0</v>
      </c>
      <c r="R36" s="25">
        <f t="shared" si="1"/>
        <v>-30</v>
      </c>
      <c r="S36" s="28">
        <f>IFERROR(__xludf.DUMMYFUNCTION("IF(F36=""India"", FILTER(Weather!D:D,D36=Weather!C:C,E36=Weather!B:B), FILTER(Weather!D:D,D36=Weather!C:C,F36=Weather!A:A))"),28.1)</f>
        <v>28.1</v>
      </c>
      <c r="T36" s="28">
        <f>IFERROR(__xludf.DUMMYFUNCTION("IF(F36=""India"", FILTER(Weather!E:E,D36=Weather!C:C,E36=Weather!B:B),FILTER(Weather!E:E,D36=Weather!C:C,F36=Weather!A:A))"),15.8)</f>
        <v>15.8</v>
      </c>
      <c r="U36" s="28">
        <f>IFERROR(__xludf.DUMMYFUNCTION("IF(F36=""India"", FILTER(Weather!F:F,D36=Weather!C:C,E36=Weather!B:B),FILTER(Weather!F:F,D36=Weather!C:C,F36=Weather!A:A))"),23.4)</f>
        <v>23.4</v>
      </c>
      <c r="V36" s="25">
        <v>28.993333333333332</v>
      </c>
      <c r="W36" s="25">
        <v>91.364</v>
      </c>
      <c r="X36" s="25">
        <v>5.425454545454545</v>
      </c>
      <c r="Y36" s="25">
        <v>46.032727272727264</v>
      </c>
      <c r="Z36" s="25">
        <v>51.62</v>
      </c>
      <c r="AA36" s="25">
        <v>29.453333333333333</v>
      </c>
      <c r="AB36" s="25">
        <v>88.70466666666665</v>
      </c>
      <c r="AC36" s="25">
        <v>5.574545454545454</v>
      </c>
      <c r="AD36" s="25">
        <v>33.232727272727274</v>
      </c>
      <c r="AE36" s="25">
        <v>35.72636363636363</v>
      </c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  <row r="37" ht="15.75" hidden="1" customHeight="1">
      <c r="A37" s="25" t="s">
        <v>59</v>
      </c>
      <c r="B37" s="25" t="s">
        <v>56</v>
      </c>
      <c r="C37" s="30">
        <v>45033.0</v>
      </c>
      <c r="D37" s="25" t="s">
        <v>78</v>
      </c>
      <c r="E37" s="25" t="s">
        <v>80</v>
      </c>
      <c r="F37" s="12" t="str">
        <f>IFERROR(__xludf.DUMMYFUNCTION("FILTER(Stadium!$A$2:$A$61,E37=Stadium!$B$2:$B$61)"),"Pakistan")</f>
        <v>Pakistan</v>
      </c>
      <c r="G37" s="30" t="str">
        <f t="shared" si="3"/>
        <v>L</v>
      </c>
      <c r="H37" s="30" t="str">
        <f t="shared" si="4"/>
        <v>W</v>
      </c>
      <c r="I37" s="24">
        <f>VLOOKUP(A37, 'WL Ratio Table'!$A$6:$D$8, 4, FALSE)</f>
        <v>1</v>
      </c>
      <c r="J37" s="24">
        <v>0.75</v>
      </c>
      <c r="K37" s="25" t="s">
        <v>72</v>
      </c>
      <c r="L37" s="25">
        <v>159.0</v>
      </c>
      <c r="M37" s="25">
        <v>163.0</v>
      </c>
      <c r="N37" s="25" t="s">
        <v>56</v>
      </c>
      <c r="O37" s="27">
        <f>(4/163)*100</f>
        <v>2.45398773</v>
      </c>
      <c r="P37" s="25">
        <v>-357.0</v>
      </c>
      <c r="Q37" s="25">
        <v>270.0</v>
      </c>
      <c r="R37" s="25">
        <f t="shared" si="1"/>
        <v>-43.5</v>
      </c>
      <c r="S37" s="28">
        <f>IFERROR(__xludf.DUMMYFUNCTION("IF(F37=""India"", FILTER(Weather!D:D,D37=Weather!C:C,E37=Weather!B:B), FILTER(Weather!D:D,D37=Weather!C:C,F37=Weather!A:A))"),28.1)</f>
        <v>28.1</v>
      </c>
      <c r="T37" s="28">
        <f>IFERROR(__xludf.DUMMYFUNCTION("IF(F37=""India"", FILTER(Weather!E:E,D37=Weather!C:C,E37=Weather!B:B),FILTER(Weather!E:E,D37=Weather!C:C,F37=Weather!A:A))"),15.8)</f>
        <v>15.8</v>
      </c>
      <c r="U37" s="28">
        <f>IFERROR(__xludf.DUMMYFUNCTION("IF(F37=""India"", FILTER(Weather!F:F,D37=Weather!C:C,E37=Weather!B:B),FILTER(Weather!F:F,D37=Weather!C:C,F37=Weather!A:A))"),23.4)</f>
        <v>23.4</v>
      </c>
      <c r="V37" s="25">
        <v>28.993333333333332</v>
      </c>
      <c r="W37" s="25">
        <v>91.364</v>
      </c>
      <c r="X37" s="25">
        <v>5.425454545454545</v>
      </c>
      <c r="Y37" s="25">
        <v>46.032727272727264</v>
      </c>
      <c r="Z37" s="25">
        <v>51.62</v>
      </c>
      <c r="AA37" s="25">
        <v>29.453333333333333</v>
      </c>
      <c r="AB37" s="25">
        <v>88.70466666666665</v>
      </c>
      <c r="AC37" s="25">
        <v>5.574545454545454</v>
      </c>
      <c r="AD37" s="25">
        <v>33.232727272727274</v>
      </c>
      <c r="AE37" s="25">
        <v>35.72636363636363</v>
      </c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</row>
    <row r="38" ht="15.75" hidden="1" customHeight="1">
      <c r="A38" s="25" t="s">
        <v>59</v>
      </c>
      <c r="B38" s="25" t="s">
        <v>56</v>
      </c>
      <c r="C38" s="30">
        <v>45031.0</v>
      </c>
      <c r="D38" s="25" t="s">
        <v>78</v>
      </c>
      <c r="E38" s="25" t="s">
        <v>80</v>
      </c>
      <c r="F38" s="12" t="str">
        <f>IFERROR(__xludf.DUMMYFUNCTION("FILTER(Stadium!$A$2:$A$61,E38=Stadium!$B$2:$B$61)"),"Pakistan")</f>
        <v>Pakistan</v>
      </c>
      <c r="G38" s="30" t="str">
        <f t="shared" si="3"/>
        <v>W</v>
      </c>
      <c r="H38" s="30" t="str">
        <f t="shared" si="4"/>
        <v>L</v>
      </c>
      <c r="I38" s="24">
        <f>VLOOKUP(A38, 'WL Ratio Table'!$A$6:$D$8, 4, FALSE)</f>
        <v>1</v>
      </c>
      <c r="J38" s="24">
        <v>0.75</v>
      </c>
      <c r="K38" s="25" t="s">
        <v>72</v>
      </c>
      <c r="L38" s="25">
        <v>192.0</v>
      </c>
      <c r="M38" s="25">
        <v>154.0</v>
      </c>
      <c r="N38" s="25" t="s">
        <v>59</v>
      </c>
      <c r="O38" s="27">
        <f>(38/192)*100</f>
        <v>19.79166667</v>
      </c>
      <c r="P38" s="25">
        <v>-312.0</v>
      </c>
      <c r="Q38" s="25">
        <v>240.0</v>
      </c>
      <c r="R38" s="25">
        <f t="shared" si="1"/>
        <v>-36</v>
      </c>
      <c r="S38" s="28">
        <f>IFERROR(__xludf.DUMMYFUNCTION("IF(F38=""India"", FILTER(Weather!D:D,D38=Weather!C:C,E38=Weather!B:B), FILTER(Weather!D:D,D38=Weather!C:C,F38=Weather!A:A))"),28.1)</f>
        <v>28.1</v>
      </c>
      <c r="T38" s="28">
        <f>IFERROR(__xludf.DUMMYFUNCTION("IF(F38=""India"", FILTER(Weather!E:E,D38=Weather!C:C,E38=Weather!B:B),FILTER(Weather!E:E,D38=Weather!C:C,F38=Weather!A:A))"),15.8)</f>
        <v>15.8</v>
      </c>
      <c r="U38" s="28">
        <f>IFERROR(__xludf.DUMMYFUNCTION("IF(F38=""India"", FILTER(Weather!F:F,D38=Weather!C:C,E38=Weather!B:B),FILTER(Weather!F:F,D38=Weather!C:C,F38=Weather!A:A))"),23.4)</f>
        <v>23.4</v>
      </c>
      <c r="V38" s="25">
        <v>28.993333333333332</v>
      </c>
      <c r="W38" s="25">
        <v>91.364</v>
      </c>
      <c r="X38" s="25">
        <v>5.425454545454545</v>
      </c>
      <c r="Y38" s="25">
        <v>46.032727272727264</v>
      </c>
      <c r="Z38" s="25">
        <v>51.62</v>
      </c>
      <c r="AA38" s="25">
        <v>29.453333333333333</v>
      </c>
      <c r="AB38" s="25">
        <v>88.70466666666665</v>
      </c>
      <c r="AC38" s="25">
        <v>5.574545454545454</v>
      </c>
      <c r="AD38" s="25">
        <v>33.232727272727274</v>
      </c>
      <c r="AE38" s="25">
        <v>35.72636363636363</v>
      </c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</row>
    <row r="39" ht="15.75" hidden="1" customHeight="1">
      <c r="A39" s="25" t="s">
        <v>59</v>
      </c>
      <c r="B39" s="25" t="s">
        <v>56</v>
      </c>
      <c r="C39" s="30">
        <v>45030.0</v>
      </c>
      <c r="D39" s="25" t="s">
        <v>78</v>
      </c>
      <c r="E39" s="25" t="s">
        <v>80</v>
      </c>
      <c r="F39" s="12" t="str">
        <f>IFERROR(__xludf.DUMMYFUNCTION("FILTER(Stadium!$A$2:$A$61,E39=Stadium!$B$2:$B$61)"),"Pakistan")</f>
        <v>Pakistan</v>
      </c>
      <c r="G39" s="30" t="str">
        <f t="shared" si="3"/>
        <v>W</v>
      </c>
      <c r="H39" s="30" t="str">
        <f t="shared" si="4"/>
        <v>L</v>
      </c>
      <c r="I39" s="24">
        <f>VLOOKUP(A39, 'WL Ratio Table'!$A$6:$D$8, 4, FALSE)</f>
        <v>1</v>
      </c>
      <c r="J39" s="24">
        <v>0.75</v>
      </c>
      <c r="K39" s="25" t="s">
        <v>72</v>
      </c>
      <c r="L39" s="25">
        <v>182.0</v>
      </c>
      <c r="M39" s="25">
        <v>94.0</v>
      </c>
      <c r="N39" s="25" t="s">
        <v>59</v>
      </c>
      <c r="O39" s="27">
        <f>(88/182)*100</f>
        <v>48.35164835</v>
      </c>
      <c r="P39" s="25">
        <v>-263.0</v>
      </c>
      <c r="Q39" s="25">
        <v>204.0</v>
      </c>
      <c r="R39" s="25">
        <f t="shared" si="1"/>
        <v>-29.5</v>
      </c>
      <c r="S39" s="28">
        <f>IFERROR(__xludf.DUMMYFUNCTION("IF(F39=""India"", FILTER(Weather!D:D,D39=Weather!C:C,E39=Weather!B:B), FILTER(Weather!D:D,D39=Weather!C:C,F39=Weather!A:A))"),28.1)</f>
        <v>28.1</v>
      </c>
      <c r="T39" s="28">
        <f>IFERROR(__xludf.DUMMYFUNCTION("IF(F39=""India"", FILTER(Weather!E:E,D39=Weather!C:C,E39=Weather!B:B),FILTER(Weather!E:E,D39=Weather!C:C,F39=Weather!A:A))"),15.8)</f>
        <v>15.8</v>
      </c>
      <c r="U39" s="28">
        <f>IFERROR(__xludf.DUMMYFUNCTION("IF(F39=""India"", FILTER(Weather!F:F,D39=Weather!C:C,E39=Weather!B:B),FILTER(Weather!F:F,D39=Weather!C:C,F39=Weather!A:A))"),23.4)</f>
        <v>23.4</v>
      </c>
      <c r="V39" s="25">
        <v>28.993333333333332</v>
      </c>
      <c r="W39" s="25">
        <v>91.364</v>
      </c>
      <c r="X39" s="25">
        <v>5.425454545454545</v>
      </c>
      <c r="Y39" s="25">
        <v>46.032727272727264</v>
      </c>
      <c r="Z39" s="25">
        <v>51.62</v>
      </c>
      <c r="AA39" s="25">
        <v>29.453333333333333</v>
      </c>
      <c r="AB39" s="25">
        <v>88.70466666666665</v>
      </c>
      <c r="AC39" s="25">
        <v>5.574545454545454</v>
      </c>
      <c r="AD39" s="25">
        <v>33.232727272727274</v>
      </c>
      <c r="AE39" s="25">
        <v>35.72636363636363</v>
      </c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</row>
    <row r="40" ht="15.75" hidden="1" customHeight="1">
      <c r="A40" s="25" t="s">
        <v>56</v>
      </c>
      <c r="B40" s="25" t="s">
        <v>62</v>
      </c>
      <c r="C40" s="30">
        <v>45023.0</v>
      </c>
      <c r="D40" s="25" t="s">
        <v>78</v>
      </c>
      <c r="E40" s="25" t="s">
        <v>81</v>
      </c>
      <c r="F40" s="12" t="str">
        <f>IFERROR(__xludf.DUMMYFUNCTION("FILTER(Stadium!$A$2:$A$61,E40=Stadium!$B$2:$B$61)"),"New Zealand")</f>
        <v>New Zealand</v>
      </c>
      <c r="G40" s="30" t="str">
        <f t="shared" si="3"/>
        <v>W</v>
      </c>
      <c r="H40" s="30" t="str">
        <f t="shared" si="4"/>
        <v>L</v>
      </c>
      <c r="I40" s="24">
        <f t="shared" ref="I40:I41" si="5">4/5</f>
        <v>0.8</v>
      </c>
      <c r="J40" s="24">
        <f t="shared" ref="J40:J41" si="6">1/5</f>
        <v>0.2</v>
      </c>
      <c r="K40" s="25" t="s">
        <v>72</v>
      </c>
      <c r="L40" s="25">
        <v>183.0</v>
      </c>
      <c r="M40" s="25">
        <v>182.0</v>
      </c>
      <c r="N40" s="25" t="s">
        <v>56</v>
      </c>
      <c r="O40" s="27">
        <v>40.0</v>
      </c>
      <c r="P40" s="25">
        <v>-238.0</v>
      </c>
      <c r="Q40" s="25">
        <v>188.0</v>
      </c>
      <c r="R40" s="25">
        <f t="shared" si="1"/>
        <v>-25</v>
      </c>
      <c r="S40" s="28">
        <f>IFERROR(__xludf.DUMMYFUNCTION("IF(F40=""India"", FILTER(Weather!D:D,D40=Weather!C:C,E40=Weather!B:B), FILTER(Weather!D:D,D40=Weather!C:C,F40=Weather!A:A))"),14.4)</f>
        <v>14.4</v>
      </c>
      <c r="T40" s="28">
        <f>IFERROR(__xludf.DUMMYFUNCTION("IF(F40=""India"", FILTER(Weather!E:E,D40=Weather!C:C,E40=Weather!B:B),FILTER(Weather!E:E,D40=Weather!C:C,F40=Weather!A:A))"),8.4)</f>
        <v>8.4</v>
      </c>
      <c r="U40" s="28">
        <f>IFERROR(__xludf.DUMMYFUNCTION("IF(F40=""India"", FILTER(Weather!F:F,D40=Weather!C:C,E40=Weather!B:B),FILTER(Weather!F:F,D40=Weather!C:C,F40=Weather!A:A))"),64.4)</f>
        <v>64.4</v>
      </c>
      <c r="V40" s="25">
        <v>29.453333333333333</v>
      </c>
      <c r="W40" s="25">
        <v>88.70466666666665</v>
      </c>
      <c r="X40" s="25">
        <v>5.574545454545454</v>
      </c>
      <c r="Y40" s="25">
        <v>33.232727272727274</v>
      </c>
      <c r="Z40" s="25">
        <v>35.72636363636363</v>
      </c>
      <c r="AA40" s="25">
        <v>24.878750000000004</v>
      </c>
      <c r="AB40" s="25">
        <v>76.75124999999998</v>
      </c>
      <c r="AC40" s="25">
        <v>5.679166666666667</v>
      </c>
      <c r="AD40" s="25">
        <v>34.49333333333333</v>
      </c>
      <c r="AE40" s="25">
        <v>38.29833333333333</v>
      </c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</row>
    <row r="41" ht="15.75" hidden="1" customHeight="1">
      <c r="A41" s="25" t="s">
        <v>56</v>
      </c>
      <c r="B41" s="25" t="s">
        <v>62</v>
      </c>
      <c r="C41" s="30">
        <v>45020.0</v>
      </c>
      <c r="D41" s="25" t="s">
        <v>78</v>
      </c>
      <c r="E41" s="25" t="s">
        <v>82</v>
      </c>
      <c r="F41" s="12" t="str">
        <f>IFERROR(__xludf.DUMMYFUNCTION("FILTER(Stadium!$A$2:$A$61,E41=Stadium!$B$2:$B$61)"),"New Zealand")</f>
        <v>New Zealand</v>
      </c>
      <c r="G41" s="30" t="str">
        <f t="shared" si="3"/>
        <v>W</v>
      </c>
      <c r="H41" s="30" t="str">
        <f t="shared" si="4"/>
        <v>L</v>
      </c>
      <c r="I41" s="24">
        <f t="shared" si="5"/>
        <v>0.8</v>
      </c>
      <c r="J41" s="24">
        <f t="shared" si="6"/>
        <v>0.2</v>
      </c>
      <c r="K41" s="25" t="s">
        <v>72</v>
      </c>
      <c r="L41" s="25">
        <v>146.0</v>
      </c>
      <c r="M41" s="25">
        <v>141.0</v>
      </c>
      <c r="N41" s="25" t="s">
        <v>56</v>
      </c>
      <c r="O41" s="27">
        <v>90.0</v>
      </c>
      <c r="P41" s="25">
        <v>-192.0</v>
      </c>
      <c r="Q41" s="25">
        <v>156.0</v>
      </c>
      <c r="R41" s="25">
        <f t="shared" si="1"/>
        <v>-18</v>
      </c>
      <c r="S41" s="28">
        <f>IFERROR(__xludf.DUMMYFUNCTION("IF(F41=""India"", FILTER(Weather!D:D,D41=Weather!C:C,E41=Weather!B:B), FILTER(Weather!D:D,D41=Weather!C:C,F41=Weather!A:A))"),14.4)</f>
        <v>14.4</v>
      </c>
      <c r="T41" s="28">
        <f>IFERROR(__xludf.DUMMYFUNCTION("IF(F41=""India"", FILTER(Weather!E:E,D41=Weather!C:C,E41=Weather!B:B),FILTER(Weather!E:E,D41=Weather!C:C,F41=Weather!A:A))"),8.4)</f>
        <v>8.4</v>
      </c>
      <c r="U41" s="28">
        <f>IFERROR(__xludf.DUMMYFUNCTION("IF(F41=""India"", FILTER(Weather!F:F,D41=Weather!C:C,E41=Weather!B:B),FILTER(Weather!F:F,D41=Weather!C:C,F41=Weather!A:A))"),64.4)</f>
        <v>64.4</v>
      </c>
      <c r="V41" s="25">
        <v>29.453333333333333</v>
      </c>
      <c r="W41" s="25">
        <v>88.70466666666665</v>
      </c>
      <c r="X41" s="25">
        <v>5.574545454545454</v>
      </c>
      <c r="Y41" s="25">
        <v>33.232727272727274</v>
      </c>
      <c r="Z41" s="25">
        <v>35.72636363636363</v>
      </c>
      <c r="AA41" s="25">
        <v>24.878750000000004</v>
      </c>
      <c r="AB41" s="25">
        <v>76.75124999999998</v>
      </c>
      <c r="AC41" s="25">
        <v>5.679166666666667</v>
      </c>
      <c r="AD41" s="25">
        <v>34.49333333333333</v>
      </c>
      <c r="AE41" s="25">
        <v>38.29833333333333</v>
      </c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</row>
    <row r="42" ht="15.75" hidden="1" customHeight="1">
      <c r="A42" s="25" t="s">
        <v>58</v>
      </c>
      <c r="B42" s="25" t="s">
        <v>61</v>
      </c>
      <c r="C42" s="30">
        <v>44999.0</v>
      </c>
      <c r="D42" s="25" t="s">
        <v>83</v>
      </c>
      <c r="E42" s="25" t="s">
        <v>84</v>
      </c>
      <c r="F42" s="12" t="str">
        <f>IFERROR(__xludf.DUMMYFUNCTION("FILTER(Stadium!$A$2:$A$61,E42=Stadium!$B$2:$B$61)"),"Bangladesh")</f>
        <v>Bangladesh</v>
      </c>
      <c r="G42" s="30" t="str">
        <f t="shared" si="3"/>
        <v>L</v>
      </c>
      <c r="H42" s="30" t="str">
        <f t="shared" si="4"/>
        <v>W</v>
      </c>
      <c r="I42" s="24">
        <f>VLOOKUP(A42, 'WL Ratio Table'!$A$6:$D$8, 4, FALSE)</f>
        <v>1.384615385</v>
      </c>
      <c r="J42" s="24">
        <f>VLOOKUP(B42, 'WL Ratio Table'!$A$6:$D$9, 4, FALSE)</f>
        <v>0.5416666667</v>
      </c>
      <c r="K42" s="25" t="s">
        <v>72</v>
      </c>
      <c r="L42" s="25">
        <v>142.0</v>
      </c>
      <c r="M42" s="25">
        <v>158.0</v>
      </c>
      <c r="N42" s="25" t="s">
        <v>61</v>
      </c>
      <c r="O42" s="27">
        <f>(16/158)*100</f>
        <v>10.12658228</v>
      </c>
      <c r="P42" s="25">
        <v>-233.0</v>
      </c>
      <c r="Q42" s="25">
        <v>183.0</v>
      </c>
      <c r="R42" s="25">
        <f t="shared" si="1"/>
        <v>-25</v>
      </c>
      <c r="S42" s="28">
        <f>IFERROR(__xludf.DUMMYFUNCTION("IF(F42=""India"", FILTER(Weather!D:D,D42=Weather!C:C,E42=Weather!B:B), FILTER(Weather!D:D,D42=Weather!C:C,F42=Weather!A:A))"),30.4)</f>
        <v>30.4</v>
      </c>
      <c r="T42" s="28">
        <f>IFERROR(__xludf.DUMMYFUNCTION("IF(F42=""India"", FILTER(Weather!E:E,D42=Weather!C:C,E42=Weather!B:B),FILTER(Weather!E:E,D42=Weather!C:C,F42=Weather!A:A))"),18.2)</f>
        <v>18.2</v>
      </c>
      <c r="U42" s="28">
        <f>IFERROR(__xludf.DUMMYFUNCTION("IF(F42=""India"", FILTER(Weather!F:F,D42=Weather!C:C,E42=Weather!B:B),FILTER(Weather!F:F,D42=Weather!C:C,F42=Weather!A:A))"),30.7)</f>
        <v>30.7</v>
      </c>
      <c r="V42" s="25">
        <v>30.137999999999998</v>
      </c>
      <c r="W42" s="25">
        <v>100.968</v>
      </c>
      <c r="X42" s="25">
        <v>5.778333333333333</v>
      </c>
      <c r="Y42" s="25">
        <v>37.89333333333334</v>
      </c>
      <c r="Z42" s="25">
        <v>39.69166666666667</v>
      </c>
      <c r="AA42" s="25">
        <v>21.11625</v>
      </c>
      <c r="AB42" s="25">
        <v>78.83125</v>
      </c>
      <c r="AC42" s="25">
        <v>5.192727272727272</v>
      </c>
      <c r="AD42" s="25">
        <v>33.17</v>
      </c>
      <c r="AE42" s="25">
        <v>38.899090909090894</v>
      </c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</row>
    <row r="43" ht="15.75" hidden="1" customHeight="1">
      <c r="A43" s="25" t="s">
        <v>58</v>
      </c>
      <c r="B43" s="25" t="s">
        <v>61</v>
      </c>
      <c r="C43" s="30">
        <v>44997.0</v>
      </c>
      <c r="D43" s="25" t="s">
        <v>83</v>
      </c>
      <c r="E43" s="25" t="s">
        <v>84</v>
      </c>
      <c r="F43" s="12" t="str">
        <f>IFERROR(__xludf.DUMMYFUNCTION("FILTER(Stadium!$A$2:$A$61,E43=Stadium!$B$2:$B$61)"),"Bangladesh")</f>
        <v>Bangladesh</v>
      </c>
      <c r="G43" s="30" t="str">
        <f t="shared" si="3"/>
        <v>L</v>
      </c>
      <c r="H43" s="30" t="str">
        <f t="shared" si="4"/>
        <v>W</v>
      </c>
      <c r="I43" s="24">
        <f>VLOOKUP(A43, 'WL Ratio Table'!$A$6:$D$8, 4, FALSE)</f>
        <v>1.384615385</v>
      </c>
      <c r="J43" s="24">
        <f>VLOOKUP(B43, 'WL Ratio Table'!$A$6:$D$9, 4, FALSE)</f>
        <v>0.5416666667</v>
      </c>
      <c r="K43" s="25" t="s">
        <v>72</v>
      </c>
      <c r="L43" s="25">
        <v>117.0</v>
      </c>
      <c r="M43" s="25">
        <v>120.0</v>
      </c>
      <c r="N43" s="25" t="s">
        <v>61</v>
      </c>
      <c r="O43" s="27">
        <f>(3/120)*100</f>
        <v>2.5</v>
      </c>
      <c r="P43" s="25">
        <v>-217.0</v>
      </c>
      <c r="Q43" s="25">
        <v>172.0</v>
      </c>
      <c r="R43" s="25">
        <f t="shared" si="1"/>
        <v>-22.5</v>
      </c>
      <c r="S43" s="28">
        <f>IFERROR(__xludf.DUMMYFUNCTION("IF(F43=""India"", FILTER(Weather!D:D,D43=Weather!C:C,E43=Weather!B:B), FILTER(Weather!D:D,D43=Weather!C:C,F43=Weather!A:A))"),30.4)</f>
        <v>30.4</v>
      </c>
      <c r="T43" s="28">
        <f>IFERROR(__xludf.DUMMYFUNCTION("IF(F43=""India"", FILTER(Weather!E:E,D43=Weather!C:C,E43=Weather!B:B),FILTER(Weather!E:E,D43=Weather!C:C,F43=Weather!A:A))"),18.2)</f>
        <v>18.2</v>
      </c>
      <c r="U43" s="28">
        <f>IFERROR(__xludf.DUMMYFUNCTION("IF(F43=""India"", FILTER(Weather!F:F,D43=Weather!C:C,E43=Weather!B:B),FILTER(Weather!F:F,D43=Weather!C:C,F43=Weather!A:A))"),30.7)</f>
        <v>30.7</v>
      </c>
      <c r="V43" s="25">
        <v>30.137999999999998</v>
      </c>
      <c r="W43" s="25">
        <v>100.968</v>
      </c>
      <c r="X43" s="25">
        <v>5.778333333333333</v>
      </c>
      <c r="Y43" s="25">
        <v>37.89333333333334</v>
      </c>
      <c r="Z43" s="25">
        <v>39.69166666666667</v>
      </c>
      <c r="AA43" s="25">
        <v>21.11625</v>
      </c>
      <c r="AB43" s="25">
        <v>78.83125</v>
      </c>
      <c r="AC43" s="25">
        <v>5.192727272727272</v>
      </c>
      <c r="AD43" s="25">
        <v>33.17</v>
      </c>
      <c r="AE43" s="25">
        <v>38.899090909090894</v>
      </c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</row>
    <row r="44" ht="15.75" hidden="1" customHeight="1">
      <c r="A44" s="25" t="s">
        <v>58</v>
      </c>
      <c r="B44" s="25" t="s">
        <v>61</v>
      </c>
      <c r="C44" s="30">
        <v>44997.0</v>
      </c>
      <c r="D44" s="25" t="s">
        <v>83</v>
      </c>
      <c r="E44" s="25" t="s">
        <v>84</v>
      </c>
      <c r="F44" s="12" t="str">
        <f>IFERROR(__xludf.DUMMYFUNCTION("FILTER(Stadium!$A$2:$A$61,E44=Stadium!$B$2:$B$61)"),"Bangladesh")</f>
        <v>Bangladesh</v>
      </c>
      <c r="G44" s="30" t="str">
        <f t="shared" si="3"/>
        <v>L</v>
      </c>
      <c r="H44" s="30" t="str">
        <f t="shared" si="4"/>
        <v>W</v>
      </c>
      <c r="I44" s="24">
        <f>VLOOKUP(A44, 'WL Ratio Table'!$A$6:$D$8, 4, FALSE)</f>
        <v>1.384615385</v>
      </c>
      <c r="J44" s="24">
        <f>VLOOKUP(B44, 'WL Ratio Table'!$A$6:$D$9, 4, FALSE)</f>
        <v>0.5416666667</v>
      </c>
      <c r="K44" s="25" t="s">
        <v>72</v>
      </c>
      <c r="L44" s="25">
        <v>117.0</v>
      </c>
      <c r="M44" s="25">
        <v>120.0</v>
      </c>
      <c r="N44" s="25" t="s">
        <v>61</v>
      </c>
      <c r="O44" s="27">
        <v>40.0</v>
      </c>
      <c r="P44" s="25">
        <v>-217.0</v>
      </c>
      <c r="Q44" s="25">
        <v>172.0</v>
      </c>
      <c r="R44" s="25">
        <f t="shared" si="1"/>
        <v>-22.5</v>
      </c>
      <c r="S44" s="28">
        <f>IFERROR(__xludf.DUMMYFUNCTION("IF(F44=""India"", FILTER(Weather!D:D,D44=Weather!C:C,E44=Weather!B:B), FILTER(Weather!D:D,D44=Weather!C:C,F44=Weather!A:A))"),30.4)</f>
        <v>30.4</v>
      </c>
      <c r="T44" s="28">
        <f>IFERROR(__xludf.DUMMYFUNCTION("IF(F44=""India"", FILTER(Weather!E:E,D44=Weather!C:C,E44=Weather!B:B),FILTER(Weather!E:E,D44=Weather!C:C,F44=Weather!A:A))"),18.2)</f>
        <v>18.2</v>
      </c>
      <c r="U44" s="28">
        <f>IFERROR(__xludf.DUMMYFUNCTION("IF(F44=""India"", FILTER(Weather!F:F,D44=Weather!C:C,E44=Weather!B:B),FILTER(Weather!F:F,D44=Weather!C:C,F44=Weather!A:A))"),30.7)</f>
        <v>30.7</v>
      </c>
      <c r="V44" s="25">
        <v>30.137999999999998</v>
      </c>
      <c r="W44" s="25">
        <v>100.968</v>
      </c>
      <c r="X44" s="25">
        <v>5.778333333333333</v>
      </c>
      <c r="Y44" s="25">
        <v>37.89333333333334</v>
      </c>
      <c r="Z44" s="25">
        <v>39.69166666666667</v>
      </c>
      <c r="AA44" s="25">
        <v>21.11625</v>
      </c>
      <c r="AB44" s="25">
        <v>78.83125</v>
      </c>
      <c r="AC44" s="25">
        <v>5.192727272727272</v>
      </c>
      <c r="AD44" s="25">
        <v>33.17</v>
      </c>
      <c r="AE44" s="25">
        <v>38.899090909090894</v>
      </c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</row>
    <row r="45" ht="15.75" hidden="1" customHeight="1">
      <c r="A45" s="25" t="s">
        <v>58</v>
      </c>
      <c r="B45" s="25" t="s">
        <v>61</v>
      </c>
      <c r="C45" s="30">
        <v>44994.0</v>
      </c>
      <c r="D45" s="25" t="s">
        <v>83</v>
      </c>
      <c r="E45" s="25" t="s">
        <v>84</v>
      </c>
      <c r="F45" s="12" t="str">
        <f>IFERROR(__xludf.DUMMYFUNCTION("FILTER(Stadium!$A$2:$A$61,E45=Stadium!$B$2:$B$61)"),"Bangladesh")</f>
        <v>Bangladesh</v>
      </c>
      <c r="G45" s="30" t="str">
        <f t="shared" si="3"/>
        <v>L</v>
      </c>
      <c r="H45" s="30" t="str">
        <f t="shared" si="4"/>
        <v>W</v>
      </c>
      <c r="I45" s="24">
        <f>VLOOKUP(A45, 'WL Ratio Table'!$A$6:$D$8, 4, FALSE)</f>
        <v>1.384615385</v>
      </c>
      <c r="J45" s="24">
        <f>VLOOKUP(B45, 'WL Ratio Table'!$A$6:$D$9, 4, FALSE)</f>
        <v>0.5416666667</v>
      </c>
      <c r="K45" s="25" t="s">
        <v>72</v>
      </c>
      <c r="L45" s="25">
        <v>156.0</v>
      </c>
      <c r="M45" s="25">
        <v>158.0</v>
      </c>
      <c r="N45" s="25" t="s">
        <v>61</v>
      </c>
      <c r="O45" s="27">
        <v>60.0</v>
      </c>
      <c r="P45" s="25">
        <v>-244.0</v>
      </c>
      <c r="Q45" s="25">
        <v>191.0</v>
      </c>
      <c r="R45" s="25">
        <f t="shared" si="1"/>
        <v>-26.5</v>
      </c>
      <c r="S45" s="28">
        <f>IFERROR(__xludf.DUMMYFUNCTION("IF(F45=""India"", FILTER(Weather!D:D,D45=Weather!C:C,E45=Weather!B:B), FILTER(Weather!D:D,D45=Weather!C:C,F45=Weather!A:A))"),30.4)</f>
        <v>30.4</v>
      </c>
      <c r="T45" s="28">
        <f>IFERROR(__xludf.DUMMYFUNCTION("IF(F45=""India"", FILTER(Weather!E:E,D45=Weather!C:C,E45=Weather!B:B),FILTER(Weather!E:E,D45=Weather!C:C,F45=Weather!A:A))"),18.2)</f>
        <v>18.2</v>
      </c>
      <c r="U45" s="28">
        <f>IFERROR(__xludf.DUMMYFUNCTION("IF(F45=""India"", FILTER(Weather!F:F,D45=Weather!C:C,E45=Weather!B:B),FILTER(Weather!F:F,D45=Weather!C:C,F45=Weather!A:A))"),30.7)</f>
        <v>30.7</v>
      </c>
      <c r="V45" s="25">
        <v>30.137999999999998</v>
      </c>
      <c r="W45" s="25">
        <v>100.968</v>
      </c>
      <c r="X45" s="25">
        <v>5.778333333333333</v>
      </c>
      <c r="Y45" s="25">
        <v>37.89333333333334</v>
      </c>
      <c r="Z45" s="25">
        <v>39.69166666666667</v>
      </c>
      <c r="AA45" s="25">
        <v>21.11625</v>
      </c>
      <c r="AB45" s="25">
        <v>78.83125</v>
      </c>
      <c r="AC45" s="25">
        <v>5.192727272727272</v>
      </c>
      <c r="AD45" s="25">
        <v>33.17</v>
      </c>
      <c r="AE45" s="25">
        <v>38.899090909090894</v>
      </c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</row>
    <row r="46" ht="15.75" hidden="1" customHeight="1">
      <c r="A46" s="25" t="s">
        <v>58</v>
      </c>
      <c r="B46" s="25" t="s">
        <v>61</v>
      </c>
      <c r="C46" s="30">
        <v>44994.0</v>
      </c>
      <c r="D46" s="25" t="s">
        <v>83</v>
      </c>
      <c r="E46" s="25" t="s">
        <v>85</v>
      </c>
      <c r="F46" s="12" t="str">
        <f>IFERROR(__xludf.DUMMYFUNCTION("FILTER(Stadium!$A$2:$A$61,E46=Stadium!$B$2:$B$61)"),"Bangladesh")</f>
        <v>Bangladesh</v>
      </c>
      <c r="G46" s="30" t="str">
        <f t="shared" si="3"/>
        <v>L</v>
      </c>
      <c r="H46" s="30" t="str">
        <f t="shared" si="4"/>
        <v>W</v>
      </c>
      <c r="I46" s="24">
        <f>VLOOKUP(A46, 'WL Ratio Table'!$A$6:$D$8, 4, FALSE)</f>
        <v>1.384615385</v>
      </c>
      <c r="J46" s="24">
        <f>VLOOKUP(B46, 'WL Ratio Table'!$A$6:$D$9, 4, FALSE)</f>
        <v>0.5416666667</v>
      </c>
      <c r="K46" s="25" t="s">
        <v>72</v>
      </c>
      <c r="L46" s="25">
        <v>156.0</v>
      </c>
      <c r="M46" s="25">
        <v>158.0</v>
      </c>
      <c r="N46" s="25" t="s">
        <v>61</v>
      </c>
      <c r="O46" s="27">
        <v>60.0</v>
      </c>
      <c r="P46" s="25">
        <v>-244.0</v>
      </c>
      <c r="Q46" s="25">
        <v>191.0</v>
      </c>
      <c r="R46" s="25">
        <f t="shared" si="1"/>
        <v>-26.5</v>
      </c>
      <c r="S46" s="28">
        <f>IFERROR(__xludf.DUMMYFUNCTION("IF(F46=""India"", FILTER(Weather!D:D,D46=Weather!C:C,E46=Weather!B:B), FILTER(Weather!D:D,D46=Weather!C:C,F46=Weather!A:A))"),30.4)</f>
        <v>30.4</v>
      </c>
      <c r="T46" s="28">
        <f>IFERROR(__xludf.DUMMYFUNCTION("IF(F46=""India"", FILTER(Weather!E:E,D46=Weather!C:C,E46=Weather!B:B),FILTER(Weather!E:E,D46=Weather!C:C,F46=Weather!A:A))"),18.2)</f>
        <v>18.2</v>
      </c>
      <c r="U46" s="28">
        <f>IFERROR(__xludf.DUMMYFUNCTION("IF(F46=""India"", FILTER(Weather!F:F,D46=Weather!C:C,E46=Weather!B:B),FILTER(Weather!F:F,D46=Weather!C:C,F46=Weather!A:A))"),30.7)</f>
        <v>30.7</v>
      </c>
      <c r="V46" s="25">
        <v>30.137999999999998</v>
      </c>
      <c r="W46" s="25">
        <v>100.968</v>
      </c>
      <c r="X46" s="25">
        <v>5.778333333333333</v>
      </c>
      <c r="Y46" s="25">
        <v>37.89333333333334</v>
      </c>
      <c r="Z46" s="25">
        <v>39.69166666666667</v>
      </c>
      <c r="AA46" s="25">
        <v>21.11625</v>
      </c>
      <c r="AB46" s="25">
        <v>78.83125</v>
      </c>
      <c r="AC46" s="25">
        <v>5.192727272727272</v>
      </c>
      <c r="AD46" s="25">
        <v>33.17</v>
      </c>
      <c r="AE46" s="25">
        <v>38.899090909090894</v>
      </c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</row>
    <row r="47" ht="15.75" customHeight="1">
      <c r="A47" s="25" t="s">
        <v>47</v>
      </c>
      <c r="B47" s="25" t="s">
        <v>56</v>
      </c>
      <c r="C47" s="30">
        <v>44958.0</v>
      </c>
      <c r="D47" s="25" t="s">
        <v>86</v>
      </c>
      <c r="E47" s="25" t="s">
        <v>50</v>
      </c>
      <c r="F47" s="12" t="str">
        <f>IFERROR(__xludf.DUMMYFUNCTION("FILTER(Stadium!$A$2:$A$61,E47=Stadium!$B$2:$B$61)"),"India")</f>
        <v>India</v>
      </c>
      <c r="G47" s="30" t="str">
        <f t="shared" si="3"/>
        <v>W</v>
      </c>
      <c r="H47" s="30" t="str">
        <f t="shared" si="4"/>
        <v>L</v>
      </c>
      <c r="I47" s="22">
        <f t="shared" ref="I47:I49" si="7">12/14</f>
        <v>0.8571428571</v>
      </c>
      <c r="J47" s="22">
        <f t="shared" ref="J47:J49" si="8">2/14</f>
        <v>0.1428571429</v>
      </c>
      <c r="K47" s="25" t="s">
        <v>72</v>
      </c>
      <c r="L47" s="25">
        <v>234.0</v>
      </c>
      <c r="M47" s="25">
        <v>66.0</v>
      </c>
      <c r="N47" s="25" t="s">
        <v>47</v>
      </c>
      <c r="O47" s="27">
        <f>(168/234)*100</f>
        <v>71.79487179</v>
      </c>
      <c r="P47" s="25">
        <v>-217.0</v>
      </c>
      <c r="Q47" s="25">
        <v>166.0</v>
      </c>
      <c r="R47" s="25">
        <f t="shared" si="1"/>
        <v>-25.5</v>
      </c>
      <c r="S47" s="28">
        <f>IFERROR(__xludf.DUMMYFUNCTION("IF(F47=""India"", FILTER(Weather!D:D,D47=Weather!C:C,E47=Weather!B:B), FILTER(Weather!D:D,D47=Weather!C:C,F47=Weather!A:A))"),22.5)</f>
        <v>22.5</v>
      </c>
      <c r="T47" s="28">
        <f>IFERROR(__xludf.DUMMYFUNCTION("IF(F47=""India"", FILTER(Weather!E:E,D47=Weather!C:C,E47=Weather!B:B),FILTER(Weather!E:E,D47=Weather!C:C,F47=Weather!A:A))"),14.6)</f>
        <v>14.6</v>
      </c>
      <c r="U47" s="28">
        <f>IFERROR(__xludf.DUMMYFUNCTION("IF(F47=""India"", FILTER(Weather!F:F,D47=Weather!C:C,E47=Weather!B:B),FILTER(Weather!F:F,D47=Weather!C:C,F47=Weather!A:A))"),0.1)</f>
        <v>0.1</v>
      </c>
      <c r="V47" s="15">
        <v>29.216249999999995</v>
      </c>
      <c r="W47" s="15">
        <v>82.43625</v>
      </c>
      <c r="X47" s="25">
        <v>5.422499999999999</v>
      </c>
      <c r="Y47" s="25">
        <v>40.535</v>
      </c>
      <c r="Z47" s="25">
        <v>43.995000000000005</v>
      </c>
      <c r="AA47" s="25">
        <v>29.453333333333333</v>
      </c>
      <c r="AB47" s="25">
        <v>88.70466666666665</v>
      </c>
      <c r="AC47" s="25">
        <v>5.574545454545454</v>
      </c>
      <c r="AD47" s="25">
        <v>33.232727272727274</v>
      </c>
      <c r="AE47" s="25">
        <v>35.72636363636363</v>
      </c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</row>
    <row r="48" ht="15.75" customHeight="1">
      <c r="A48" s="25" t="s">
        <v>47</v>
      </c>
      <c r="B48" s="25" t="s">
        <v>56</v>
      </c>
      <c r="C48" s="30">
        <v>44955.0</v>
      </c>
      <c r="D48" s="25" t="s">
        <v>87</v>
      </c>
      <c r="E48" s="25" t="s">
        <v>55</v>
      </c>
      <c r="F48" s="12" t="str">
        <f>IFERROR(__xludf.DUMMYFUNCTION("FILTER(Stadium!$A$2:$A$61,E48=Stadium!$B$2:$B$61)"),"India")</f>
        <v>India</v>
      </c>
      <c r="G48" s="30" t="str">
        <f t="shared" si="3"/>
        <v>W</v>
      </c>
      <c r="H48" s="30" t="str">
        <f t="shared" si="4"/>
        <v>L</v>
      </c>
      <c r="I48" s="22">
        <f t="shared" si="7"/>
        <v>0.8571428571</v>
      </c>
      <c r="J48" s="22">
        <f t="shared" si="8"/>
        <v>0.1428571429</v>
      </c>
      <c r="K48" s="25" t="s">
        <v>53</v>
      </c>
      <c r="L48" s="25">
        <v>101.0</v>
      </c>
      <c r="M48" s="25">
        <v>99.0</v>
      </c>
      <c r="N48" s="25" t="s">
        <v>47</v>
      </c>
      <c r="O48" s="27">
        <v>60.0</v>
      </c>
      <c r="P48" s="25">
        <v>-217.0</v>
      </c>
      <c r="Q48" s="25">
        <v>166.0</v>
      </c>
      <c r="R48" s="25">
        <f t="shared" si="1"/>
        <v>-25.5</v>
      </c>
      <c r="S48" s="28">
        <f>IFERROR(__xludf.DUMMYFUNCTION("IF(F48=""India"", FILTER(Weather!D:D,D48=Weather!C:C,E48=Weather!B:B), FILTER(Weather!D:D,D48=Weather!C:C,F48=Weather!A:A))"),22.1)</f>
        <v>22.1</v>
      </c>
      <c r="T48" s="28">
        <f>IFERROR(__xludf.DUMMYFUNCTION("IF(F48=""India"", FILTER(Weather!E:E,D48=Weather!C:C,E48=Weather!B:B),FILTER(Weather!E:E,D48=Weather!C:C,F48=Weather!A:A))"),15.0)</f>
        <v>15</v>
      </c>
      <c r="U48" s="28">
        <f>IFERROR(__xludf.DUMMYFUNCTION("IF(F48=""India"", FILTER(Weather!F:F,D48=Weather!C:C,E48=Weather!B:B),FILTER(Weather!F:F,D48=Weather!C:C,F48=Weather!A:A))"),-1.0)</f>
        <v>-1</v>
      </c>
      <c r="V48" s="15">
        <v>29.216249999999995</v>
      </c>
      <c r="W48" s="15">
        <v>82.43625</v>
      </c>
      <c r="X48" s="25">
        <v>5.422499999999999</v>
      </c>
      <c r="Y48" s="25">
        <v>40.535</v>
      </c>
      <c r="Z48" s="25">
        <v>43.995000000000005</v>
      </c>
      <c r="AA48" s="25">
        <v>29.453333333333333</v>
      </c>
      <c r="AB48" s="25">
        <v>88.70466666666665</v>
      </c>
      <c r="AC48" s="25">
        <v>5.574545454545454</v>
      </c>
      <c r="AD48" s="25">
        <v>33.232727272727274</v>
      </c>
      <c r="AE48" s="25">
        <v>35.72636363636363</v>
      </c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</row>
    <row r="49" ht="15.75" customHeight="1">
      <c r="A49" s="25" t="s">
        <v>47</v>
      </c>
      <c r="B49" s="25" t="s">
        <v>56</v>
      </c>
      <c r="C49" s="30">
        <v>44953.0</v>
      </c>
      <c r="D49" s="25" t="s">
        <v>87</v>
      </c>
      <c r="E49" s="25" t="s">
        <v>88</v>
      </c>
      <c r="F49" s="12" t="str">
        <f>IFERROR(__xludf.DUMMYFUNCTION("FILTER(Stadium!$A$2:$A$61,E49=Stadium!$B$2:$B$61)"),"India")</f>
        <v>India</v>
      </c>
      <c r="G49" s="30" t="str">
        <f t="shared" si="3"/>
        <v>L</v>
      </c>
      <c r="H49" s="30" t="str">
        <f t="shared" si="4"/>
        <v>W</v>
      </c>
      <c r="I49" s="22">
        <f t="shared" si="7"/>
        <v>0.8571428571</v>
      </c>
      <c r="J49" s="22">
        <f t="shared" si="8"/>
        <v>0.1428571429</v>
      </c>
      <c r="K49" s="25" t="s">
        <v>53</v>
      </c>
      <c r="L49" s="25">
        <v>155.0</v>
      </c>
      <c r="M49" s="25">
        <v>176.0</v>
      </c>
      <c r="N49" s="25" t="s">
        <v>56</v>
      </c>
      <c r="O49" s="27">
        <f>(21/176)*100</f>
        <v>11.93181818</v>
      </c>
      <c r="P49" s="25">
        <v>-256.0</v>
      </c>
      <c r="Q49" s="25">
        <v>192.0</v>
      </c>
      <c r="R49" s="25">
        <f t="shared" si="1"/>
        <v>-32</v>
      </c>
      <c r="S49" s="28">
        <f>IFERROR(__xludf.DUMMYFUNCTION("IF(F49=""India"", FILTER(Weather!D:D,D49=Weather!C:C,E49=Weather!B:B), FILTER(Weather!D:D,D49=Weather!C:C,F49=Weather!A:A))"),23.4)</f>
        <v>23.4</v>
      </c>
      <c r="T49" s="28">
        <f>IFERROR(__xludf.DUMMYFUNCTION("IF(F49=""India"", FILTER(Weather!E:E,D49=Weather!C:C,E49=Weather!B:B),FILTER(Weather!E:E,D49=Weather!C:C,F49=Weather!A:A))"),11.4)</f>
        <v>11.4</v>
      </c>
      <c r="U49" s="28">
        <f>IFERROR(__xludf.DUMMYFUNCTION("IF(F49=""India"", FILTER(Weather!F:F,D49=Weather!C:C,E49=Weather!B:B),FILTER(Weather!F:F,D49=Weather!C:C,F49=Weather!A:A))"),15.8)</f>
        <v>15.8</v>
      </c>
      <c r="V49" s="15">
        <v>29.216249999999995</v>
      </c>
      <c r="W49" s="15">
        <v>82.43625</v>
      </c>
      <c r="X49" s="25">
        <v>5.422499999999999</v>
      </c>
      <c r="Y49" s="25">
        <v>40.535</v>
      </c>
      <c r="Z49" s="25">
        <v>43.995000000000005</v>
      </c>
      <c r="AA49" s="25">
        <v>29.453333333333333</v>
      </c>
      <c r="AB49" s="25">
        <v>88.70466666666665</v>
      </c>
      <c r="AC49" s="25">
        <v>5.574545454545454</v>
      </c>
      <c r="AD49" s="25">
        <v>33.232727272727274</v>
      </c>
      <c r="AE49" s="25">
        <v>35.72636363636363</v>
      </c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</row>
    <row r="50" ht="15.75" hidden="1" customHeight="1">
      <c r="A50" s="25" t="s">
        <v>47</v>
      </c>
      <c r="B50" s="25" t="s">
        <v>62</v>
      </c>
      <c r="C50" s="30">
        <v>44933.0</v>
      </c>
      <c r="D50" s="25" t="s">
        <v>87</v>
      </c>
      <c r="E50" s="25" t="s">
        <v>89</v>
      </c>
      <c r="F50" s="12" t="str">
        <f>IFERROR(__xludf.DUMMYFUNCTION("FILTER(Stadium!$A$2:$A$61,E50=Stadium!$B$2:$B$61)"),"India")</f>
        <v>India</v>
      </c>
      <c r="G50" s="30" t="str">
        <f t="shared" si="3"/>
        <v>W</v>
      </c>
      <c r="H50" s="30" t="str">
        <f t="shared" si="4"/>
        <v>L</v>
      </c>
      <c r="I50" s="24">
        <v>2.8125</v>
      </c>
      <c r="J50" s="24">
        <f>VLOOKUP(B50, 'WL Ratio Table'!$A$6:$D$9, 4, FALSE)</f>
        <v>0.21875</v>
      </c>
      <c r="K50" s="25" t="s">
        <v>72</v>
      </c>
      <c r="L50" s="25">
        <v>228.0</v>
      </c>
      <c r="M50" s="25">
        <v>137.0</v>
      </c>
      <c r="N50" s="25" t="s">
        <v>47</v>
      </c>
      <c r="O50" s="27">
        <f>(91/228)*100</f>
        <v>39.9122807</v>
      </c>
      <c r="P50" s="25">
        <v>-270.0</v>
      </c>
      <c r="Q50" s="25">
        <v>200.0</v>
      </c>
      <c r="R50" s="25">
        <f t="shared" si="1"/>
        <v>-35</v>
      </c>
      <c r="S50" s="28">
        <f>IFERROR(__xludf.DUMMYFUNCTION("IF(F50=""India"", FILTER(Weather!D:D,D50=Weather!C:C,E50=Weather!B:B), FILTER(Weather!D:D,D50=Weather!C:C,F50=Weather!A:A))"),26.8)</f>
        <v>26.8</v>
      </c>
      <c r="T50" s="28">
        <f>IFERROR(__xludf.DUMMYFUNCTION("IF(F50=""India"", FILTER(Weather!E:E,D50=Weather!C:C,E50=Weather!B:B),FILTER(Weather!E:E,D50=Weather!C:C,F50=Weather!A:A))"),15.8)</f>
        <v>15.8</v>
      </c>
      <c r="U50" s="28">
        <f>IFERROR(__xludf.DUMMYFUNCTION("IF(F50=""India"", FILTER(Weather!F:F,D50=Weather!C:C,E50=Weather!B:B),FILTER(Weather!F:F,D50=Weather!C:C,F50=Weather!A:A))"),14.5)</f>
        <v>14.5</v>
      </c>
      <c r="V50" s="15">
        <v>29.216249999999995</v>
      </c>
      <c r="W50" s="15">
        <v>82.43625</v>
      </c>
      <c r="X50" s="25">
        <v>5.422499999999999</v>
      </c>
      <c r="Y50" s="25">
        <v>40.535</v>
      </c>
      <c r="Z50" s="25">
        <v>43.995000000000005</v>
      </c>
      <c r="AA50" s="25">
        <v>24.878750000000004</v>
      </c>
      <c r="AB50" s="25">
        <v>76.75124999999998</v>
      </c>
      <c r="AC50" s="25">
        <v>5.679166666666667</v>
      </c>
      <c r="AD50" s="25">
        <v>34.49333333333333</v>
      </c>
      <c r="AE50" s="25">
        <v>38.29833333333333</v>
      </c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</row>
    <row r="51" ht="15.75" hidden="1" customHeight="1">
      <c r="A51" s="25" t="s">
        <v>47</v>
      </c>
      <c r="B51" s="25" t="s">
        <v>62</v>
      </c>
      <c r="C51" s="30">
        <v>44931.0</v>
      </c>
      <c r="D51" s="25" t="s">
        <v>87</v>
      </c>
      <c r="E51" s="25" t="s">
        <v>90</v>
      </c>
      <c r="F51" s="12" t="str">
        <f>IFERROR(__xludf.DUMMYFUNCTION("FILTER(Stadium!$A$2:$A$61,E51=Stadium!$B$2:$B$61)"),"India")</f>
        <v>India</v>
      </c>
      <c r="G51" s="30" t="str">
        <f t="shared" si="3"/>
        <v>L</v>
      </c>
      <c r="H51" s="30" t="str">
        <f t="shared" si="4"/>
        <v>W</v>
      </c>
      <c r="I51" s="24">
        <v>2.8125</v>
      </c>
      <c r="J51" s="24">
        <f>VLOOKUP(B51, 'WL Ratio Table'!$A$6:$D$9, 4, FALSE)</f>
        <v>0.21875</v>
      </c>
      <c r="K51" s="25" t="s">
        <v>72</v>
      </c>
      <c r="L51" s="25">
        <v>190.0</v>
      </c>
      <c r="M51" s="25">
        <v>206.0</v>
      </c>
      <c r="N51" s="25" t="s">
        <v>62</v>
      </c>
      <c r="O51" s="27">
        <f>(16/206)*100</f>
        <v>7.766990291</v>
      </c>
      <c r="P51" s="25">
        <v>-294.0</v>
      </c>
      <c r="Q51" s="25">
        <v>215.0</v>
      </c>
      <c r="R51" s="25">
        <f t="shared" si="1"/>
        <v>-39.5</v>
      </c>
      <c r="S51" s="28">
        <f>IFERROR(__xludf.DUMMYFUNCTION("IF(F51=""India"", FILTER(Weather!D:D,D51=Weather!C:C,E51=Weather!B:B), FILTER(Weather!D:D,D51=Weather!C:C,F51=Weather!A:A))"),11.2)</f>
        <v>11.2</v>
      </c>
      <c r="T51" s="28">
        <f>IFERROR(__xludf.DUMMYFUNCTION("IF(F51=""India"", FILTER(Weather!E:E,D51=Weather!C:C,E51=Weather!B:B),FILTER(Weather!E:E,D51=Weather!C:C,F51=Weather!A:A))"),1.7)</f>
        <v>1.7</v>
      </c>
      <c r="U51" s="28">
        <f>IFERROR(__xludf.DUMMYFUNCTION("IF(F51=""India"", FILTER(Weather!F:F,D51=Weather!C:C,E51=Weather!B:B),FILTER(Weather!F:F,D51=Weather!C:C,F51=Weather!A:A))"),34.0)</f>
        <v>34</v>
      </c>
      <c r="V51" s="15">
        <v>29.216249999999995</v>
      </c>
      <c r="W51" s="15">
        <v>82.43625</v>
      </c>
      <c r="X51" s="25">
        <v>5.422499999999999</v>
      </c>
      <c r="Y51" s="25">
        <v>40.535</v>
      </c>
      <c r="Z51" s="25">
        <v>43.995000000000005</v>
      </c>
      <c r="AA51" s="25">
        <v>24.878750000000004</v>
      </c>
      <c r="AB51" s="25">
        <v>76.75124999999998</v>
      </c>
      <c r="AC51" s="25">
        <v>5.679166666666667</v>
      </c>
      <c r="AD51" s="25">
        <v>34.49333333333333</v>
      </c>
      <c r="AE51" s="25">
        <v>38.29833333333333</v>
      </c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</row>
    <row r="52" ht="15.75" hidden="1" customHeight="1">
      <c r="A52" s="25" t="s">
        <v>47</v>
      </c>
      <c r="B52" s="25" t="s">
        <v>62</v>
      </c>
      <c r="C52" s="30">
        <v>44929.0</v>
      </c>
      <c r="D52" s="25" t="s">
        <v>87</v>
      </c>
      <c r="E52" s="25" t="s">
        <v>91</v>
      </c>
      <c r="F52" s="12" t="str">
        <f>IFERROR(__xludf.DUMMYFUNCTION("FILTER(Stadium!$A$2:$A$61,E52=Stadium!$B$2:$B$61)"),"India")</f>
        <v>India</v>
      </c>
      <c r="G52" s="30" t="str">
        <f t="shared" si="3"/>
        <v>W</v>
      </c>
      <c r="H52" s="30" t="str">
        <f t="shared" si="4"/>
        <v>L</v>
      </c>
      <c r="I52" s="24">
        <v>2.8125</v>
      </c>
      <c r="J52" s="24">
        <f>VLOOKUP(B52, 'WL Ratio Table'!$A$6:$D$9, 4, FALSE)</f>
        <v>0.21875</v>
      </c>
      <c r="K52" s="25" t="s">
        <v>72</v>
      </c>
      <c r="L52" s="25">
        <v>162.0</v>
      </c>
      <c r="M52" s="25">
        <v>160.0</v>
      </c>
      <c r="N52" s="25" t="s">
        <v>47</v>
      </c>
      <c r="O52" s="27">
        <f>(2/162)*100</f>
        <v>1.234567901</v>
      </c>
      <c r="P52" s="25">
        <v>-286.0</v>
      </c>
      <c r="Q52" s="25">
        <v>211.0</v>
      </c>
      <c r="R52" s="25">
        <f t="shared" si="1"/>
        <v>-37.5</v>
      </c>
      <c r="S52" s="28">
        <f>IFERROR(__xludf.DUMMYFUNCTION("IF(F52=""India"", FILTER(Weather!D:D,D52=Weather!C:C,E52=Weather!B:B), FILTER(Weather!D:D,D52=Weather!C:C,F52=Weather!A:A))"),29.7)</f>
        <v>29.7</v>
      </c>
      <c r="T52" s="28">
        <f>IFERROR(__xludf.DUMMYFUNCTION("IF(F52=""India"", FILTER(Weather!E:E,D52=Weather!C:C,E52=Weather!B:B),FILTER(Weather!E:E,D52=Weather!C:C,F52=Weather!A:A))"),22.3)</f>
        <v>22.3</v>
      </c>
      <c r="U52" s="28">
        <f>IFERROR(__xludf.DUMMYFUNCTION("IF(F52=""India"", FILTER(Weather!F:F,D52=Weather!C:C,E52=Weather!B:B),FILTER(Weather!F:F,D52=Weather!C:C,F52=Weather!A:A))"),44.1)</f>
        <v>44.1</v>
      </c>
      <c r="V52" s="15">
        <v>29.216249999999995</v>
      </c>
      <c r="W52" s="15">
        <v>82.43625</v>
      </c>
      <c r="X52" s="25">
        <v>5.422499999999999</v>
      </c>
      <c r="Y52" s="25">
        <v>40.535</v>
      </c>
      <c r="Z52" s="25">
        <v>43.995000000000005</v>
      </c>
      <c r="AA52" s="25">
        <v>24.878750000000004</v>
      </c>
      <c r="AB52" s="25">
        <v>76.75124999999998</v>
      </c>
      <c r="AC52" s="25">
        <v>5.679166666666667</v>
      </c>
      <c r="AD52" s="25">
        <v>34.49333333333333</v>
      </c>
      <c r="AE52" s="25">
        <v>38.29833333333333</v>
      </c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</row>
    <row r="53" ht="15.75" hidden="1" customHeight="1">
      <c r="A53" s="25" t="s">
        <v>58</v>
      </c>
      <c r="B53" s="25" t="s">
        <v>59</v>
      </c>
      <c r="C53" s="30">
        <v>44878.0</v>
      </c>
      <c r="D53" s="25" t="s">
        <v>49</v>
      </c>
      <c r="E53" s="25" t="s">
        <v>92</v>
      </c>
      <c r="F53" s="12" t="str">
        <f>IFERROR(__xludf.DUMMYFUNCTION("FILTER(Stadium!$A$2:$A$61,E53=Stadium!$B$2:$B$61)"),"Australia")</f>
        <v>Australia</v>
      </c>
      <c r="G53" s="30" t="str">
        <f t="shared" si="3"/>
        <v>W</v>
      </c>
      <c r="H53" s="30" t="str">
        <f t="shared" si="4"/>
        <v>L</v>
      </c>
      <c r="I53" s="24">
        <f>9/14</f>
        <v>0.6428571429</v>
      </c>
      <c r="J53" s="24">
        <f>5/14</f>
        <v>0.3571428571</v>
      </c>
      <c r="K53" s="25" t="s">
        <v>72</v>
      </c>
      <c r="L53" s="25">
        <v>138.0</v>
      </c>
      <c r="M53" s="25">
        <v>137.0</v>
      </c>
      <c r="N53" s="25" t="s">
        <v>58</v>
      </c>
      <c r="O53" s="27">
        <v>50.0</v>
      </c>
      <c r="P53" s="25">
        <v>-196.0</v>
      </c>
      <c r="Q53" s="25">
        <v>154.0</v>
      </c>
      <c r="R53" s="25">
        <f t="shared" si="1"/>
        <v>-21</v>
      </c>
      <c r="S53" s="28">
        <f>IFERROR(__xludf.DUMMYFUNCTION("IF(F53=""India"", FILTER(Weather!D:D,D53=Weather!C:C,E53=Weather!B:B), FILTER(Weather!D:D,D53=Weather!C:C,F53=Weather!A:A))"),26.2)</f>
        <v>26.2</v>
      </c>
      <c r="T53" s="28">
        <f>IFERROR(__xludf.DUMMYFUNCTION("IF(F53=""India"", FILTER(Weather!E:E,D53=Weather!C:C,E53=Weather!B:B),FILTER(Weather!E:E,D53=Weather!C:C,F53=Weather!A:A))"),17.0)</f>
        <v>17</v>
      </c>
      <c r="U53" s="28">
        <f>IFERROR(__xludf.DUMMYFUNCTION("IF(F53=""India"", FILTER(Weather!F:F,D53=Weather!C:C,E53=Weather!B:B),FILTER(Weather!F:F,D53=Weather!C:C,F53=Weather!A:A))"),114.7)</f>
        <v>114.7</v>
      </c>
      <c r="V53" s="25">
        <v>30.137999999999998</v>
      </c>
      <c r="W53" s="25">
        <v>100.968</v>
      </c>
      <c r="X53" s="25">
        <v>5.778333333333333</v>
      </c>
      <c r="Y53" s="25">
        <v>37.89333333333334</v>
      </c>
      <c r="Z53" s="25">
        <v>39.69166666666667</v>
      </c>
      <c r="AA53" s="25">
        <v>28.993333333333332</v>
      </c>
      <c r="AB53" s="25">
        <v>91.364</v>
      </c>
      <c r="AC53" s="25">
        <v>5.425454545454545</v>
      </c>
      <c r="AD53" s="25">
        <v>46.032727272727264</v>
      </c>
      <c r="AE53" s="25">
        <v>51.62</v>
      </c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</row>
    <row r="54" ht="15.75" hidden="1" customHeight="1">
      <c r="A54" s="25" t="s">
        <v>47</v>
      </c>
      <c r="B54" s="25" t="s">
        <v>58</v>
      </c>
      <c r="C54" s="30">
        <v>44875.0</v>
      </c>
      <c r="D54" s="25" t="s">
        <v>49</v>
      </c>
      <c r="E54" s="25" t="s">
        <v>93</v>
      </c>
      <c r="F54" s="12" t="str">
        <f>IFERROR(__xludf.DUMMYFUNCTION("FILTER(Stadium!$A$2:$A$61,E54=Stadium!$B$2:$B$61)"),"Australia")</f>
        <v>Australia</v>
      </c>
      <c r="G54" s="30" t="str">
        <f t="shared" si="3"/>
        <v>L</v>
      </c>
      <c r="H54" s="30" t="str">
        <f t="shared" si="4"/>
        <v>W</v>
      </c>
      <c r="I54" s="24">
        <v>2.8125</v>
      </c>
      <c r="J54" s="24">
        <f>VLOOKUP(B54, 'WL Ratio Table'!$A$6:$D$9, 4, FALSE)</f>
        <v>1.384615385</v>
      </c>
      <c r="K54" s="25" t="s">
        <v>72</v>
      </c>
      <c r="L54" s="25">
        <v>168.0</v>
      </c>
      <c r="M54" s="25">
        <v>170.0</v>
      </c>
      <c r="N54" s="25" t="s">
        <v>58</v>
      </c>
      <c r="O54" s="27">
        <v>10.0</v>
      </c>
      <c r="P54" s="25">
        <v>-128.0</v>
      </c>
      <c r="Q54" s="25">
        <v>102.0</v>
      </c>
      <c r="R54" s="25">
        <f t="shared" si="1"/>
        <v>-13</v>
      </c>
      <c r="S54" s="28">
        <f>IFERROR(__xludf.DUMMYFUNCTION("IF(F54=""India"", FILTER(Weather!D:D,D54=Weather!C:C,E54=Weather!B:B), FILTER(Weather!D:D,D54=Weather!C:C,F54=Weather!A:A))"),26.2)</f>
        <v>26.2</v>
      </c>
      <c r="T54" s="28">
        <f>IFERROR(__xludf.DUMMYFUNCTION("IF(F54=""India"", FILTER(Weather!E:E,D54=Weather!C:C,E54=Weather!B:B),FILTER(Weather!E:E,D54=Weather!C:C,F54=Weather!A:A))"),17.0)</f>
        <v>17</v>
      </c>
      <c r="U54" s="28">
        <f>IFERROR(__xludf.DUMMYFUNCTION("IF(F54=""India"", FILTER(Weather!F:F,D54=Weather!C:C,E54=Weather!B:B),FILTER(Weather!F:F,D54=Weather!C:C,F54=Weather!A:A))"),114.7)</f>
        <v>114.7</v>
      </c>
      <c r="V54" s="15">
        <v>29.216249999999995</v>
      </c>
      <c r="W54" s="15">
        <v>82.43625</v>
      </c>
      <c r="X54" s="25">
        <v>5.422499999999999</v>
      </c>
      <c r="Y54" s="25">
        <v>40.535</v>
      </c>
      <c r="Z54" s="25">
        <v>43.995000000000005</v>
      </c>
      <c r="AA54" s="25">
        <v>30.137999999999998</v>
      </c>
      <c r="AB54" s="25">
        <v>100.968</v>
      </c>
      <c r="AC54" s="25">
        <v>5.778333333333333</v>
      </c>
      <c r="AD54" s="25">
        <v>37.89333333333334</v>
      </c>
      <c r="AE54" s="25">
        <v>39.69166666666667</v>
      </c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</row>
    <row r="55" ht="15.75" hidden="1" customHeight="1">
      <c r="A55" s="25" t="s">
        <v>56</v>
      </c>
      <c r="B55" s="25" t="s">
        <v>59</v>
      </c>
      <c r="C55" s="30">
        <v>44874.0</v>
      </c>
      <c r="D55" s="25" t="s">
        <v>49</v>
      </c>
      <c r="E55" s="25" t="s">
        <v>94</v>
      </c>
      <c r="F55" s="12" t="str">
        <f>IFERROR(__xludf.DUMMYFUNCTION("FILTER(Stadium!$A$2:$A$61,E55=Stadium!$B$2:$B$61)"),"Australia")</f>
        <v>Australia</v>
      </c>
      <c r="G55" s="30" t="str">
        <f t="shared" si="3"/>
        <v>L</v>
      </c>
      <c r="H55" s="30" t="str">
        <f t="shared" si="4"/>
        <v>W</v>
      </c>
      <c r="I55" s="24">
        <v>0.75</v>
      </c>
      <c r="J55" s="24">
        <f>VLOOKUP(B55, 'WL Ratio Table'!$A$6:$D$9, 4, FALSE)</f>
        <v>1</v>
      </c>
      <c r="K55" s="25" t="s">
        <v>72</v>
      </c>
      <c r="L55" s="25">
        <v>152.0</v>
      </c>
      <c r="M55" s="25">
        <v>152.0</v>
      </c>
      <c r="N55" s="25" t="s">
        <v>59</v>
      </c>
      <c r="O55" s="27">
        <v>70.0</v>
      </c>
      <c r="P55" s="25">
        <v>-132.0</v>
      </c>
      <c r="Q55" s="25">
        <v>104.0</v>
      </c>
      <c r="R55" s="25">
        <f t="shared" si="1"/>
        <v>-14</v>
      </c>
      <c r="S55" s="28">
        <f>IFERROR(__xludf.DUMMYFUNCTION("IF(F55=""India"", FILTER(Weather!D:D,D55=Weather!C:C,E55=Weather!B:B), FILTER(Weather!D:D,D55=Weather!C:C,F55=Weather!A:A))"),26.2)</f>
        <v>26.2</v>
      </c>
      <c r="T55" s="28">
        <f>IFERROR(__xludf.DUMMYFUNCTION("IF(F55=""India"", FILTER(Weather!E:E,D55=Weather!C:C,E55=Weather!B:B),FILTER(Weather!E:E,D55=Weather!C:C,F55=Weather!A:A))"),17.0)</f>
        <v>17</v>
      </c>
      <c r="U55" s="28">
        <f>IFERROR(__xludf.DUMMYFUNCTION("IF(F55=""India"", FILTER(Weather!F:F,D55=Weather!C:C,E55=Weather!B:B),FILTER(Weather!F:F,D55=Weather!C:C,F55=Weather!A:A))"),114.7)</f>
        <v>114.7</v>
      </c>
      <c r="V55" s="25">
        <v>29.453333333333333</v>
      </c>
      <c r="W55" s="25">
        <v>88.70466666666665</v>
      </c>
      <c r="X55" s="25">
        <v>5.574545454545454</v>
      </c>
      <c r="Y55" s="25">
        <v>33.232727272727274</v>
      </c>
      <c r="Z55" s="25">
        <v>35.72636363636363</v>
      </c>
      <c r="AA55" s="25">
        <v>28.993333333333332</v>
      </c>
      <c r="AB55" s="25">
        <v>91.364</v>
      </c>
      <c r="AC55" s="25">
        <v>5.425454545454545</v>
      </c>
      <c r="AD55" s="25">
        <v>46.032727272727264</v>
      </c>
      <c r="AE55" s="25">
        <v>51.62</v>
      </c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</row>
    <row r="56" ht="15.75" hidden="1" customHeight="1">
      <c r="A56" s="25" t="s">
        <v>59</v>
      </c>
      <c r="B56" s="25" t="s">
        <v>61</v>
      </c>
      <c r="C56" s="30">
        <v>44870.0</v>
      </c>
      <c r="D56" s="25" t="s">
        <v>49</v>
      </c>
      <c r="E56" s="25" t="s">
        <v>93</v>
      </c>
      <c r="F56" s="12" t="str">
        <f>IFERROR(__xludf.DUMMYFUNCTION("FILTER(Stadium!$A$2:$A$61,E56=Stadium!$B$2:$B$61)"),"Australia")</f>
        <v>Australia</v>
      </c>
      <c r="G56" s="30" t="str">
        <f t="shared" si="3"/>
        <v>W</v>
      </c>
      <c r="H56" s="30" t="str">
        <f t="shared" si="4"/>
        <v>L</v>
      </c>
      <c r="I56" s="24">
        <f>VLOOKUP(A56, 'WL Ratio Table'!$A$6:$D$8, 4, FALSE)</f>
        <v>1</v>
      </c>
      <c r="J56" s="24">
        <f>VLOOKUP(B56, 'WL Ratio Table'!$A$6:$D$9, 4, FALSE)</f>
        <v>0.5416666667</v>
      </c>
      <c r="K56" s="25" t="s">
        <v>72</v>
      </c>
      <c r="L56" s="25">
        <v>128.0</v>
      </c>
      <c r="M56" s="25">
        <v>127.0</v>
      </c>
      <c r="N56" s="25" t="s">
        <v>59</v>
      </c>
      <c r="O56" s="27">
        <v>50.0</v>
      </c>
      <c r="P56" s="25">
        <v>-400.0</v>
      </c>
      <c r="Q56" s="25">
        <v>291.0</v>
      </c>
      <c r="R56" s="25">
        <f t="shared" si="1"/>
        <v>-54.5</v>
      </c>
      <c r="S56" s="28">
        <f>IFERROR(__xludf.DUMMYFUNCTION("IF(F56=""India"", FILTER(Weather!D:D,D56=Weather!C:C,E56=Weather!B:B), FILTER(Weather!D:D,D56=Weather!C:C,F56=Weather!A:A))"),26.2)</f>
        <v>26.2</v>
      </c>
      <c r="T56" s="28">
        <f>IFERROR(__xludf.DUMMYFUNCTION("IF(F56=""India"", FILTER(Weather!E:E,D56=Weather!C:C,E56=Weather!B:B),FILTER(Weather!E:E,D56=Weather!C:C,F56=Weather!A:A))"),17.0)</f>
        <v>17</v>
      </c>
      <c r="U56" s="28">
        <f>IFERROR(__xludf.DUMMYFUNCTION("IF(F56=""India"", FILTER(Weather!F:F,D56=Weather!C:C,E56=Weather!B:B),FILTER(Weather!F:F,D56=Weather!C:C,F56=Weather!A:A))"),114.7)</f>
        <v>114.7</v>
      </c>
      <c r="V56" s="25">
        <v>28.993333333333332</v>
      </c>
      <c r="W56" s="25">
        <v>91.364</v>
      </c>
      <c r="X56" s="25">
        <v>5.425454545454545</v>
      </c>
      <c r="Y56" s="25">
        <v>46.032727272727264</v>
      </c>
      <c r="Z56" s="25">
        <v>51.62</v>
      </c>
      <c r="AA56" s="25">
        <v>21.11625</v>
      </c>
      <c r="AB56" s="25">
        <v>78.83125</v>
      </c>
      <c r="AC56" s="25">
        <v>5.192727272727272</v>
      </c>
      <c r="AD56" s="25">
        <v>33.17</v>
      </c>
      <c r="AE56" s="25">
        <v>38.899090909090894</v>
      </c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</row>
    <row r="57" ht="15.75" hidden="1" customHeight="1">
      <c r="A57" s="25" t="s">
        <v>58</v>
      </c>
      <c r="B57" s="25" t="s">
        <v>62</v>
      </c>
      <c r="C57" s="30">
        <v>44870.0</v>
      </c>
      <c r="D57" s="25" t="s">
        <v>49</v>
      </c>
      <c r="E57" s="25" t="s">
        <v>94</v>
      </c>
      <c r="F57" s="12" t="str">
        <f>IFERROR(__xludf.DUMMYFUNCTION("FILTER(Stadium!$A$2:$A$61,E57=Stadium!$B$2:$B$61)"),"Australia")</f>
        <v>Australia</v>
      </c>
      <c r="G57" s="30" t="str">
        <f t="shared" si="3"/>
        <v>W</v>
      </c>
      <c r="H57" s="30" t="str">
        <f t="shared" si="4"/>
        <v>L</v>
      </c>
      <c r="I57" s="24">
        <f>VLOOKUP(A57, 'WL Ratio Table'!$A$6:$D$8, 4, FALSE)</f>
        <v>1.384615385</v>
      </c>
      <c r="J57" s="24">
        <f>VLOOKUP(B57, 'WL Ratio Table'!$A$6:$D$9, 4, FALSE)</f>
        <v>0.21875</v>
      </c>
      <c r="K57" s="25" t="s">
        <v>72</v>
      </c>
      <c r="L57" s="25">
        <v>144.0</v>
      </c>
      <c r="M57" s="25">
        <v>141.0</v>
      </c>
      <c r="N57" s="25" t="s">
        <v>58</v>
      </c>
      <c r="O57" s="27">
        <v>40.0</v>
      </c>
      <c r="P57" s="25">
        <v>-400.0</v>
      </c>
      <c r="Q57" s="25">
        <v>290.0</v>
      </c>
      <c r="R57" s="25">
        <f t="shared" si="1"/>
        <v>-55</v>
      </c>
      <c r="S57" s="28">
        <f>IFERROR(__xludf.DUMMYFUNCTION("IF(F57=""India"", FILTER(Weather!D:D,D57=Weather!C:C,E57=Weather!B:B), FILTER(Weather!D:D,D57=Weather!C:C,F57=Weather!A:A))"),26.2)</f>
        <v>26.2</v>
      </c>
      <c r="T57" s="28">
        <f>IFERROR(__xludf.DUMMYFUNCTION("IF(F57=""India"", FILTER(Weather!E:E,D57=Weather!C:C,E57=Weather!B:B),FILTER(Weather!E:E,D57=Weather!C:C,F57=Weather!A:A))"),17.0)</f>
        <v>17</v>
      </c>
      <c r="U57" s="28">
        <f>IFERROR(__xludf.DUMMYFUNCTION("IF(F57=""India"", FILTER(Weather!F:F,D57=Weather!C:C,E57=Weather!B:B),FILTER(Weather!F:F,D57=Weather!C:C,F57=Weather!A:A))"),114.7)</f>
        <v>114.7</v>
      </c>
      <c r="V57" s="25">
        <v>30.137999999999998</v>
      </c>
      <c r="W57" s="25">
        <v>100.968</v>
      </c>
      <c r="X57" s="25">
        <v>5.778333333333333</v>
      </c>
      <c r="Y57" s="25">
        <v>37.89333333333334</v>
      </c>
      <c r="Z57" s="25">
        <v>39.69166666666667</v>
      </c>
      <c r="AA57" s="25">
        <v>24.878750000000004</v>
      </c>
      <c r="AB57" s="25">
        <v>76.75124999999998</v>
      </c>
      <c r="AC57" s="25">
        <v>5.679166666666667</v>
      </c>
      <c r="AD57" s="25">
        <v>34.49333333333333</v>
      </c>
      <c r="AE57" s="25">
        <v>38.29833333333333</v>
      </c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</row>
    <row r="58" ht="15.75" hidden="1" customHeight="1">
      <c r="A58" s="25" t="s">
        <v>59</v>
      </c>
      <c r="B58" s="25" t="s">
        <v>54</v>
      </c>
      <c r="C58" s="30">
        <v>44868.0</v>
      </c>
      <c r="D58" s="25" t="s">
        <v>49</v>
      </c>
      <c r="E58" s="25" t="s">
        <v>94</v>
      </c>
      <c r="F58" s="12" t="str">
        <f>IFERROR(__xludf.DUMMYFUNCTION("FILTER(Stadium!$A$2:$A$61,E58=Stadium!$B$2:$B$61)"),"Australia")</f>
        <v>Australia</v>
      </c>
      <c r="G58" s="30" t="str">
        <f t="shared" si="3"/>
        <v>W</v>
      </c>
      <c r="H58" s="30" t="str">
        <f t="shared" si="4"/>
        <v>L</v>
      </c>
      <c r="I58" s="24">
        <f>VLOOKUP(A58, 'WL Ratio Table'!$A$6:$D$8, 4, FALSE)</f>
        <v>1</v>
      </c>
      <c r="J58" s="24">
        <v>1.0909090909090908</v>
      </c>
      <c r="K58" s="25" t="s">
        <v>72</v>
      </c>
      <c r="L58" s="25">
        <v>185.0</v>
      </c>
      <c r="M58" s="25">
        <v>108.0</v>
      </c>
      <c r="N58" s="25" t="s">
        <v>59</v>
      </c>
      <c r="O58" s="27">
        <f>(33/185)*100</f>
        <v>17.83783784</v>
      </c>
      <c r="P58" s="25">
        <v>127.0</v>
      </c>
      <c r="Q58" s="25">
        <v>-161.0</v>
      </c>
      <c r="R58" s="25">
        <f t="shared" si="1"/>
        <v>-17</v>
      </c>
      <c r="S58" s="28">
        <f>IFERROR(__xludf.DUMMYFUNCTION("IF(F58=""India"", FILTER(Weather!D:D,D58=Weather!C:C,E58=Weather!B:B), FILTER(Weather!D:D,D58=Weather!C:C,F58=Weather!A:A))"),26.2)</f>
        <v>26.2</v>
      </c>
      <c r="T58" s="28">
        <f>IFERROR(__xludf.DUMMYFUNCTION("IF(F58=""India"", FILTER(Weather!E:E,D58=Weather!C:C,E58=Weather!B:B),FILTER(Weather!E:E,D58=Weather!C:C,F58=Weather!A:A))"),17.0)</f>
        <v>17</v>
      </c>
      <c r="U58" s="28">
        <f>IFERROR(__xludf.DUMMYFUNCTION("IF(F58=""India"", FILTER(Weather!F:F,D58=Weather!C:C,E58=Weather!B:B),FILTER(Weather!F:F,D58=Weather!C:C,F58=Weather!A:A))"),114.7)</f>
        <v>114.7</v>
      </c>
      <c r="V58" s="25">
        <v>28.993333333333332</v>
      </c>
      <c r="W58" s="25">
        <v>91.364</v>
      </c>
      <c r="X58" s="25">
        <v>5.425454545454545</v>
      </c>
      <c r="Y58" s="25">
        <v>46.032727272727264</v>
      </c>
      <c r="Z58" s="25">
        <v>51.62</v>
      </c>
      <c r="AA58" s="25">
        <v>29.26</v>
      </c>
      <c r="AB58" s="25">
        <v>86.99071428571429</v>
      </c>
      <c r="AC58" s="25">
        <v>5.596923076923077</v>
      </c>
      <c r="AD58" s="25">
        <v>26.36384615384615</v>
      </c>
      <c r="AE58" s="25">
        <v>26.93846153846153</v>
      </c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</row>
    <row r="59" ht="15.75" hidden="1" customHeight="1">
      <c r="A59" s="25" t="s">
        <v>47</v>
      </c>
      <c r="B59" s="25" t="s">
        <v>61</v>
      </c>
      <c r="C59" s="30">
        <v>44867.0</v>
      </c>
      <c r="D59" s="25" t="s">
        <v>49</v>
      </c>
      <c r="E59" s="25" t="s">
        <v>93</v>
      </c>
      <c r="F59" s="12" t="str">
        <f>IFERROR(__xludf.DUMMYFUNCTION("FILTER(Stadium!$A$2:$A$61,E59=Stadium!$B$2:$B$61)"),"Australia")</f>
        <v>Australia</v>
      </c>
      <c r="G59" s="30" t="str">
        <f t="shared" si="3"/>
        <v>W</v>
      </c>
      <c r="H59" s="30" t="str">
        <f t="shared" si="4"/>
        <v>L</v>
      </c>
      <c r="I59" s="24">
        <v>2.8125</v>
      </c>
      <c r="J59" s="24">
        <f>VLOOKUP(B59, 'WL Ratio Table'!$A$6:$D$9, 4, FALSE)</f>
        <v>0.5416666667</v>
      </c>
      <c r="K59" s="25" t="s">
        <v>72</v>
      </c>
      <c r="L59" s="25">
        <v>184.0</v>
      </c>
      <c r="M59" s="25">
        <v>145.0</v>
      </c>
      <c r="N59" s="25" t="s">
        <v>47</v>
      </c>
      <c r="O59" s="27">
        <f>(39/184)*100</f>
        <v>21.19565217</v>
      </c>
      <c r="P59" s="25">
        <v>-833.0</v>
      </c>
      <c r="Q59" s="25">
        <v>537.0</v>
      </c>
      <c r="R59" s="25">
        <f t="shared" si="1"/>
        <v>-148</v>
      </c>
      <c r="S59" s="28">
        <f>IFERROR(__xludf.DUMMYFUNCTION("IF(F59=""India"", FILTER(Weather!D:D,D59=Weather!C:C,E59=Weather!B:B), FILTER(Weather!D:D,D59=Weather!C:C,F59=Weather!A:A))"),26.2)</f>
        <v>26.2</v>
      </c>
      <c r="T59" s="28">
        <f>IFERROR(__xludf.DUMMYFUNCTION("IF(F59=""India"", FILTER(Weather!E:E,D59=Weather!C:C,E59=Weather!B:B),FILTER(Weather!E:E,D59=Weather!C:C,F59=Weather!A:A))"),17.0)</f>
        <v>17</v>
      </c>
      <c r="U59" s="28">
        <f>IFERROR(__xludf.DUMMYFUNCTION("IF(F59=""India"", FILTER(Weather!F:F,D59=Weather!C:C,E59=Weather!B:B),FILTER(Weather!F:F,D59=Weather!C:C,F59=Weather!A:A))"),114.7)</f>
        <v>114.7</v>
      </c>
      <c r="V59" s="15">
        <v>29.216249999999995</v>
      </c>
      <c r="W59" s="15">
        <v>82.43625</v>
      </c>
      <c r="X59" s="25">
        <v>5.422499999999999</v>
      </c>
      <c r="Y59" s="25">
        <v>40.535</v>
      </c>
      <c r="Z59" s="25">
        <v>43.995000000000005</v>
      </c>
      <c r="AA59" s="25">
        <v>21.11625</v>
      </c>
      <c r="AB59" s="25">
        <v>78.83125</v>
      </c>
      <c r="AC59" s="25">
        <v>5.192727272727272</v>
      </c>
      <c r="AD59" s="25">
        <v>33.17</v>
      </c>
      <c r="AE59" s="25">
        <v>38.899090909090894</v>
      </c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</row>
    <row r="60" ht="15.75" hidden="1" customHeight="1">
      <c r="A60" s="25" t="s">
        <v>58</v>
      </c>
      <c r="B60" s="25" t="s">
        <v>56</v>
      </c>
      <c r="C60" s="30">
        <v>44866.0</v>
      </c>
      <c r="D60" s="25" t="s">
        <v>49</v>
      </c>
      <c r="E60" s="25" t="s">
        <v>95</v>
      </c>
      <c r="F60" s="12" t="str">
        <f>IFERROR(__xludf.DUMMYFUNCTION("FILTER(Stadium!$A$2:$A$61,E60=Stadium!$B$2:$B$61)"),"Australia")</f>
        <v>Australia</v>
      </c>
      <c r="G60" s="30" t="str">
        <f t="shared" si="3"/>
        <v>W</v>
      </c>
      <c r="H60" s="30" t="str">
        <f t="shared" si="4"/>
        <v>L</v>
      </c>
      <c r="I60" s="24">
        <f>VLOOKUP(A60, 'WL Ratio Table'!$A$6:$D$8, 4, FALSE)</f>
        <v>1.384615385</v>
      </c>
      <c r="J60" s="24">
        <v>0.75</v>
      </c>
      <c r="K60" s="25" t="s">
        <v>72</v>
      </c>
      <c r="L60" s="25">
        <v>179.0</v>
      </c>
      <c r="M60" s="25">
        <v>159.0</v>
      </c>
      <c r="N60" s="25" t="s">
        <v>58</v>
      </c>
      <c r="O60" s="27">
        <f>(20/179)*100</f>
        <v>11.17318436</v>
      </c>
      <c r="P60" s="25">
        <v>-149.0</v>
      </c>
      <c r="Q60" s="25">
        <v>118.0</v>
      </c>
      <c r="R60" s="25">
        <f t="shared" si="1"/>
        <v>-15.5</v>
      </c>
      <c r="S60" s="28">
        <f>IFERROR(__xludf.DUMMYFUNCTION("IF(F60=""India"", FILTER(Weather!D:D,D60=Weather!C:C,E60=Weather!B:B), FILTER(Weather!D:D,D60=Weather!C:C,F60=Weather!A:A))"),26.2)</f>
        <v>26.2</v>
      </c>
      <c r="T60" s="28">
        <f>IFERROR(__xludf.DUMMYFUNCTION("IF(F60=""India"", FILTER(Weather!E:E,D60=Weather!C:C,E60=Weather!B:B),FILTER(Weather!E:E,D60=Weather!C:C,F60=Weather!A:A))"),17.0)</f>
        <v>17</v>
      </c>
      <c r="U60" s="28">
        <f>IFERROR(__xludf.DUMMYFUNCTION("IF(F60=""India"", FILTER(Weather!F:F,D60=Weather!C:C,E60=Weather!B:B),FILTER(Weather!F:F,D60=Weather!C:C,F60=Weather!A:A))"),114.7)</f>
        <v>114.7</v>
      </c>
      <c r="V60" s="25">
        <v>30.137999999999998</v>
      </c>
      <c r="W60" s="25">
        <v>100.968</v>
      </c>
      <c r="X60" s="25">
        <v>5.778333333333333</v>
      </c>
      <c r="Y60" s="25">
        <v>37.89333333333334</v>
      </c>
      <c r="Z60" s="25">
        <v>39.69166666666667</v>
      </c>
      <c r="AA60" s="25">
        <v>29.453333333333333</v>
      </c>
      <c r="AB60" s="25">
        <v>88.70466666666665</v>
      </c>
      <c r="AC60" s="25">
        <v>5.574545454545454</v>
      </c>
      <c r="AD60" s="25">
        <v>33.232727272727274</v>
      </c>
      <c r="AE60" s="25">
        <v>35.72636363636363</v>
      </c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</row>
    <row r="61" ht="15.75" hidden="1" customHeight="1">
      <c r="A61" s="25" t="s">
        <v>47</v>
      </c>
      <c r="B61" s="25" t="s">
        <v>54</v>
      </c>
      <c r="C61" s="30">
        <v>44864.0</v>
      </c>
      <c r="D61" s="25" t="s">
        <v>64</v>
      </c>
      <c r="E61" s="25" t="s">
        <v>96</v>
      </c>
      <c r="F61" s="12" t="str">
        <f>IFERROR(__xludf.DUMMYFUNCTION("FILTER(Stadium!$A$2:$A$61,E61=Stadium!$B$2:$B$61)"),"Australia")</f>
        <v>Australia</v>
      </c>
      <c r="G61" s="30" t="str">
        <f t="shared" si="3"/>
        <v>L</v>
      </c>
      <c r="H61" s="30" t="str">
        <f t="shared" si="4"/>
        <v>W</v>
      </c>
      <c r="I61" s="24">
        <v>2.8125</v>
      </c>
      <c r="J61" s="24">
        <v>1.0909090909090908</v>
      </c>
      <c r="K61" s="25" t="s">
        <v>72</v>
      </c>
      <c r="L61" s="25">
        <v>133.0</v>
      </c>
      <c r="M61" s="25">
        <v>137.0</v>
      </c>
      <c r="N61" s="25" t="s">
        <v>54</v>
      </c>
      <c r="O61" s="27">
        <v>50.0</v>
      </c>
      <c r="P61" s="25">
        <v>-147.0</v>
      </c>
      <c r="Q61" s="25">
        <v>112.0</v>
      </c>
      <c r="R61" s="25">
        <f t="shared" si="1"/>
        <v>-17.5</v>
      </c>
      <c r="S61" s="28">
        <f>IFERROR(__xludf.DUMMYFUNCTION("IF(F61=""India"", FILTER(Weather!D:D,D61=Weather!C:C,E61=Weather!B:B), FILTER(Weather!D:D,D61=Weather!C:C,F61=Weather!A:A))"),23.8)</f>
        <v>23.8</v>
      </c>
      <c r="T61" s="28">
        <f>IFERROR(__xludf.DUMMYFUNCTION("IF(F61=""India"", FILTER(Weather!E:E,D61=Weather!C:C,E61=Weather!B:B),FILTER(Weather!E:E,D61=Weather!C:C,F61=Weather!A:A))"),14.9)</f>
        <v>14.9</v>
      </c>
      <c r="U61" s="28">
        <f>IFERROR(__xludf.DUMMYFUNCTION("IF(F61=""India"", FILTER(Weather!F:F,D61=Weather!C:C,E61=Weather!B:B),FILTER(Weather!F:F,D61=Weather!C:C,F61=Weather!A:A))"),98.4)</f>
        <v>98.4</v>
      </c>
      <c r="V61" s="15">
        <v>29.216249999999995</v>
      </c>
      <c r="W61" s="15">
        <v>82.43625</v>
      </c>
      <c r="X61" s="25">
        <v>5.422499999999999</v>
      </c>
      <c r="Y61" s="25">
        <v>40.535</v>
      </c>
      <c r="Z61" s="25">
        <v>43.995000000000005</v>
      </c>
      <c r="AA61" s="25">
        <v>29.26</v>
      </c>
      <c r="AB61" s="25">
        <v>86.99071428571429</v>
      </c>
      <c r="AC61" s="25">
        <v>5.596923076923077</v>
      </c>
      <c r="AD61" s="25">
        <v>26.36384615384615</v>
      </c>
      <c r="AE61" s="25">
        <v>26.93846153846153</v>
      </c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</row>
    <row r="62" ht="15.75" hidden="1" customHeight="1">
      <c r="A62" s="25" t="s">
        <v>56</v>
      </c>
      <c r="B62" s="25" t="s">
        <v>62</v>
      </c>
      <c r="C62" s="30">
        <v>44863.0</v>
      </c>
      <c r="D62" s="25" t="s">
        <v>64</v>
      </c>
      <c r="E62" s="25" t="s">
        <v>94</v>
      </c>
      <c r="F62" s="12" t="str">
        <f>IFERROR(__xludf.DUMMYFUNCTION("FILTER(Stadium!$A$2:$A$61,E62=Stadium!$B$2:$B$61)"),"Australia")</f>
        <v>Australia</v>
      </c>
      <c r="G62" s="30" t="str">
        <f t="shared" si="3"/>
        <v>W</v>
      </c>
      <c r="H62" s="30" t="str">
        <f t="shared" si="4"/>
        <v>L</v>
      </c>
      <c r="I62" s="24">
        <f>4/5</f>
        <v>0.8</v>
      </c>
      <c r="J62" s="24">
        <f>1/5</f>
        <v>0.2</v>
      </c>
      <c r="K62" s="25" t="s">
        <v>72</v>
      </c>
      <c r="L62" s="25">
        <v>167.0</v>
      </c>
      <c r="M62" s="25">
        <v>102.0</v>
      </c>
      <c r="N62" s="25" t="s">
        <v>56</v>
      </c>
      <c r="O62" s="27">
        <f>(65/167)*100</f>
        <v>38.92215569</v>
      </c>
      <c r="P62" s="25">
        <v>-256.0</v>
      </c>
      <c r="Q62" s="25">
        <v>200.0</v>
      </c>
      <c r="R62" s="25">
        <f t="shared" si="1"/>
        <v>-28</v>
      </c>
      <c r="S62" s="28">
        <f>IFERROR(__xludf.DUMMYFUNCTION("IF(F62=""India"", FILTER(Weather!D:D,D62=Weather!C:C,E62=Weather!B:B), FILTER(Weather!D:D,D62=Weather!C:C,F62=Weather!A:A))"),23.8)</f>
        <v>23.8</v>
      </c>
      <c r="T62" s="28">
        <f>IFERROR(__xludf.DUMMYFUNCTION("IF(F62=""India"", FILTER(Weather!E:E,D62=Weather!C:C,E62=Weather!B:B),FILTER(Weather!E:E,D62=Weather!C:C,F62=Weather!A:A))"),14.9)</f>
        <v>14.9</v>
      </c>
      <c r="U62" s="28">
        <f>IFERROR(__xludf.DUMMYFUNCTION("IF(F62=""India"", FILTER(Weather!F:F,D62=Weather!C:C,E62=Weather!B:B),FILTER(Weather!F:F,D62=Weather!C:C,F62=Weather!A:A))"),98.4)</f>
        <v>98.4</v>
      </c>
      <c r="V62" s="25">
        <v>29.453333333333333</v>
      </c>
      <c r="W62" s="25">
        <v>88.70466666666665</v>
      </c>
      <c r="X62" s="25">
        <v>5.574545454545454</v>
      </c>
      <c r="Y62" s="25">
        <v>33.232727272727274</v>
      </c>
      <c r="Z62" s="25">
        <v>35.72636363636363</v>
      </c>
      <c r="AA62" s="25">
        <v>24.878750000000004</v>
      </c>
      <c r="AB62" s="25">
        <v>76.75124999999998</v>
      </c>
      <c r="AC62" s="25">
        <v>5.679166666666667</v>
      </c>
      <c r="AD62" s="25">
        <v>34.49333333333333</v>
      </c>
      <c r="AE62" s="25">
        <v>38.29833333333333</v>
      </c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</row>
    <row r="63" ht="15.75" hidden="1" customHeight="1">
      <c r="A63" s="25" t="s">
        <v>54</v>
      </c>
      <c r="B63" s="25" t="s">
        <v>61</v>
      </c>
      <c r="C63" s="30">
        <v>44860.0</v>
      </c>
      <c r="D63" s="25" t="s">
        <v>64</v>
      </c>
      <c r="E63" s="25" t="s">
        <v>94</v>
      </c>
      <c r="F63" s="12" t="str">
        <f>IFERROR(__xludf.DUMMYFUNCTION("FILTER(Stadium!$A$2:$A$61,E63=Stadium!$B$2:$B$61)"),"Australia")</f>
        <v>Australia</v>
      </c>
      <c r="G63" s="30" t="str">
        <f t="shared" si="3"/>
        <v>W</v>
      </c>
      <c r="H63" s="30" t="str">
        <f t="shared" si="4"/>
        <v>L</v>
      </c>
      <c r="I63" s="24">
        <v>1.0909090909090908</v>
      </c>
      <c r="J63" s="24">
        <f>VLOOKUP(B63, 'WL Ratio Table'!$A$6:$D$9, 4, FALSE)</f>
        <v>0.5416666667</v>
      </c>
      <c r="K63" s="25" t="s">
        <v>72</v>
      </c>
      <c r="L63" s="25">
        <v>205.0</v>
      </c>
      <c r="M63" s="25">
        <v>101.0</v>
      </c>
      <c r="N63" s="25" t="s">
        <v>54</v>
      </c>
      <c r="O63" s="27">
        <f>(105/205)*100</f>
        <v>51.2195122</v>
      </c>
      <c r="P63" s="25">
        <v>-500.0</v>
      </c>
      <c r="Q63" s="25">
        <v>350.0</v>
      </c>
      <c r="R63" s="25">
        <f t="shared" si="1"/>
        <v>-75</v>
      </c>
      <c r="S63" s="28">
        <f>IFERROR(__xludf.DUMMYFUNCTION("IF(F63=""India"", FILTER(Weather!D:D,D63=Weather!C:C,E63=Weather!B:B), FILTER(Weather!D:D,D63=Weather!C:C,F63=Weather!A:A))"),23.8)</f>
        <v>23.8</v>
      </c>
      <c r="T63" s="28">
        <f>IFERROR(__xludf.DUMMYFUNCTION("IF(F63=""India"", FILTER(Weather!E:E,D63=Weather!C:C,E63=Weather!B:B),FILTER(Weather!E:E,D63=Weather!C:C,F63=Weather!A:A))"),14.9)</f>
        <v>14.9</v>
      </c>
      <c r="U63" s="28">
        <f>IFERROR(__xludf.DUMMYFUNCTION("IF(F63=""India"", FILTER(Weather!F:F,D63=Weather!C:C,E63=Weather!B:B),FILTER(Weather!F:F,D63=Weather!C:C,F63=Weather!A:A))"),98.4)</f>
        <v>98.4</v>
      </c>
      <c r="V63" s="25">
        <v>29.26</v>
      </c>
      <c r="W63" s="25">
        <v>86.99071428571429</v>
      </c>
      <c r="X63" s="25">
        <v>5.596923076923077</v>
      </c>
      <c r="Y63" s="25">
        <v>26.36384615384615</v>
      </c>
      <c r="Z63" s="25">
        <v>26.93846153846153</v>
      </c>
      <c r="AA63" s="25">
        <v>21.11625</v>
      </c>
      <c r="AB63" s="25">
        <v>78.83125</v>
      </c>
      <c r="AC63" s="25">
        <v>5.192727272727272</v>
      </c>
      <c r="AD63" s="25">
        <v>33.17</v>
      </c>
      <c r="AE63" s="25">
        <v>38.899090909090894</v>
      </c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</row>
    <row r="64" ht="15.75" hidden="1" customHeight="1">
      <c r="A64" s="25" t="s">
        <v>48</v>
      </c>
      <c r="B64" s="25" t="s">
        <v>62</v>
      </c>
      <c r="C64" s="30">
        <v>44859.0</v>
      </c>
      <c r="D64" s="25" t="s">
        <v>64</v>
      </c>
      <c r="E64" s="25" t="s">
        <v>96</v>
      </c>
      <c r="F64" s="12" t="str">
        <f>IFERROR(__xludf.DUMMYFUNCTION("FILTER(Stadium!$A$2:$A$61,E64=Stadium!$B$2:$B$61)"),"Australia")</f>
        <v>Australia</v>
      </c>
      <c r="G64" s="30" t="str">
        <f t="shared" si="3"/>
        <v>W</v>
      </c>
      <c r="H64" s="30" t="str">
        <f t="shared" si="4"/>
        <v>L</v>
      </c>
      <c r="I64" s="24">
        <v>1.125</v>
      </c>
      <c r="J64" s="24">
        <f>VLOOKUP(B64, 'WL Ratio Table'!$A$6:$D$9, 4, FALSE)</f>
        <v>0.21875</v>
      </c>
      <c r="K64" s="25" t="s">
        <v>72</v>
      </c>
      <c r="L64" s="25">
        <v>158.0</v>
      </c>
      <c r="M64" s="25">
        <v>157.0</v>
      </c>
      <c r="N64" s="25" t="s">
        <v>48</v>
      </c>
      <c r="O64" s="27">
        <v>70.0</v>
      </c>
      <c r="P64" s="25">
        <v>-588.0</v>
      </c>
      <c r="Q64" s="25">
        <v>397.0</v>
      </c>
      <c r="R64" s="25">
        <f t="shared" si="1"/>
        <v>-95.5</v>
      </c>
      <c r="S64" s="28">
        <f>IFERROR(__xludf.DUMMYFUNCTION("IF(F64=""India"", FILTER(Weather!D:D,D64=Weather!C:C,E64=Weather!B:B), FILTER(Weather!D:D,D64=Weather!C:C,F64=Weather!A:A))"),23.8)</f>
        <v>23.8</v>
      </c>
      <c r="T64" s="28">
        <f>IFERROR(__xludf.DUMMYFUNCTION("IF(F64=""India"", FILTER(Weather!E:E,D64=Weather!C:C,E64=Weather!B:B),FILTER(Weather!E:E,D64=Weather!C:C,F64=Weather!A:A))"),14.9)</f>
        <v>14.9</v>
      </c>
      <c r="U64" s="28">
        <f>IFERROR(__xludf.DUMMYFUNCTION("IF(F64=""India"", FILTER(Weather!F:F,D64=Weather!C:C,E64=Weather!B:B),FILTER(Weather!F:F,D64=Weather!C:C,F64=Weather!A:A))"),98.4)</f>
        <v>98.4</v>
      </c>
      <c r="V64" s="25">
        <v>27.727333333333334</v>
      </c>
      <c r="W64" s="25">
        <v>92.17733333333332</v>
      </c>
      <c r="X64" s="25">
        <v>5.772307692307693</v>
      </c>
      <c r="Y64" s="25">
        <v>39.89076923076924</v>
      </c>
      <c r="Z64" s="25">
        <v>41.56384615384616</v>
      </c>
      <c r="AA64" s="25">
        <v>24.878750000000004</v>
      </c>
      <c r="AB64" s="25">
        <v>76.75124999999998</v>
      </c>
      <c r="AC64" s="25">
        <v>5.679166666666667</v>
      </c>
      <c r="AD64" s="25">
        <v>34.49333333333333</v>
      </c>
      <c r="AE64" s="25">
        <v>38.29833333333333</v>
      </c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</row>
    <row r="65" ht="15.75" hidden="1" customHeight="1">
      <c r="A65" s="25" t="s">
        <v>47</v>
      </c>
      <c r="B65" s="25" t="s">
        <v>59</v>
      </c>
      <c r="C65" s="30">
        <v>44857.0</v>
      </c>
      <c r="D65" s="25" t="s">
        <v>64</v>
      </c>
      <c r="E65" s="25" t="s">
        <v>92</v>
      </c>
      <c r="F65" s="12" t="str">
        <f>IFERROR(__xludf.DUMMYFUNCTION("FILTER(Stadium!$A$2:$A$61,E65=Stadium!$B$2:$B$61)"),"Australia")</f>
        <v>Australia</v>
      </c>
      <c r="G65" s="30" t="str">
        <f t="shared" si="3"/>
        <v>W</v>
      </c>
      <c r="H65" s="30" t="str">
        <f t="shared" si="4"/>
        <v>L</v>
      </c>
      <c r="I65" s="24">
        <v>2.8125</v>
      </c>
      <c r="J65" s="24">
        <f>VLOOKUP(B65, 'WL Ratio Table'!$A$6:$D$9, 4, FALSE)</f>
        <v>1</v>
      </c>
      <c r="K65" s="25" t="s">
        <v>72</v>
      </c>
      <c r="L65" s="25">
        <v>160.0</v>
      </c>
      <c r="M65" s="25">
        <v>159.0</v>
      </c>
      <c r="N65" s="25" t="s">
        <v>47</v>
      </c>
      <c r="O65" s="27">
        <v>40.0</v>
      </c>
      <c r="P65" s="25">
        <v>-222.0</v>
      </c>
      <c r="Q65" s="25">
        <v>173.0</v>
      </c>
      <c r="R65" s="25">
        <f t="shared" si="1"/>
        <v>-24.5</v>
      </c>
      <c r="S65" s="28">
        <f>IFERROR(__xludf.DUMMYFUNCTION("IF(F65=""India"", FILTER(Weather!D:D,D65=Weather!C:C,E65=Weather!B:B), FILTER(Weather!D:D,D65=Weather!C:C,F65=Weather!A:A))"),23.8)</f>
        <v>23.8</v>
      </c>
      <c r="T65" s="28">
        <f>IFERROR(__xludf.DUMMYFUNCTION("IF(F65=""India"", FILTER(Weather!E:E,D65=Weather!C:C,E65=Weather!B:B),FILTER(Weather!E:E,D65=Weather!C:C,F65=Weather!A:A))"),14.9)</f>
        <v>14.9</v>
      </c>
      <c r="U65" s="28">
        <f>IFERROR(__xludf.DUMMYFUNCTION("IF(F65=""India"", FILTER(Weather!F:F,D65=Weather!C:C,E65=Weather!B:B),FILTER(Weather!F:F,D65=Weather!C:C,F65=Weather!A:A))"),98.4)</f>
        <v>98.4</v>
      </c>
      <c r="V65" s="15">
        <v>29.216249999999995</v>
      </c>
      <c r="W65" s="15">
        <v>82.43625</v>
      </c>
      <c r="X65" s="25">
        <v>5.422499999999999</v>
      </c>
      <c r="Y65" s="25">
        <v>40.535</v>
      </c>
      <c r="Z65" s="25">
        <v>43.995000000000005</v>
      </c>
      <c r="AA65" s="25">
        <v>28.993333333333332</v>
      </c>
      <c r="AB65" s="25">
        <v>91.364</v>
      </c>
      <c r="AC65" s="25">
        <v>5.425454545454545</v>
      </c>
      <c r="AD65" s="25">
        <v>46.032727272727264</v>
      </c>
      <c r="AE65" s="25">
        <v>51.62</v>
      </c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</row>
    <row r="66" ht="15.75" hidden="1" customHeight="1">
      <c r="A66" s="25" t="s">
        <v>48</v>
      </c>
      <c r="B66" s="25" t="s">
        <v>56</v>
      </c>
      <c r="C66" s="30">
        <v>44856.0</v>
      </c>
      <c r="D66" s="25" t="s">
        <v>64</v>
      </c>
      <c r="E66" s="25" t="s">
        <v>95</v>
      </c>
      <c r="F66" s="12" t="str">
        <f>IFERROR(__xludf.DUMMYFUNCTION("FILTER(Stadium!$A$2:$A$61,E66=Stadium!$B$2:$B$61)"),"Australia")</f>
        <v>Australia</v>
      </c>
      <c r="G66" s="30" t="str">
        <f t="shared" si="3"/>
        <v>L</v>
      </c>
      <c r="H66" s="30" t="str">
        <f t="shared" si="4"/>
        <v>W</v>
      </c>
      <c r="I66" s="24">
        <v>1.125</v>
      </c>
      <c r="J66" s="24">
        <v>0.75</v>
      </c>
      <c r="K66" s="25" t="s">
        <v>72</v>
      </c>
      <c r="L66" s="25">
        <v>111.0</v>
      </c>
      <c r="M66" s="25">
        <v>200.0</v>
      </c>
      <c r="N66" s="25" t="s">
        <v>56</v>
      </c>
      <c r="O66" s="27">
        <f>(89/200)*100</f>
        <v>44.5</v>
      </c>
      <c r="P66" s="25">
        <v>-278.0</v>
      </c>
      <c r="Q66" s="25">
        <v>213.0</v>
      </c>
      <c r="R66" s="25">
        <f t="shared" si="1"/>
        <v>-32.5</v>
      </c>
      <c r="S66" s="28">
        <f>IFERROR(__xludf.DUMMYFUNCTION("IF(F66=""India"", FILTER(Weather!D:D,D66=Weather!C:C,E66=Weather!B:B), FILTER(Weather!D:D,D66=Weather!C:C,F66=Weather!A:A))"),23.8)</f>
        <v>23.8</v>
      </c>
      <c r="T66" s="28">
        <f>IFERROR(__xludf.DUMMYFUNCTION("IF(F66=""India"", FILTER(Weather!E:E,D66=Weather!C:C,E66=Weather!B:B),FILTER(Weather!E:E,D66=Weather!C:C,F66=Weather!A:A))"),14.9)</f>
        <v>14.9</v>
      </c>
      <c r="U66" s="28">
        <f>IFERROR(__xludf.DUMMYFUNCTION("IF(F66=""India"", FILTER(Weather!F:F,D66=Weather!C:C,E66=Weather!B:B),FILTER(Weather!F:F,D66=Weather!C:C,F66=Weather!A:A))"),98.4)</f>
        <v>98.4</v>
      </c>
      <c r="V66" s="25">
        <v>27.727333333333334</v>
      </c>
      <c r="W66" s="25">
        <v>92.17733333333332</v>
      </c>
      <c r="X66" s="25">
        <v>5.772307692307693</v>
      </c>
      <c r="Y66" s="25">
        <v>39.89076923076924</v>
      </c>
      <c r="Z66" s="25">
        <v>41.56384615384616</v>
      </c>
      <c r="AA66" s="25">
        <v>29.453333333333333</v>
      </c>
      <c r="AB66" s="25">
        <v>88.70466666666665</v>
      </c>
      <c r="AC66" s="25">
        <v>5.574545454545454</v>
      </c>
      <c r="AD66" s="25">
        <v>33.232727272727274</v>
      </c>
      <c r="AE66" s="25">
        <v>35.72636363636363</v>
      </c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</row>
    <row r="67" ht="15.75" hidden="1" customHeight="1">
      <c r="A67" s="25" t="s">
        <v>47</v>
      </c>
      <c r="B67" s="25" t="s">
        <v>48</v>
      </c>
      <c r="C67" s="30">
        <v>44850.0</v>
      </c>
      <c r="D67" s="25" t="s">
        <v>64</v>
      </c>
      <c r="E67" s="25" t="s">
        <v>96</v>
      </c>
      <c r="F67" s="12" t="str">
        <f>IFERROR(__xludf.DUMMYFUNCTION("FILTER(Stadium!$A$2:$A$61,E67=Stadium!$B$2:$B$61)"),"Australia")</f>
        <v>Australia</v>
      </c>
      <c r="G67" s="30" t="str">
        <f t="shared" si="3"/>
        <v>W</v>
      </c>
      <c r="H67" s="30" t="str">
        <f t="shared" si="4"/>
        <v>L</v>
      </c>
      <c r="I67" s="24">
        <f>7/9</f>
        <v>0.7777777778</v>
      </c>
      <c r="J67" s="24">
        <f>2/9</f>
        <v>0.2222222222</v>
      </c>
      <c r="K67" s="25" t="s">
        <v>72</v>
      </c>
      <c r="L67" s="25">
        <v>186.0</v>
      </c>
      <c r="M67" s="25">
        <v>180.0</v>
      </c>
      <c r="N67" s="25" t="s">
        <v>47</v>
      </c>
      <c r="O67" s="27">
        <f>(6/186)*100</f>
        <v>3.225806452</v>
      </c>
      <c r="P67" s="25">
        <v>110.0</v>
      </c>
      <c r="Q67" s="25">
        <v>-141.0</v>
      </c>
      <c r="R67" s="25">
        <f t="shared" si="1"/>
        <v>-15.5</v>
      </c>
      <c r="S67" s="28">
        <f>IFERROR(__xludf.DUMMYFUNCTION("IF(F67=""India"", FILTER(Weather!D:D,D67=Weather!C:C,E67=Weather!B:B), FILTER(Weather!D:D,D67=Weather!C:C,F67=Weather!A:A))"),23.8)</f>
        <v>23.8</v>
      </c>
      <c r="T67" s="28">
        <f>IFERROR(__xludf.DUMMYFUNCTION("IF(F67=""India"", FILTER(Weather!E:E,D67=Weather!C:C,E67=Weather!B:B),FILTER(Weather!E:E,D67=Weather!C:C,F67=Weather!A:A))"),14.9)</f>
        <v>14.9</v>
      </c>
      <c r="U67" s="28">
        <f>IFERROR(__xludf.DUMMYFUNCTION("IF(F67=""India"", FILTER(Weather!F:F,D67=Weather!C:C,E67=Weather!B:B),FILTER(Weather!F:F,D67=Weather!C:C,F67=Weather!A:A))"),98.4)</f>
        <v>98.4</v>
      </c>
      <c r="V67" s="15">
        <v>29.216249999999995</v>
      </c>
      <c r="W67" s="15">
        <v>82.43625</v>
      </c>
      <c r="X67" s="25">
        <v>5.422499999999999</v>
      </c>
      <c r="Y67" s="25">
        <v>40.535</v>
      </c>
      <c r="Z67" s="25">
        <v>43.995000000000005</v>
      </c>
      <c r="AA67" s="25">
        <v>27.727333333333334</v>
      </c>
      <c r="AB67" s="25">
        <v>92.17733333333332</v>
      </c>
      <c r="AC67" s="25">
        <v>5.772307692307693</v>
      </c>
      <c r="AD67" s="25">
        <v>39.89076923076924</v>
      </c>
      <c r="AE67" s="25">
        <v>41.56384615384616</v>
      </c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</row>
    <row r="68" ht="15.75" hidden="1" customHeight="1">
      <c r="A68" s="25" t="s">
        <v>58</v>
      </c>
      <c r="B68" s="25" t="s">
        <v>59</v>
      </c>
      <c r="C68" s="30">
        <v>44851.0</v>
      </c>
      <c r="D68" s="25" t="s">
        <v>64</v>
      </c>
      <c r="E68" s="25" t="s">
        <v>96</v>
      </c>
      <c r="F68" s="12" t="str">
        <f>IFERROR(__xludf.DUMMYFUNCTION("FILTER(Stadium!$A$2:$A$61,E68=Stadium!$B$2:$B$61)"),"Australia")</f>
        <v>Australia</v>
      </c>
      <c r="G68" s="30" t="str">
        <f t="shared" si="3"/>
        <v>W</v>
      </c>
      <c r="H68" s="30" t="str">
        <f t="shared" si="4"/>
        <v>L</v>
      </c>
      <c r="I68" s="24">
        <f>9/14</f>
        <v>0.6428571429</v>
      </c>
      <c r="J68" s="24">
        <f>5/14</f>
        <v>0.3571428571</v>
      </c>
      <c r="K68" s="25" t="s">
        <v>72</v>
      </c>
      <c r="L68" s="25">
        <v>163.0</v>
      </c>
      <c r="M68" s="25">
        <v>160.0</v>
      </c>
      <c r="N68" s="25" t="s">
        <v>58</v>
      </c>
      <c r="O68" s="27">
        <v>60.0</v>
      </c>
      <c r="P68" s="25">
        <v>-244.0</v>
      </c>
      <c r="Q68" s="25">
        <v>188.0</v>
      </c>
      <c r="R68" s="25">
        <f t="shared" si="1"/>
        <v>-28</v>
      </c>
      <c r="S68" s="28">
        <f>IFERROR(__xludf.DUMMYFUNCTION("IF(F68=""India"", FILTER(Weather!D:D,D68=Weather!C:C,E68=Weather!B:B), FILTER(Weather!D:D,D68=Weather!C:C,F68=Weather!A:A))"),23.8)</f>
        <v>23.8</v>
      </c>
      <c r="T68" s="28">
        <f>IFERROR(__xludf.DUMMYFUNCTION("IF(F68=""India"", FILTER(Weather!E:E,D68=Weather!C:C,E68=Weather!B:B),FILTER(Weather!E:E,D68=Weather!C:C,F68=Weather!A:A))"),14.9)</f>
        <v>14.9</v>
      </c>
      <c r="U68" s="28">
        <f>IFERROR(__xludf.DUMMYFUNCTION("IF(F68=""India"", FILTER(Weather!F:F,D68=Weather!C:C,E68=Weather!B:B),FILTER(Weather!F:F,D68=Weather!C:C,F68=Weather!A:A))"),98.4)</f>
        <v>98.4</v>
      </c>
      <c r="V68" s="25">
        <v>30.137999999999998</v>
      </c>
      <c r="W68" s="25">
        <v>100.968</v>
      </c>
      <c r="X68" s="25">
        <v>5.778333333333333</v>
      </c>
      <c r="Y68" s="25">
        <v>37.89333333333334</v>
      </c>
      <c r="Z68" s="25">
        <v>39.69166666666667</v>
      </c>
      <c r="AA68" s="25">
        <v>28.993333333333332</v>
      </c>
      <c r="AB68" s="25">
        <v>91.364</v>
      </c>
      <c r="AC68" s="25">
        <v>5.425454545454545</v>
      </c>
      <c r="AD68" s="25">
        <v>46.032727272727264</v>
      </c>
      <c r="AE68" s="25">
        <v>51.62</v>
      </c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</row>
    <row r="69" ht="15.75" hidden="1" customHeight="1">
      <c r="A69" s="25" t="s">
        <v>56</v>
      </c>
      <c r="B69" s="25" t="s">
        <v>54</v>
      </c>
      <c r="C69" s="30">
        <v>44850.0</v>
      </c>
      <c r="D69" s="25" t="s">
        <v>64</v>
      </c>
      <c r="E69" s="25" t="s">
        <v>95</v>
      </c>
      <c r="F69" s="12" t="str">
        <f>IFERROR(__xludf.DUMMYFUNCTION("FILTER(Stadium!$A$2:$A$61,E69=Stadium!$B$2:$B$61)"),"Australia")</f>
        <v>Australia</v>
      </c>
      <c r="G69" s="30" t="str">
        <f t="shared" si="3"/>
        <v>L</v>
      </c>
      <c r="H69" s="30" t="str">
        <f t="shared" si="4"/>
        <v>W</v>
      </c>
      <c r="I69" s="21">
        <v>0.7</v>
      </c>
      <c r="J69" s="21">
        <v>0.3</v>
      </c>
      <c r="K69" s="25" t="s">
        <v>72</v>
      </c>
      <c r="L69" s="25">
        <v>98.0</v>
      </c>
      <c r="M69" s="25">
        <v>100.0</v>
      </c>
      <c r="N69" s="25" t="s">
        <v>54</v>
      </c>
      <c r="O69" s="27">
        <v>90.0</v>
      </c>
      <c r="P69" s="25">
        <v>-111.0</v>
      </c>
      <c r="Q69" s="25">
        <v>-114.0</v>
      </c>
      <c r="R69" s="25">
        <f t="shared" si="1"/>
        <v>-112.5</v>
      </c>
      <c r="S69" s="28">
        <f>IFERROR(__xludf.DUMMYFUNCTION("IF(F69=""India"", FILTER(Weather!D:D,D69=Weather!C:C,E69=Weather!B:B), FILTER(Weather!D:D,D69=Weather!C:C,F69=Weather!A:A))"),23.8)</f>
        <v>23.8</v>
      </c>
      <c r="T69" s="28">
        <f>IFERROR(__xludf.DUMMYFUNCTION("IF(F69=""India"", FILTER(Weather!E:E,D69=Weather!C:C,E69=Weather!B:B),FILTER(Weather!E:E,D69=Weather!C:C,F69=Weather!A:A))"),14.9)</f>
        <v>14.9</v>
      </c>
      <c r="U69" s="28">
        <f>IFERROR(__xludf.DUMMYFUNCTION("IF(F69=""India"", FILTER(Weather!F:F,D69=Weather!C:C,E69=Weather!B:B),FILTER(Weather!F:F,D69=Weather!C:C,F69=Weather!A:A))"),98.4)</f>
        <v>98.4</v>
      </c>
      <c r="V69" s="25">
        <v>29.453333333333333</v>
      </c>
      <c r="W69" s="25">
        <v>88.70466666666665</v>
      </c>
      <c r="X69" s="25">
        <v>5.574545454545454</v>
      </c>
      <c r="Y69" s="25">
        <v>33.232727272727274</v>
      </c>
      <c r="Z69" s="25">
        <v>35.72636363636363</v>
      </c>
      <c r="AA69" s="25">
        <v>29.26</v>
      </c>
      <c r="AB69" s="25">
        <v>86.99071428571429</v>
      </c>
      <c r="AC69" s="25">
        <v>5.596923076923077</v>
      </c>
      <c r="AD69" s="25">
        <v>26.36384615384615</v>
      </c>
      <c r="AE69" s="25">
        <v>26.93846153846153</v>
      </c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</row>
    <row r="70" ht="15.75" hidden="1" customHeight="1">
      <c r="A70" s="25" t="s">
        <v>48</v>
      </c>
      <c r="B70" s="25" t="s">
        <v>58</v>
      </c>
      <c r="C70" s="30">
        <v>44846.0</v>
      </c>
      <c r="D70" s="25" t="s">
        <v>64</v>
      </c>
      <c r="E70" s="25" t="s">
        <v>97</v>
      </c>
      <c r="F70" s="12" t="str">
        <f>IFERROR(__xludf.DUMMYFUNCTION("FILTER(Stadium!$A$2:$A$61,E70=Stadium!$B$2:$B$61)"),"Australia")</f>
        <v>Australia</v>
      </c>
      <c r="G70" s="30" t="str">
        <f t="shared" si="3"/>
        <v>L</v>
      </c>
      <c r="H70" s="30" t="str">
        <f t="shared" si="4"/>
        <v>W</v>
      </c>
      <c r="I70" s="24">
        <v>1.125</v>
      </c>
      <c r="J70" s="24">
        <f>VLOOKUP(B70, 'WL Ratio Table'!$A$6:$D$9, 4, FALSE)</f>
        <v>1.384615385</v>
      </c>
      <c r="K70" s="25" t="s">
        <v>72</v>
      </c>
      <c r="L70" s="25">
        <v>170.0</v>
      </c>
      <c r="M70" s="25">
        <v>178.0</v>
      </c>
      <c r="N70" s="25" t="s">
        <v>58</v>
      </c>
      <c r="O70" s="27">
        <f>(8/178)*100</f>
        <v>4.494382022</v>
      </c>
      <c r="P70" s="25">
        <v>-164.0</v>
      </c>
      <c r="Q70" s="25">
        <v>129.0</v>
      </c>
      <c r="R70" s="25">
        <f t="shared" si="1"/>
        <v>-17.5</v>
      </c>
      <c r="S70" s="28">
        <f>IFERROR(__xludf.DUMMYFUNCTION("IF(F70=""India"", FILTER(Weather!D:D,D70=Weather!C:C,E70=Weather!B:B), FILTER(Weather!D:D,D70=Weather!C:C,F70=Weather!A:A))"),23.8)</f>
        <v>23.8</v>
      </c>
      <c r="T70" s="28">
        <f>IFERROR(__xludf.DUMMYFUNCTION("IF(F70=""India"", FILTER(Weather!E:E,D70=Weather!C:C,E70=Weather!B:B),FILTER(Weather!E:E,D70=Weather!C:C,F70=Weather!A:A))"),14.9)</f>
        <v>14.9</v>
      </c>
      <c r="U70" s="28">
        <f>IFERROR(__xludf.DUMMYFUNCTION("IF(F70=""India"", FILTER(Weather!F:F,D70=Weather!C:C,E70=Weather!B:B),FILTER(Weather!F:F,D70=Weather!C:C,F70=Weather!A:A))"),98.4)</f>
        <v>98.4</v>
      </c>
      <c r="V70" s="25">
        <v>27.727333333333334</v>
      </c>
      <c r="W70" s="25">
        <v>92.17733333333332</v>
      </c>
      <c r="X70" s="25">
        <v>5.772307692307693</v>
      </c>
      <c r="Y70" s="25">
        <v>39.89076923076924</v>
      </c>
      <c r="Z70" s="25">
        <v>41.56384615384616</v>
      </c>
      <c r="AA70" s="25">
        <v>30.137999999999998</v>
      </c>
      <c r="AB70" s="25">
        <v>100.968</v>
      </c>
      <c r="AC70" s="25">
        <v>5.778333333333333</v>
      </c>
      <c r="AD70" s="25">
        <v>37.89333333333334</v>
      </c>
      <c r="AE70" s="25">
        <v>39.69166666666667</v>
      </c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</row>
    <row r="71" ht="15.75" hidden="1" customHeight="1">
      <c r="A71" s="25" t="s">
        <v>48</v>
      </c>
      <c r="B71" s="25" t="s">
        <v>58</v>
      </c>
      <c r="C71" s="30">
        <v>44843.0</v>
      </c>
      <c r="D71" s="25" t="s">
        <v>64</v>
      </c>
      <c r="E71" s="25" t="s">
        <v>96</v>
      </c>
      <c r="F71" s="12" t="str">
        <f>IFERROR(__xludf.DUMMYFUNCTION("FILTER(Stadium!$A$2:$A$61,E71=Stadium!$B$2:$B$61)"),"Australia")</f>
        <v>Australia</v>
      </c>
      <c r="G71" s="30" t="str">
        <f t="shared" si="3"/>
        <v>L</v>
      </c>
      <c r="H71" s="30" t="str">
        <f t="shared" si="4"/>
        <v>W</v>
      </c>
      <c r="I71" s="24">
        <v>1.125</v>
      </c>
      <c r="J71" s="24">
        <f>VLOOKUP(B71, 'WL Ratio Table'!$A$6:$D$9, 4, FALSE)</f>
        <v>1.384615385</v>
      </c>
      <c r="K71" s="25" t="s">
        <v>72</v>
      </c>
      <c r="L71" s="25">
        <v>200.0</v>
      </c>
      <c r="M71" s="25">
        <v>208.0</v>
      </c>
      <c r="N71" s="25" t="s">
        <v>58</v>
      </c>
      <c r="O71" s="27">
        <f>(8/208)*100</f>
        <v>3.846153846</v>
      </c>
      <c r="P71" s="25">
        <v>-104.0</v>
      </c>
      <c r="Q71" s="25">
        <v>-118.0</v>
      </c>
      <c r="R71" s="25">
        <f t="shared" si="1"/>
        <v>-111</v>
      </c>
      <c r="S71" s="28">
        <f>IFERROR(__xludf.DUMMYFUNCTION("IF(F71=""India"", FILTER(Weather!D:D,D71=Weather!C:C,E71=Weather!B:B), FILTER(Weather!D:D,D71=Weather!C:C,F71=Weather!A:A))"),23.8)</f>
        <v>23.8</v>
      </c>
      <c r="T71" s="28">
        <f>IFERROR(__xludf.DUMMYFUNCTION("IF(F71=""India"", FILTER(Weather!E:E,D71=Weather!C:C,E71=Weather!B:B),FILTER(Weather!E:E,D71=Weather!C:C,F71=Weather!A:A))"),14.9)</f>
        <v>14.9</v>
      </c>
      <c r="U71" s="28">
        <f>IFERROR(__xludf.DUMMYFUNCTION("IF(F71=""India"", FILTER(Weather!F:F,D71=Weather!C:C,E71=Weather!B:B),FILTER(Weather!F:F,D71=Weather!C:C,F71=Weather!A:A))"),98.4)</f>
        <v>98.4</v>
      </c>
      <c r="V71" s="25">
        <v>27.727333333333334</v>
      </c>
      <c r="W71" s="25">
        <v>92.17733333333332</v>
      </c>
      <c r="X71" s="25">
        <v>5.772307692307693</v>
      </c>
      <c r="Y71" s="25">
        <v>39.89076923076924</v>
      </c>
      <c r="Z71" s="25">
        <v>41.56384615384616</v>
      </c>
      <c r="AA71" s="25">
        <v>30.137999999999998</v>
      </c>
      <c r="AB71" s="25">
        <v>100.968</v>
      </c>
      <c r="AC71" s="25">
        <v>5.778333333333333</v>
      </c>
      <c r="AD71" s="25">
        <v>37.89333333333334</v>
      </c>
      <c r="AE71" s="25">
        <v>39.69166666666667</v>
      </c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</row>
    <row r="72" ht="15.75" hidden="1" customHeight="1">
      <c r="A72" s="25" t="s">
        <v>47</v>
      </c>
      <c r="B72" s="25" t="s">
        <v>54</v>
      </c>
      <c r="C72" s="32">
        <v>44838.0</v>
      </c>
      <c r="D72" s="25" t="s">
        <v>64</v>
      </c>
      <c r="E72" s="25" t="s">
        <v>98</v>
      </c>
      <c r="F72" s="12" t="str">
        <f>IFERROR(__xludf.DUMMYFUNCTION("FILTER(Stadium!$A$2:$A$61,E72=Stadium!$B$2:$B$61)"),"India")</f>
        <v>India</v>
      </c>
      <c r="G72" s="30" t="str">
        <f t="shared" si="3"/>
        <v>L</v>
      </c>
      <c r="H72" s="30" t="str">
        <f t="shared" si="4"/>
        <v>W</v>
      </c>
      <c r="I72" s="24">
        <v>2.8125</v>
      </c>
      <c r="J72" s="24">
        <v>1.0909090909090908</v>
      </c>
      <c r="K72" s="25" t="s">
        <v>72</v>
      </c>
      <c r="L72" s="25">
        <v>178.0</v>
      </c>
      <c r="M72" s="25">
        <v>227.0</v>
      </c>
      <c r="N72" s="25" t="s">
        <v>54</v>
      </c>
      <c r="O72" s="27">
        <f>(49/227)*100</f>
        <v>21.58590308</v>
      </c>
      <c r="P72" s="25">
        <v>-159.0</v>
      </c>
      <c r="Q72" s="25">
        <v>125.0</v>
      </c>
      <c r="R72" s="25">
        <f t="shared" si="1"/>
        <v>-17</v>
      </c>
      <c r="S72" s="28">
        <f>IFERROR(__xludf.DUMMYFUNCTION("IF(F72=""India"", FILTER(Weather!D:D,D72=Weather!C:C,E72=Weather!B:B), FILTER(Weather!D:D,D72=Weather!C:C,F72=Weather!A:A))"),30.6)</f>
        <v>30.6</v>
      </c>
      <c r="T72" s="28">
        <f>IFERROR(__xludf.DUMMYFUNCTION("IF(F72=""India"", FILTER(Weather!E:E,D72=Weather!C:C,E72=Weather!B:B),FILTER(Weather!E:E,D72=Weather!C:C,F72=Weather!A:A))"),21.0)</f>
        <v>21</v>
      </c>
      <c r="U72" s="28">
        <f>IFERROR(__xludf.DUMMYFUNCTION("IF(F72=""India"", FILTER(Weather!F:F,D72=Weather!C:C,E72=Weather!B:B),FILTER(Weather!F:F,D72=Weather!C:C,F72=Weather!A:A))"),163.3)</f>
        <v>163.3</v>
      </c>
      <c r="V72" s="15">
        <v>29.216249999999995</v>
      </c>
      <c r="W72" s="15">
        <v>82.43625</v>
      </c>
      <c r="X72" s="25">
        <v>5.422499999999999</v>
      </c>
      <c r="Y72" s="25">
        <v>40.535</v>
      </c>
      <c r="Z72" s="25">
        <v>43.995000000000005</v>
      </c>
      <c r="AA72" s="25">
        <v>29.26</v>
      </c>
      <c r="AB72" s="25">
        <v>86.99071428571429</v>
      </c>
      <c r="AC72" s="25">
        <v>5.596923076923077</v>
      </c>
      <c r="AD72" s="25">
        <v>26.36384615384615</v>
      </c>
      <c r="AE72" s="25">
        <v>26.93846153846153</v>
      </c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</row>
    <row r="73" ht="15.75" hidden="1" customHeight="1">
      <c r="A73" s="25" t="s">
        <v>58</v>
      </c>
      <c r="B73" s="25" t="s">
        <v>59</v>
      </c>
      <c r="C73" s="30">
        <v>44836.0</v>
      </c>
      <c r="D73" s="25" t="s">
        <v>64</v>
      </c>
      <c r="E73" s="25" t="s">
        <v>80</v>
      </c>
      <c r="F73" s="12" t="str">
        <f>IFERROR(__xludf.DUMMYFUNCTION("FILTER(Stadium!$A$2:$A$61,E73=Stadium!$B$2:$B$61)"),"Pakistan")</f>
        <v>Pakistan</v>
      </c>
      <c r="G73" s="30" t="str">
        <f t="shared" si="3"/>
        <v>W</v>
      </c>
      <c r="H73" s="30" t="str">
        <f t="shared" si="4"/>
        <v>L</v>
      </c>
      <c r="I73" s="24">
        <f>9/14</f>
        <v>0.6428571429</v>
      </c>
      <c r="J73" s="24">
        <f>5/14</f>
        <v>0.3571428571</v>
      </c>
      <c r="K73" s="25" t="s">
        <v>72</v>
      </c>
      <c r="L73" s="25">
        <v>209.0</v>
      </c>
      <c r="M73" s="25">
        <v>142.0</v>
      </c>
      <c r="N73" s="25" t="s">
        <v>58</v>
      </c>
      <c r="O73" s="27">
        <f>(67/209)*100</f>
        <v>32.05741627</v>
      </c>
      <c r="P73" s="25">
        <v>-112.0</v>
      </c>
      <c r="Q73" s="25">
        <v>-114.0</v>
      </c>
      <c r="R73" s="25">
        <f t="shared" si="1"/>
        <v>-113</v>
      </c>
      <c r="S73" s="28">
        <f>IFERROR(__xludf.DUMMYFUNCTION("IF(F73=""India"", FILTER(Weather!D:D,D73=Weather!C:C,E73=Weather!B:B), FILTER(Weather!D:D,D73=Weather!C:C,F73=Weather!A:A))"),30.2)</f>
        <v>30.2</v>
      </c>
      <c r="T73" s="28">
        <f>IFERROR(__xludf.DUMMYFUNCTION("IF(F73=""India"", FILTER(Weather!E:E,D73=Weather!C:C,E73=Weather!B:B),FILTER(Weather!E:E,D73=Weather!C:C,F73=Weather!A:A))"),18.7)</f>
        <v>18.7</v>
      </c>
      <c r="U73" s="28">
        <f>IFERROR(__xludf.DUMMYFUNCTION("IF(F73=""India"", FILTER(Weather!F:F,D73=Weather!C:C,E73=Weather!B:B),FILTER(Weather!F:F,D73=Weather!C:C,F73=Weather!A:A))"),7.2)</f>
        <v>7.2</v>
      </c>
      <c r="V73" s="25">
        <v>30.137999999999998</v>
      </c>
      <c r="W73" s="25">
        <v>100.968</v>
      </c>
      <c r="X73" s="25">
        <v>5.778333333333333</v>
      </c>
      <c r="Y73" s="25">
        <v>37.89333333333334</v>
      </c>
      <c r="Z73" s="25">
        <v>39.69166666666667</v>
      </c>
      <c r="AA73" s="25">
        <v>28.993333333333332</v>
      </c>
      <c r="AB73" s="25">
        <v>91.364</v>
      </c>
      <c r="AC73" s="25">
        <v>5.425454545454545</v>
      </c>
      <c r="AD73" s="25">
        <v>46.032727272727264</v>
      </c>
      <c r="AE73" s="25">
        <v>51.62</v>
      </c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</row>
    <row r="74" ht="15.75" hidden="1" customHeight="1">
      <c r="A74" s="25" t="s">
        <v>47</v>
      </c>
      <c r="B74" s="25" t="s">
        <v>54</v>
      </c>
      <c r="C74" s="30">
        <v>44836.0</v>
      </c>
      <c r="D74" s="25" t="s">
        <v>64</v>
      </c>
      <c r="E74" s="25" t="s">
        <v>69</v>
      </c>
      <c r="F74" s="12" t="str">
        <f>IFERROR(__xludf.DUMMYFUNCTION("FILTER(Stadium!$A$2:$A$61,E74=Stadium!$B$2:$B$61)"),"India")</f>
        <v>India</v>
      </c>
      <c r="G74" s="30" t="str">
        <f t="shared" si="3"/>
        <v>W</v>
      </c>
      <c r="H74" s="30" t="str">
        <f t="shared" si="4"/>
        <v>L</v>
      </c>
      <c r="I74" s="24">
        <v>2.8125</v>
      </c>
      <c r="J74" s="24">
        <v>1.0909090909090908</v>
      </c>
      <c r="K74" s="25" t="s">
        <v>72</v>
      </c>
      <c r="L74" s="25">
        <v>237.0</v>
      </c>
      <c r="M74" s="25">
        <v>221.0</v>
      </c>
      <c r="N74" s="25" t="s">
        <v>47</v>
      </c>
      <c r="O74" s="27">
        <f>(16/237)*100</f>
        <v>6.751054852</v>
      </c>
      <c r="P74" s="25">
        <v>-161.0</v>
      </c>
      <c r="Q74" s="25">
        <v>125.0</v>
      </c>
      <c r="R74" s="25">
        <f t="shared" si="1"/>
        <v>-18</v>
      </c>
      <c r="S74" s="28">
        <f>IFERROR(__xludf.DUMMYFUNCTION("IF(F74=""India"", FILTER(Weather!D:D,D74=Weather!C:C,E74=Weather!B:B), FILTER(Weather!D:D,D74=Weather!C:C,F74=Weather!A:A))"),29.8)</f>
        <v>29.8</v>
      </c>
      <c r="T74" s="28">
        <f>IFERROR(__xludf.DUMMYFUNCTION("IF(F74=""India"", FILTER(Weather!E:E,D74=Weather!C:C,E74=Weather!B:B),FILTER(Weather!E:E,D74=Weather!C:C,F74=Weather!A:A))"),20.4)</f>
        <v>20.4</v>
      </c>
      <c r="U74" s="28">
        <f>IFERROR(__xludf.DUMMYFUNCTION("IF(F74=""India"", FILTER(Weather!F:F,D74=Weather!C:C,E74=Weather!B:B),FILTER(Weather!F:F,D74=Weather!C:C,F74=Weather!A:A))"),164.3)</f>
        <v>164.3</v>
      </c>
      <c r="V74" s="15">
        <v>29.216249999999995</v>
      </c>
      <c r="W74" s="15">
        <v>82.43625</v>
      </c>
      <c r="X74" s="25">
        <v>5.422499999999999</v>
      </c>
      <c r="Y74" s="25">
        <v>40.535</v>
      </c>
      <c r="Z74" s="25">
        <v>43.995000000000005</v>
      </c>
      <c r="AA74" s="25">
        <v>29.26</v>
      </c>
      <c r="AB74" s="25">
        <v>86.99071428571429</v>
      </c>
      <c r="AC74" s="25">
        <v>5.596923076923077</v>
      </c>
      <c r="AD74" s="25">
        <v>26.36384615384615</v>
      </c>
      <c r="AE74" s="25">
        <v>26.93846153846153</v>
      </c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</row>
    <row r="75" ht="15.75" hidden="1" customHeight="1">
      <c r="A75" s="25" t="s">
        <v>58</v>
      </c>
      <c r="B75" s="25" t="s">
        <v>59</v>
      </c>
      <c r="C75" s="30">
        <v>44834.0</v>
      </c>
      <c r="D75" s="25" t="s">
        <v>70</v>
      </c>
      <c r="E75" s="25" t="s">
        <v>80</v>
      </c>
      <c r="F75" s="12" t="str">
        <f>IFERROR(__xludf.DUMMYFUNCTION("FILTER(Stadium!$A$2:$A$61,E75=Stadium!$B$2:$B$61)"),"Pakistan")</f>
        <v>Pakistan</v>
      </c>
      <c r="G75" s="30" t="str">
        <f t="shared" si="3"/>
        <v>W</v>
      </c>
      <c r="H75" s="30" t="str">
        <f t="shared" si="4"/>
        <v>L</v>
      </c>
      <c r="I75" s="24">
        <f t="shared" ref="I75:I76" si="9">9/14</f>
        <v>0.6428571429</v>
      </c>
      <c r="J75" s="24">
        <f t="shared" ref="J75:J76" si="10">5/14</f>
        <v>0.3571428571</v>
      </c>
      <c r="K75" s="25" t="s">
        <v>72</v>
      </c>
      <c r="L75" s="25">
        <v>170.0</v>
      </c>
      <c r="M75" s="25">
        <v>169.0</v>
      </c>
      <c r="N75" s="25" t="s">
        <v>58</v>
      </c>
      <c r="O75" s="27">
        <v>80.0</v>
      </c>
      <c r="P75" s="25">
        <v>-156.0</v>
      </c>
      <c r="Q75" s="25">
        <v>125.0</v>
      </c>
      <c r="R75" s="25">
        <f t="shared" si="1"/>
        <v>-15.5</v>
      </c>
      <c r="S75" s="28">
        <f>IFERROR(__xludf.DUMMYFUNCTION("IF(F75=""India"", FILTER(Weather!D:D,D75=Weather!C:C,E75=Weather!B:B), FILTER(Weather!D:D,D75=Weather!C:C,F75=Weather!A:A))"),35.0)</f>
        <v>35</v>
      </c>
      <c r="T75" s="28">
        <f>IFERROR(__xludf.DUMMYFUNCTION("IF(F75=""India"", FILTER(Weather!E:E,D75=Weather!C:C,E75=Weather!B:B),FILTER(Weather!E:E,D75=Weather!C:C,F75=Weather!A:A))"),23.9)</f>
        <v>23.9</v>
      </c>
      <c r="U75" s="28">
        <f>IFERROR(__xludf.DUMMYFUNCTION("IF(F75=""India"", FILTER(Weather!F:F,D75=Weather!C:C,E75=Weather!B:B),FILTER(Weather!F:F,D75=Weather!C:C,F75=Weather!A:A))"),19.5)</f>
        <v>19.5</v>
      </c>
      <c r="V75" s="25">
        <v>30.137999999999998</v>
      </c>
      <c r="W75" s="25">
        <v>100.968</v>
      </c>
      <c r="X75" s="25">
        <v>5.778333333333333</v>
      </c>
      <c r="Y75" s="25">
        <v>37.89333333333334</v>
      </c>
      <c r="Z75" s="25">
        <v>39.69166666666667</v>
      </c>
      <c r="AA75" s="25">
        <v>28.993333333333332</v>
      </c>
      <c r="AB75" s="25">
        <v>91.364</v>
      </c>
      <c r="AC75" s="25">
        <v>5.425454545454545</v>
      </c>
      <c r="AD75" s="25">
        <v>46.032727272727264</v>
      </c>
      <c r="AE75" s="25">
        <v>51.62</v>
      </c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</row>
    <row r="76" ht="15.75" hidden="1" customHeight="1">
      <c r="A76" s="25" t="s">
        <v>58</v>
      </c>
      <c r="B76" s="25" t="s">
        <v>59</v>
      </c>
      <c r="C76" s="30">
        <v>44832.0</v>
      </c>
      <c r="D76" s="25" t="s">
        <v>70</v>
      </c>
      <c r="E76" s="25" t="s">
        <v>80</v>
      </c>
      <c r="F76" s="12" t="str">
        <f>IFERROR(__xludf.DUMMYFUNCTION("FILTER(Stadium!$A$2:$A$61,E76=Stadium!$B$2:$B$61)"),"Pakistan")</f>
        <v>Pakistan</v>
      </c>
      <c r="G76" s="30" t="str">
        <f t="shared" si="3"/>
        <v>L</v>
      </c>
      <c r="H76" s="30" t="str">
        <f t="shared" si="4"/>
        <v>W</v>
      </c>
      <c r="I76" s="24">
        <f t="shared" si="9"/>
        <v>0.6428571429</v>
      </c>
      <c r="J76" s="24">
        <f t="shared" si="10"/>
        <v>0.3571428571</v>
      </c>
      <c r="K76" s="25" t="s">
        <v>72</v>
      </c>
      <c r="L76" s="25">
        <v>139.0</v>
      </c>
      <c r="M76" s="25">
        <v>145.0</v>
      </c>
      <c r="N76" s="25" t="s">
        <v>59</v>
      </c>
      <c r="O76" s="27">
        <f>(6/145)*100</f>
        <v>4.137931034</v>
      </c>
      <c r="P76" s="25">
        <v>-147.0</v>
      </c>
      <c r="Q76" s="25">
        <v>114.0</v>
      </c>
      <c r="R76" s="25">
        <f t="shared" si="1"/>
        <v>-16.5</v>
      </c>
      <c r="S76" s="28">
        <f>IFERROR(__xludf.DUMMYFUNCTION("IF(F76=""India"", FILTER(Weather!D:D,D76=Weather!C:C,E76=Weather!B:B), FILTER(Weather!D:D,D76=Weather!C:C,F76=Weather!A:A))"),35.0)</f>
        <v>35</v>
      </c>
      <c r="T76" s="28">
        <f>IFERROR(__xludf.DUMMYFUNCTION("IF(F76=""India"", FILTER(Weather!E:E,D76=Weather!C:C,E76=Weather!B:B),FILTER(Weather!E:E,D76=Weather!C:C,F76=Weather!A:A))"),23.9)</f>
        <v>23.9</v>
      </c>
      <c r="U76" s="28">
        <f>IFERROR(__xludf.DUMMYFUNCTION("IF(F76=""India"", FILTER(Weather!F:F,D76=Weather!C:C,E76=Weather!B:B),FILTER(Weather!F:F,D76=Weather!C:C,F76=Weather!A:A))"),19.5)</f>
        <v>19.5</v>
      </c>
      <c r="V76" s="25">
        <v>30.137999999999998</v>
      </c>
      <c r="W76" s="25">
        <v>100.968</v>
      </c>
      <c r="X76" s="25">
        <v>5.778333333333333</v>
      </c>
      <c r="Y76" s="25">
        <v>37.89333333333334</v>
      </c>
      <c r="Z76" s="25">
        <v>39.69166666666667</v>
      </c>
      <c r="AA76" s="25">
        <v>28.993333333333332</v>
      </c>
      <c r="AB76" s="25">
        <v>91.364</v>
      </c>
      <c r="AC76" s="25">
        <v>5.425454545454545</v>
      </c>
      <c r="AD76" s="25">
        <v>46.032727272727264</v>
      </c>
      <c r="AE76" s="25">
        <v>51.62</v>
      </c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</row>
    <row r="77" ht="15.75" hidden="1" customHeight="1">
      <c r="A77" s="25" t="s">
        <v>47</v>
      </c>
      <c r="B77" s="25" t="s">
        <v>54</v>
      </c>
      <c r="C77" s="30">
        <v>44832.0</v>
      </c>
      <c r="D77" s="25" t="s">
        <v>70</v>
      </c>
      <c r="E77" s="25" t="s">
        <v>91</v>
      </c>
      <c r="F77" s="12" t="str">
        <f>IFERROR(__xludf.DUMMYFUNCTION("FILTER(Stadium!$A$2:$A$61,E77=Stadium!$B$2:$B$61)"),"India")</f>
        <v>India</v>
      </c>
      <c r="G77" s="30" t="str">
        <f t="shared" si="3"/>
        <v>W</v>
      </c>
      <c r="H77" s="30" t="str">
        <f t="shared" si="4"/>
        <v>L</v>
      </c>
      <c r="I77" s="24">
        <v>2.8125</v>
      </c>
      <c r="J77" s="24">
        <v>1.0909090909090908</v>
      </c>
      <c r="K77" s="25" t="s">
        <v>72</v>
      </c>
      <c r="L77" s="25">
        <v>110.0</v>
      </c>
      <c r="M77" s="25">
        <v>106.0</v>
      </c>
      <c r="N77" s="25" t="s">
        <v>47</v>
      </c>
      <c r="O77" s="27">
        <v>80.0</v>
      </c>
      <c r="P77" s="25">
        <v>-204.0</v>
      </c>
      <c r="Q77" s="25">
        <v>158.0</v>
      </c>
      <c r="R77" s="25">
        <f t="shared" si="1"/>
        <v>-23</v>
      </c>
      <c r="S77" s="28">
        <f>IFERROR(__xludf.DUMMYFUNCTION("IF(F77=""India"", FILTER(Weather!D:D,D77=Weather!C:C,E77=Weather!B:B), FILTER(Weather!D:D,D77=Weather!C:C,F77=Weather!A:A))"),30.1)</f>
        <v>30.1</v>
      </c>
      <c r="T77" s="28">
        <f>IFERROR(__xludf.DUMMYFUNCTION("IF(F77=""India"", FILTER(Weather!E:E,D77=Weather!C:C,E77=Weather!B:B),FILTER(Weather!E:E,D77=Weather!C:C,F77=Weather!A:A))"),24.7)</f>
        <v>24.7</v>
      </c>
      <c r="U77" s="28">
        <f>IFERROR(__xludf.DUMMYFUNCTION("IF(F77=""India"", FILTER(Weather!F:F,D77=Weather!C:C,E77=Weather!B:B),FILTER(Weather!F:F,D77=Weather!C:C,F77=Weather!A:A))"),227.1)</f>
        <v>227.1</v>
      </c>
      <c r="V77" s="15">
        <v>29.216249999999995</v>
      </c>
      <c r="W77" s="15">
        <v>82.43625</v>
      </c>
      <c r="X77" s="25">
        <v>5.422499999999999</v>
      </c>
      <c r="Y77" s="25">
        <v>40.535</v>
      </c>
      <c r="Z77" s="25">
        <v>43.995000000000005</v>
      </c>
      <c r="AA77" s="25">
        <v>29.26</v>
      </c>
      <c r="AB77" s="25">
        <v>86.99071428571429</v>
      </c>
      <c r="AC77" s="25">
        <v>5.596923076923077</v>
      </c>
      <c r="AD77" s="25">
        <v>26.36384615384615</v>
      </c>
      <c r="AE77" s="25">
        <v>26.93846153846153</v>
      </c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</row>
    <row r="78" ht="15.75" hidden="1" customHeight="1">
      <c r="A78" s="25" t="s">
        <v>58</v>
      </c>
      <c r="B78" s="25" t="s">
        <v>59</v>
      </c>
      <c r="C78" s="30">
        <v>44829.0</v>
      </c>
      <c r="D78" s="25" t="s">
        <v>70</v>
      </c>
      <c r="E78" s="25" t="s">
        <v>99</v>
      </c>
      <c r="F78" s="12" t="str">
        <f>IFERROR(__xludf.DUMMYFUNCTION("FILTER(Stadium!$A$2:$A$61,E78=Stadium!$B$2:$B$61)"),"Pakistan")</f>
        <v>Pakistan</v>
      </c>
      <c r="G78" s="30" t="str">
        <f t="shared" si="3"/>
        <v>L</v>
      </c>
      <c r="H78" s="30" t="str">
        <f t="shared" si="4"/>
        <v>W</v>
      </c>
      <c r="I78" s="24">
        <f>9/14</f>
        <v>0.6428571429</v>
      </c>
      <c r="J78" s="24">
        <f>5/14</f>
        <v>0.3571428571</v>
      </c>
      <c r="K78" s="25" t="s">
        <v>72</v>
      </c>
      <c r="L78" s="25">
        <v>163.0</v>
      </c>
      <c r="M78" s="25">
        <v>166.0</v>
      </c>
      <c r="N78" s="25" t="s">
        <v>59</v>
      </c>
      <c r="O78" s="27">
        <f>(3/163)*100</f>
        <v>1.840490798</v>
      </c>
      <c r="P78" s="25">
        <v>-139.0</v>
      </c>
      <c r="Q78" s="25">
        <v>110.0</v>
      </c>
      <c r="R78" s="25">
        <f t="shared" si="1"/>
        <v>-14.5</v>
      </c>
      <c r="S78" s="28">
        <f>IFERROR(__xludf.DUMMYFUNCTION("IF(F78=""India"", FILTER(Weather!D:D,D78=Weather!C:C,E78=Weather!B:B), FILTER(Weather!D:D,D78=Weather!C:C,F78=Weather!A:A))"),35.0)</f>
        <v>35</v>
      </c>
      <c r="T78" s="28">
        <f>IFERROR(__xludf.DUMMYFUNCTION("IF(F78=""India"", FILTER(Weather!E:E,D78=Weather!C:C,E78=Weather!B:B),FILTER(Weather!E:E,D78=Weather!C:C,F78=Weather!A:A))"),23.9)</f>
        <v>23.9</v>
      </c>
      <c r="U78" s="28">
        <f>IFERROR(__xludf.DUMMYFUNCTION("IF(F78=""India"", FILTER(Weather!F:F,D78=Weather!C:C,E78=Weather!B:B),FILTER(Weather!F:F,D78=Weather!C:C,F78=Weather!A:A))"),19.5)</f>
        <v>19.5</v>
      </c>
      <c r="V78" s="25">
        <v>30.137999999999998</v>
      </c>
      <c r="W78" s="25">
        <v>100.968</v>
      </c>
      <c r="X78" s="25">
        <v>5.778333333333333</v>
      </c>
      <c r="Y78" s="25">
        <v>37.89333333333334</v>
      </c>
      <c r="Z78" s="25">
        <v>39.69166666666667</v>
      </c>
      <c r="AA78" s="25">
        <v>28.993333333333332</v>
      </c>
      <c r="AB78" s="25">
        <v>91.364</v>
      </c>
      <c r="AC78" s="25">
        <v>5.425454545454545</v>
      </c>
      <c r="AD78" s="25">
        <v>46.032727272727264</v>
      </c>
      <c r="AE78" s="25">
        <v>51.62</v>
      </c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</row>
    <row r="79" ht="15.75" hidden="1" customHeight="1">
      <c r="A79" s="25" t="s">
        <v>47</v>
      </c>
      <c r="B79" s="25" t="s">
        <v>48</v>
      </c>
      <c r="C79" s="30">
        <v>44829.0</v>
      </c>
      <c r="D79" s="25" t="s">
        <v>70</v>
      </c>
      <c r="E79" s="25" t="s">
        <v>67</v>
      </c>
      <c r="F79" s="12" t="str">
        <f>IFERROR(__xludf.DUMMYFUNCTION("FILTER(Stadium!$A$2:$A$61,E79=Stadium!$B$2:$B$61)"),"India")</f>
        <v>India</v>
      </c>
      <c r="G79" s="30" t="str">
        <f t="shared" si="3"/>
        <v>W</v>
      </c>
      <c r="H79" s="30" t="str">
        <f t="shared" si="4"/>
        <v>L</v>
      </c>
      <c r="I79" s="24">
        <f>7/9</f>
        <v>0.7777777778</v>
      </c>
      <c r="J79" s="24">
        <f>2/9</f>
        <v>0.2222222222</v>
      </c>
      <c r="K79" s="25" t="s">
        <v>72</v>
      </c>
      <c r="L79" s="25">
        <v>187.0</v>
      </c>
      <c r="M79" s="25">
        <v>186.0</v>
      </c>
      <c r="N79" s="25" t="s">
        <v>47</v>
      </c>
      <c r="O79" s="27">
        <v>60.0</v>
      </c>
      <c r="P79" s="25">
        <v>-192.0</v>
      </c>
      <c r="Q79" s="25">
        <v>150.0</v>
      </c>
      <c r="R79" s="25">
        <f t="shared" si="1"/>
        <v>-21</v>
      </c>
      <c r="S79" s="28">
        <f>IFERROR(__xludf.DUMMYFUNCTION("IF(F79=""India"", FILTER(Weather!D:D,D79=Weather!C:C,E79=Weather!B:B), FILTER(Weather!D:D,D79=Weather!C:C,F79=Weather!A:A))"),26.7)</f>
        <v>26.7</v>
      </c>
      <c r="T79" s="28">
        <f>IFERROR(__xludf.DUMMYFUNCTION("IF(F79=""India"", FILTER(Weather!E:E,D79=Weather!C:C,E79=Weather!B:B),FILTER(Weather!E:E,D79=Weather!C:C,F79=Weather!A:A))"),22.3)</f>
        <v>22.3</v>
      </c>
      <c r="U79" s="28">
        <f>IFERROR(__xludf.DUMMYFUNCTION("IF(F79=""India"", FILTER(Weather!F:F,D79=Weather!C:C,E79=Weather!B:B),FILTER(Weather!F:F,D79=Weather!C:C,F79=Weather!A:A))"),8.4)</f>
        <v>8.4</v>
      </c>
      <c r="V79" s="15">
        <v>29.216249999999995</v>
      </c>
      <c r="W79" s="15">
        <v>82.43625</v>
      </c>
      <c r="X79" s="25">
        <v>5.422499999999999</v>
      </c>
      <c r="Y79" s="25">
        <v>40.535</v>
      </c>
      <c r="Z79" s="25">
        <v>43.995000000000005</v>
      </c>
      <c r="AA79" s="25">
        <v>27.727333333333334</v>
      </c>
      <c r="AB79" s="25">
        <v>92.17733333333332</v>
      </c>
      <c r="AC79" s="25">
        <v>5.772307692307693</v>
      </c>
      <c r="AD79" s="25">
        <v>39.89076923076924</v>
      </c>
      <c r="AE79" s="25">
        <v>41.56384615384616</v>
      </c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</row>
    <row r="80" ht="15.75" hidden="1" customHeight="1">
      <c r="A80" s="25" t="s">
        <v>58</v>
      </c>
      <c r="B80" s="25" t="s">
        <v>59</v>
      </c>
      <c r="C80" s="30">
        <v>44827.0</v>
      </c>
      <c r="D80" s="25" t="s">
        <v>70</v>
      </c>
      <c r="E80" s="25" t="s">
        <v>99</v>
      </c>
      <c r="F80" s="12" t="str">
        <f>IFERROR(__xludf.DUMMYFUNCTION("FILTER(Stadium!$A$2:$A$61,E80=Stadium!$B$2:$B$61)"),"Pakistan")</f>
        <v>Pakistan</v>
      </c>
      <c r="G80" s="30" t="str">
        <f t="shared" si="3"/>
        <v>W</v>
      </c>
      <c r="H80" s="30" t="str">
        <f t="shared" si="4"/>
        <v>L</v>
      </c>
      <c r="I80" s="24">
        <f>9/14</f>
        <v>0.6428571429</v>
      </c>
      <c r="J80" s="24">
        <f>5/14</f>
        <v>0.3571428571</v>
      </c>
      <c r="K80" s="25" t="s">
        <v>72</v>
      </c>
      <c r="L80" s="25">
        <v>221.0</v>
      </c>
      <c r="M80" s="25">
        <v>158.0</v>
      </c>
      <c r="N80" s="25" t="s">
        <v>58</v>
      </c>
      <c r="O80" s="27">
        <f>(63/221)*100</f>
        <v>28.50678733</v>
      </c>
      <c r="P80" s="25">
        <v>110.0</v>
      </c>
      <c r="Q80" s="25">
        <v>-141.0</v>
      </c>
      <c r="R80" s="25">
        <f t="shared" si="1"/>
        <v>-15.5</v>
      </c>
      <c r="S80" s="28">
        <f>IFERROR(__xludf.DUMMYFUNCTION("IF(F80=""India"", FILTER(Weather!D:D,D80=Weather!C:C,E80=Weather!B:B), FILTER(Weather!D:D,D80=Weather!C:C,F80=Weather!A:A))"),35.0)</f>
        <v>35</v>
      </c>
      <c r="T80" s="28">
        <f>IFERROR(__xludf.DUMMYFUNCTION("IF(F80=""India"", FILTER(Weather!E:E,D80=Weather!C:C,E80=Weather!B:B),FILTER(Weather!E:E,D80=Weather!C:C,F80=Weather!A:A))"),23.9)</f>
        <v>23.9</v>
      </c>
      <c r="U80" s="28">
        <f>IFERROR(__xludf.DUMMYFUNCTION("IF(F80=""India"", FILTER(Weather!F:F,D80=Weather!C:C,E80=Weather!B:B),FILTER(Weather!F:F,D80=Weather!C:C,F80=Weather!A:A))"),19.5)</f>
        <v>19.5</v>
      </c>
      <c r="V80" s="25">
        <v>30.137999999999998</v>
      </c>
      <c r="W80" s="25">
        <v>100.968</v>
      </c>
      <c r="X80" s="25">
        <v>5.778333333333333</v>
      </c>
      <c r="Y80" s="25">
        <v>37.89333333333334</v>
      </c>
      <c r="Z80" s="25">
        <v>39.69166666666667</v>
      </c>
      <c r="AA80" s="25">
        <v>28.993333333333332</v>
      </c>
      <c r="AB80" s="25">
        <v>91.364</v>
      </c>
      <c r="AC80" s="25">
        <v>5.425454545454545</v>
      </c>
      <c r="AD80" s="25">
        <v>46.032727272727264</v>
      </c>
      <c r="AE80" s="25">
        <v>51.62</v>
      </c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</row>
    <row r="81" ht="15.75" hidden="1" customHeight="1">
      <c r="A81" s="25" t="s">
        <v>47</v>
      </c>
      <c r="B81" s="25" t="s">
        <v>48</v>
      </c>
      <c r="C81" s="30">
        <v>44827.0</v>
      </c>
      <c r="D81" s="25" t="s">
        <v>70</v>
      </c>
      <c r="E81" s="25" t="s">
        <v>100</v>
      </c>
      <c r="F81" s="12" t="str">
        <f>IFERROR(__xludf.DUMMYFUNCTION("FILTER(Stadium!$A$2:$A$61,E81=Stadium!$B$2:$B$61)"),"India")</f>
        <v>India</v>
      </c>
      <c r="G81" s="30" t="str">
        <f t="shared" si="3"/>
        <v>W</v>
      </c>
      <c r="H81" s="30" t="str">
        <f t="shared" si="4"/>
        <v>L</v>
      </c>
      <c r="I81" s="24">
        <f>7/9</f>
        <v>0.7777777778</v>
      </c>
      <c r="J81" s="24">
        <f>2/9</f>
        <v>0.2222222222</v>
      </c>
      <c r="K81" s="25" t="s">
        <v>72</v>
      </c>
      <c r="L81" s="25">
        <v>92.0</v>
      </c>
      <c r="M81" s="25">
        <v>90.0</v>
      </c>
      <c r="N81" s="25" t="s">
        <v>47</v>
      </c>
      <c r="O81" s="27">
        <v>60.0</v>
      </c>
      <c r="P81" s="25">
        <v>-182.0</v>
      </c>
      <c r="Q81" s="25">
        <v>144.0</v>
      </c>
      <c r="R81" s="25">
        <f t="shared" si="1"/>
        <v>-19</v>
      </c>
      <c r="S81" s="28">
        <f>IFERROR(__xludf.DUMMYFUNCTION("IF(F81=""India"", FILTER(Weather!D:D,D81=Weather!C:C,E81=Weather!B:B), FILTER(Weather!D:D,D81=Weather!C:C,F81=Weather!A:A))"),34.8)</f>
        <v>34.8</v>
      </c>
      <c r="T81" s="28">
        <f>IFERROR(__xludf.DUMMYFUNCTION("IF(F81=""India"", FILTER(Weather!E:E,D81=Weather!C:C,E81=Weather!B:B),FILTER(Weather!E:E,D81=Weather!C:C,F81=Weather!A:A))"),27.6)</f>
        <v>27.6</v>
      </c>
      <c r="U81" s="28">
        <f>IFERROR(__xludf.DUMMYFUNCTION("IF(F81=""India"", FILTER(Weather!F:F,D81=Weather!C:C,E81=Weather!B:B),FILTER(Weather!F:F,D81=Weather!C:C,F81=Weather!A:A))"),249.6)</f>
        <v>249.6</v>
      </c>
      <c r="V81" s="15">
        <v>29.216249999999995</v>
      </c>
      <c r="W81" s="15">
        <v>82.43625</v>
      </c>
      <c r="X81" s="25">
        <v>5.422499999999999</v>
      </c>
      <c r="Y81" s="25">
        <v>40.535</v>
      </c>
      <c r="Z81" s="25">
        <v>43.995000000000005</v>
      </c>
      <c r="AA81" s="25">
        <v>27.727333333333334</v>
      </c>
      <c r="AB81" s="25">
        <v>92.17733333333332</v>
      </c>
      <c r="AC81" s="25">
        <v>5.772307692307693</v>
      </c>
      <c r="AD81" s="25">
        <v>39.89076923076924</v>
      </c>
      <c r="AE81" s="25">
        <v>41.56384615384616</v>
      </c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</row>
    <row r="82" ht="15.75" hidden="1" customHeight="1">
      <c r="A82" s="25" t="s">
        <v>58</v>
      </c>
      <c r="B82" s="25" t="s">
        <v>59</v>
      </c>
      <c r="C82" s="30">
        <v>44826.0</v>
      </c>
      <c r="D82" s="25" t="s">
        <v>70</v>
      </c>
      <c r="E82" s="25" t="s">
        <v>99</v>
      </c>
      <c r="F82" s="12" t="str">
        <f>IFERROR(__xludf.DUMMYFUNCTION("FILTER(Stadium!$A$2:$A$61,E82=Stadium!$B$2:$B$61)"),"Pakistan")</f>
        <v>Pakistan</v>
      </c>
      <c r="G82" s="30" t="str">
        <f t="shared" si="3"/>
        <v>L</v>
      </c>
      <c r="H82" s="30" t="str">
        <f t="shared" si="4"/>
        <v>W</v>
      </c>
      <c r="I82" s="24">
        <f t="shared" ref="I82:I83" si="11">9/14</f>
        <v>0.6428571429</v>
      </c>
      <c r="J82" s="24">
        <f t="shared" ref="J82:J83" si="12">5/14</f>
        <v>0.3571428571</v>
      </c>
      <c r="K82" s="25" t="s">
        <v>72</v>
      </c>
      <c r="L82" s="25">
        <v>199.0</v>
      </c>
      <c r="M82" s="25">
        <v>203.0</v>
      </c>
      <c r="N82" s="25" t="s">
        <v>59</v>
      </c>
      <c r="O82" s="27">
        <v>100.0</v>
      </c>
      <c r="P82" s="25">
        <v>100.0</v>
      </c>
      <c r="Q82" s="25">
        <v>-127.0</v>
      </c>
      <c r="R82" s="25">
        <f t="shared" si="1"/>
        <v>-13.5</v>
      </c>
      <c r="S82" s="28">
        <f>IFERROR(__xludf.DUMMYFUNCTION("IF(F82=""India"", FILTER(Weather!D:D,D82=Weather!C:C,E82=Weather!B:B), FILTER(Weather!D:D,D82=Weather!C:C,F82=Weather!A:A))"),35.0)</f>
        <v>35</v>
      </c>
      <c r="T82" s="28">
        <f>IFERROR(__xludf.DUMMYFUNCTION("IF(F82=""India"", FILTER(Weather!E:E,D82=Weather!C:C,E82=Weather!B:B),FILTER(Weather!E:E,D82=Weather!C:C,F82=Weather!A:A))"),23.9)</f>
        <v>23.9</v>
      </c>
      <c r="U82" s="28">
        <f>IFERROR(__xludf.DUMMYFUNCTION("IF(F82=""India"", FILTER(Weather!F:F,D82=Weather!C:C,E82=Weather!B:B),FILTER(Weather!F:F,D82=Weather!C:C,F82=Weather!A:A))"),19.5)</f>
        <v>19.5</v>
      </c>
      <c r="V82" s="25">
        <v>30.137999999999998</v>
      </c>
      <c r="W82" s="25">
        <v>100.968</v>
      </c>
      <c r="X82" s="25">
        <v>5.778333333333333</v>
      </c>
      <c r="Y82" s="25">
        <v>37.89333333333334</v>
      </c>
      <c r="Z82" s="25">
        <v>39.69166666666667</v>
      </c>
      <c r="AA82" s="25">
        <v>28.993333333333332</v>
      </c>
      <c r="AB82" s="25">
        <v>91.364</v>
      </c>
      <c r="AC82" s="25">
        <v>5.425454545454545</v>
      </c>
      <c r="AD82" s="25">
        <v>46.032727272727264</v>
      </c>
      <c r="AE82" s="25">
        <v>51.62</v>
      </c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</row>
    <row r="83" ht="15.75" hidden="1" customHeight="1">
      <c r="A83" s="25" t="s">
        <v>58</v>
      </c>
      <c r="B83" s="25" t="s">
        <v>59</v>
      </c>
      <c r="C83" s="30">
        <v>44824.0</v>
      </c>
      <c r="D83" s="25" t="s">
        <v>70</v>
      </c>
      <c r="E83" s="25" t="s">
        <v>99</v>
      </c>
      <c r="F83" s="12" t="str">
        <f>IFERROR(__xludf.DUMMYFUNCTION("FILTER(Stadium!$A$2:$A$61,E83=Stadium!$B$2:$B$61)"),"Pakistan")</f>
        <v>Pakistan</v>
      </c>
      <c r="G83" s="30" t="str">
        <f t="shared" si="3"/>
        <v>W</v>
      </c>
      <c r="H83" s="30" t="str">
        <f t="shared" si="4"/>
        <v>L</v>
      </c>
      <c r="I83" s="24">
        <f t="shared" si="11"/>
        <v>0.6428571429</v>
      </c>
      <c r="J83" s="24">
        <f t="shared" si="12"/>
        <v>0.3571428571</v>
      </c>
      <c r="K83" s="25" t="s">
        <v>72</v>
      </c>
      <c r="L83" s="25">
        <v>160.0</v>
      </c>
      <c r="M83" s="25">
        <v>158.0</v>
      </c>
      <c r="N83" s="25" t="s">
        <v>58</v>
      </c>
      <c r="O83" s="27">
        <v>60.0</v>
      </c>
      <c r="P83" s="25">
        <v>-115.0</v>
      </c>
      <c r="Q83" s="25">
        <v>-110.0</v>
      </c>
      <c r="R83" s="25">
        <f t="shared" si="1"/>
        <v>-112.5</v>
      </c>
      <c r="S83" s="28">
        <f>IFERROR(__xludf.DUMMYFUNCTION("IF(F83=""India"", FILTER(Weather!D:D,D83=Weather!C:C,E83=Weather!B:B), FILTER(Weather!D:D,D83=Weather!C:C,F83=Weather!A:A))"),35.0)</f>
        <v>35</v>
      </c>
      <c r="T83" s="28">
        <f>IFERROR(__xludf.DUMMYFUNCTION("IF(F83=""India"", FILTER(Weather!E:E,D83=Weather!C:C,E83=Weather!B:B),FILTER(Weather!E:E,D83=Weather!C:C,F83=Weather!A:A))"),23.9)</f>
        <v>23.9</v>
      </c>
      <c r="U83" s="28">
        <f>IFERROR(__xludf.DUMMYFUNCTION("IF(F83=""India"", FILTER(Weather!F:F,D83=Weather!C:C,E83=Weather!B:B),FILTER(Weather!F:F,D83=Weather!C:C,F83=Weather!A:A))"),19.5)</f>
        <v>19.5</v>
      </c>
      <c r="V83" s="25">
        <v>30.137999999999998</v>
      </c>
      <c r="W83" s="25">
        <v>100.968</v>
      </c>
      <c r="X83" s="25">
        <v>5.778333333333333</v>
      </c>
      <c r="Y83" s="25">
        <v>37.89333333333334</v>
      </c>
      <c r="Z83" s="25">
        <v>39.69166666666667</v>
      </c>
      <c r="AA83" s="25">
        <v>28.993333333333332</v>
      </c>
      <c r="AB83" s="25">
        <v>91.364</v>
      </c>
      <c r="AC83" s="25">
        <v>5.425454545454545</v>
      </c>
      <c r="AD83" s="25">
        <v>46.032727272727264</v>
      </c>
      <c r="AE83" s="25">
        <v>51.62</v>
      </c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</row>
    <row r="84" ht="15.75" hidden="1" customHeight="1">
      <c r="A84" s="25" t="s">
        <v>47</v>
      </c>
      <c r="B84" s="25" t="s">
        <v>48</v>
      </c>
      <c r="C84" s="30">
        <v>44824.0</v>
      </c>
      <c r="D84" s="25" t="s">
        <v>70</v>
      </c>
      <c r="E84" s="25" t="s">
        <v>101</v>
      </c>
      <c r="F84" s="12" t="str">
        <f>IFERROR(__xludf.DUMMYFUNCTION("FILTER(Stadium!$A$2:$A$61,E84=Stadium!$B$2:$B$61)"),"India")</f>
        <v>India</v>
      </c>
      <c r="G84" s="30" t="str">
        <f t="shared" si="3"/>
        <v>L</v>
      </c>
      <c r="H84" s="30" t="str">
        <f t="shared" si="4"/>
        <v>W</v>
      </c>
      <c r="I84" s="24">
        <f>7/9</f>
        <v>0.7777777778</v>
      </c>
      <c r="J84" s="24">
        <f>2/9</f>
        <v>0.2222222222</v>
      </c>
      <c r="K84" s="25" t="s">
        <v>72</v>
      </c>
      <c r="L84" s="25">
        <v>208.0</v>
      </c>
      <c r="M84" s="25">
        <v>211.0</v>
      </c>
      <c r="N84" s="25" t="s">
        <v>48</v>
      </c>
      <c r="O84" s="27">
        <v>40.0</v>
      </c>
      <c r="P84" s="25">
        <v>-169.0</v>
      </c>
      <c r="Q84" s="25">
        <v>133.0</v>
      </c>
      <c r="R84" s="25">
        <f t="shared" si="1"/>
        <v>-18</v>
      </c>
      <c r="S84" s="28">
        <f>IFERROR(__xludf.DUMMYFUNCTION("IF(F84=""India"", FILTER(Weather!D:D,D84=Weather!C:C,E84=Weather!B:B), FILTER(Weather!D:D,D84=Weather!C:C,F84=Weather!A:A))"),32.8)</f>
        <v>32.8</v>
      </c>
      <c r="T84" s="28">
        <f>IFERROR(__xludf.DUMMYFUNCTION("IF(F84=""India"", FILTER(Weather!E:E,D84=Weather!C:C,E84=Weather!B:B),FILTER(Weather!E:E,D84=Weather!C:C,F84=Weather!A:A))"),20.6)</f>
        <v>20.6</v>
      </c>
      <c r="U84" s="28">
        <f>IFERROR(__xludf.DUMMYFUNCTION("IF(F84=""India"", FILTER(Weather!F:F,D84=Weather!C:C,E84=Weather!B:B),FILTER(Weather!F:F,D84=Weather!C:C,F84=Weather!A:A))"),258.8)</f>
        <v>258.8</v>
      </c>
      <c r="V84" s="15">
        <v>29.216249999999995</v>
      </c>
      <c r="W84" s="15">
        <v>82.43625</v>
      </c>
      <c r="X84" s="25">
        <v>5.422499999999999</v>
      </c>
      <c r="Y84" s="25">
        <v>40.535</v>
      </c>
      <c r="Z84" s="25">
        <v>43.995000000000005</v>
      </c>
      <c r="AA84" s="25">
        <v>27.727333333333334</v>
      </c>
      <c r="AB84" s="25">
        <v>92.17733333333332</v>
      </c>
      <c r="AC84" s="25">
        <v>5.772307692307693</v>
      </c>
      <c r="AD84" s="25">
        <v>39.89076923076924</v>
      </c>
      <c r="AE84" s="25">
        <v>41.56384615384616</v>
      </c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</row>
    <row r="85" ht="15.75" hidden="1" customHeight="1">
      <c r="A85" s="25" t="s">
        <v>54</v>
      </c>
      <c r="B85" s="25" t="s">
        <v>58</v>
      </c>
      <c r="C85" s="30">
        <v>44773.0</v>
      </c>
      <c r="D85" s="25" t="s">
        <v>102</v>
      </c>
      <c r="E85" s="25" t="s">
        <v>103</v>
      </c>
      <c r="F85" s="12" t="str">
        <f>IFERROR(__xludf.DUMMYFUNCTION("FILTER(Stadium!$A$2:$A$61,E85=Stadium!$B$2:$B$61)"),"England")</f>
        <v>England</v>
      </c>
      <c r="G85" s="30" t="str">
        <f t="shared" si="3"/>
        <v>W</v>
      </c>
      <c r="H85" s="30" t="str">
        <f t="shared" si="4"/>
        <v>L</v>
      </c>
      <c r="I85" s="24">
        <v>1.0909090909090908</v>
      </c>
      <c r="J85" s="24">
        <f>VLOOKUP(B85, 'WL Ratio Table'!$A$6:$D$9, 4, FALSE)</f>
        <v>1.384615385</v>
      </c>
      <c r="K85" s="25" t="s">
        <v>72</v>
      </c>
      <c r="L85" s="25">
        <v>191.0</v>
      </c>
      <c r="M85" s="25">
        <v>101.0</v>
      </c>
      <c r="N85" s="25" t="s">
        <v>54</v>
      </c>
      <c r="O85" s="27">
        <f>(90/191)*100</f>
        <v>47.12041885</v>
      </c>
      <c r="P85" s="25">
        <v>144.0</v>
      </c>
      <c r="Q85" s="25">
        <v>-192.0</v>
      </c>
      <c r="R85" s="25">
        <f t="shared" si="1"/>
        <v>-24</v>
      </c>
      <c r="S85" s="28">
        <f>IFERROR(__xludf.DUMMYFUNCTION("IF(F85=""India"", FILTER(Weather!D:D,D85=Weather!C:C,E85=Weather!B:B), FILTER(Weather!D:D,D85=Weather!C:C,F85=Weather!A:A))"),22.5)</f>
        <v>22.5</v>
      </c>
      <c r="T85" s="28">
        <f>IFERROR(__xludf.DUMMYFUNCTION("IF(F85=""India"", FILTER(Weather!E:E,D85=Weather!C:C,E85=Weather!B:B),FILTER(Weather!E:E,D85=Weather!C:C,F85=Weather!A:A))"),12.0)</f>
        <v>12</v>
      </c>
      <c r="U85" s="28">
        <f>IFERROR(__xludf.DUMMYFUNCTION("IF(F85=""India"", FILTER(Weather!F:F,D85=Weather!C:C,E85=Weather!B:B),FILTER(Weather!F:F,D85=Weather!C:C,F85=Weather!A:A))"),45.8)</f>
        <v>45.8</v>
      </c>
      <c r="V85" s="25">
        <v>29.26</v>
      </c>
      <c r="W85" s="25">
        <v>86.99071428571429</v>
      </c>
      <c r="X85" s="25">
        <v>5.596923076923077</v>
      </c>
      <c r="Y85" s="25">
        <v>26.36384615384615</v>
      </c>
      <c r="Z85" s="25">
        <v>26.93846153846153</v>
      </c>
      <c r="AA85" s="25">
        <v>30.137999999999998</v>
      </c>
      <c r="AB85" s="25">
        <v>100.968</v>
      </c>
      <c r="AC85" s="25">
        <v>5.778333333333333</v>
      </c>
      <c r="AD85" s="25">
        <v>37.89333333333334</v>
      </c>
      <c r="AE85" s="25">
        <v>39.69166666666667</v>
      </c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</row>
    <row r="86" ht="15.75" hidden="1" customHeight="1">
      <c r="A86" s="25" t="s">
        <v>54</v>
      </c>
      <c r="B86" s="25" t="s">
        <v>58</v>
      </c>
      <c r="C86" s="30">
        <v>44770.0</v>
      </c>
      <c r="D86" s="25" t="s">
        <v>102</v>
      </c>
      <c r="E86" s="25" t="s">
        <v>104</v>
      </c>
      <c r="F86" s="12" t="str">
        <f>IFERROR(__xludf.DUMMYFUNCTION("FILTER(Stadium!$A$2:$A$61,E86=Stadium!$B$2:$B$61)"),"Wales")</f>
        <v>Wales</v>
      </c>
      <c r="G86" s="30" t="str">
        <f t="shared" si="3"/>
        <v>W</v>
      </c>
      <c r="H86" s="30" t="str">
        <f t="shared" si="4"/>
        <v>L</v>
      </c>
      <c r="I86" s="24">
        <v>1.0909090909090908</v>
      </c>
      <c r="J86" s="24">
        <f>VLOOKUP(B86, 'WL Ratio Table'!$A$6:$D$9, 4, FALSE)</f>
        <v>1.384615385</v>
      </c>
      <c r="K86" s="25" t="s">
        <v>72</v>
      </c>
      <c r="L86" s="25">
        <v>207.0</v>
      </c>
      <c r="M86" s="25">
        <v>149.0</v>
      </c>
      <c r="N86" s="25" t="s">
        <v>54</v>
      </c>
      <c r="O86" s="27">
        <f>(58/207)*100</f>
        <v>28.01932367</v>
      </c>
      <c r="P86" s="25">
        <v>167.0</v>
      </c>
      <c r="Q86" s="25">
        <v>-227.0</v>
      </c>
      <c r="R86" s="25">
        <f t="shared" si="1"/>
        <v>-30</v>
      </c>
      <c r="S86" s="28">
        <f>IFERROR(__xludf.DUMMYFUNCTION("IF(F86=""India"", FILTER(Weather!D:D,D86=Weather!C:C,E86=Weather!B:B), FILTER(Weather!D:D,D86=Weather!C:C,F86=Weather!A:A))"),19.9)</f>
        <v>19.9</v>
      </c>
      <c r="T86" s="28">
        <f>IFERROR(__xludf.DUMMYFUNCTION("IF(F86=""India"", FILTER(Weather!E:E,D86=Weather!C:C,E86=Weather!B:B),FILTER(Weather!E:E,D86=Weather!C:C,F86=Weather!A:A))"),11.2)</f>
        <v>11.2</v>
      </c>
      <c r="U86" s="28">
        <f>IFERROR(__xludf.DUMMYFUNCTION("IF(F86=""India"", FILTER(Weather!F:F,D86=Weather!C:C,E86=Weather!B:B),FILTER(Weather!F:F,D86=Weather!C:C,F86=Weather!A:A))"),83.6)</f>
        <v>83.6</v>
      </c>
      <c r="V86" s="25">
        <v>29.26</v>
      </c>
      <c r="W86" s="25">
        <v>86.99071428571429</v>
      </c>
      <c r="X86" s="25">
        <v>5.596923076923077</v>
      </c>
      <c r="Y86" s="25">
        <v>26.36384615384615</v>
      </c>
      <c r="Z86" s="25">
        <v>26.93846153846153</v>
      </c>
      <c r="AA86" s="25">
        <v>30.137999999999998</v>
      </c>
      <c r="AB86" s="25">
        <v>100.968</v>
      </c>
      <c r="AC86" s="25">
        <v>5.778333333333333</v>
      </c>
      <c r="AD86" s="25">
        <v>37.89333333333334</v>
      </c>
      <c r="AE86" s="25">
        <v>39.69166666666667</v>
      </c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</row>
    <row r="87" ht="15.75" hidden="1" customHeight="1">
      <c r="A87" s="25" t="s">
        <v>54</v>
      </c>
      <c r="B87" s="25" t="s">
        <v>58</v>
      </c>
      <c r="C87" s="30">
        <v>44769.0</v>
      </c>
      <c r="D87" s="25" t="s">
        <v>102</v>
      </c>
      <c r="E87" s="25" t="s">
        <v>105</v>
      </c>
      <c r="F87" s="12" t="str">
        <f>IFERROR(__xludf.DUMMYFUNCTION("FILTER(Stadium!$A$2:$A$61,E87=Stadium!$B$2:$B$61)"),"England")</f>
        <v>England</v>
      </c>
      <c r="G87" s="30" t="str">
        <f t="shared" si="3"/>
        <v>L</v>
      </c>
      <c r="H87" s="30" t="str">
        <f t="shared" si="4"/>
        <v>W</v>
      </c>
      <c r="I87" s="24">
        <v>1.0909090909090908</v>
      </c>
      <c r="J87" s="24">
        <f>VLOOKUP(B87, 'WL Ratio Table'!$A$6:$D$9, 4, FALSE)</f>
        <v>1.384615385</v>
      </c>
      <c r="K87" s="25" t="s">
        <v>72</v>
      </c>
      <c r="L87" s="25">
        <v>193.0</v>
      </c>
      <c r="M87" s="25">
        <v>234.0</v>
      </c>
      <c r="N87" s="25" t="s">
        <v>58</v>
      </c>
      <c r="O87" s="27">
        <f>(41/234)*100</f>
        <v>17.52136752</v>
      </c>
      <c r="P87" s="25">
        <v>131.0</v>
      </c>
      <c r="Q87" s="25">
        <v>-175.0</v>
      </c>
      <c r="R87" s="25">
        <f t="shared" si="1"/>
        <v>-22</v>
      </c>
      <c r="S87" s="28">
        <f>IFERROR(__xludf.DUMMYFUNCTION("IF(F87=""India"", FILTER(Weather!D:D,D87=Weather!C:C,E87=Weather!B:B), FILTER(Weather!D:D,D87=Weather!C:C,F87=Weather!A:A))"),22.5)</f>
        <v>22.5</v>
      </c>
      <c r="T87" s="28">
        <f>IFERROR(__xludf.DUMMYFUNCTION("IF(F87=""India"", FILTER(Weather!E:E,D87=Weather!C:C,E87=Weather!B:B),FILTER(Weather!E:E,D87=Weather!C:C,F87=Weather!A:A))"),12.0)</f>
        <v>12</v>
      </c>
      <c r="U87" s="28">
        <f>IFERROR(__xludf.DUMMYFUNCTION("IF(F87=""India"", FILTER(Weather!F:F,D87=Weather!C:C,E87=Weather!B:B),FILTER(Weather!F:F,D87=Weather!C:C,F87=Weather!A:A))"),45.8)</f>
        <v>45.8</v>
      </c>
      <c r="V87" s="25">
        <v>29.26</v>
      </c>
      <c r="W87" s="25">
        <v>86.99071428571429</v>
      </c>
      <c r="X87" s="25">
        <v>5.596923076923077</v>
      </c>
      <c r="Y87" s="25">
        <v>26.36384615384615</v>
      </c>
      <c r="Z87" s="25">
        <v>26.93846153846153</v>
      </c>
      <c r="AA87" s="25">
        <v>30.137999999999998</v>
      </c>
      <c r="AB87" s="25">
        <v>100.968</v>
      </c>
      <c r="AC87" s="25">
        <v>5.778333333333333</v>
      </c>
      <c r="AD87" s="25">
        <v>37.89333333333334</v>
      </c>
      <c r="AE87" s="25">
        <v>39.69166666666667</v>
      </c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</row>
    <row r="88" ht="15.75" hidden="1" customHeight="1">
      <c r="A88" s="25" t="s">
        <v>47</v>
      </c>
      <c r="B88" s="25" t="s">
        <v>58</v>
      </c>
      <c r="C88" s="30">
        <v>44752.0</v>
      </c>
      <c r="D88" s="25" t="s">
        <v>102</v>
      </c>
      <c r="E88" s="25" t="s">
        <v>71</v>
      </c>
      <c r="F88" s="12" t="str">
        <f>IFERROR(__xludf.DUMMYFUNCTION("FILTER(Stadium!$A$2:$A$61,E88=Stadium!$B$2:$B$61)"),"England")</f>
        <v>England</v>
      </c>
      <c r="G88" s="30" t="str">
        <f t="shared" si="3"/>
        <v>L</v>
      </c>
      <c r="H88" s="30" t="str">
        <f t="shared" si="4"/>
        <v>W</v>
      </c>
      <c r="I88" s="24">
        <v>2.8125</v>
      </c>
      <c r="J88" s="24">
        <f>VLOOKUP(B88, 'WL Ratio Table'!$A$6:$D$9, 4, FALSE)</f>
        <v>1.384615385</v>
      </c>
      <c r="K88" s="25" t="s">
        <v>72</v>
      </c>
      <c r="L88" s="25">
        <v>198.0</v>
      </c>
      <c r="M88" s="25">
        <v>215.0</v>
      </c>
      <c r="N88" s="25" t="s">
        <v>58</v>
      </c>
      <c r="O88" s="27">
        <f>(17/215)*100</f>
        <v>7.906976744</v>
      </c>
      <c r="P88" s="25">
        <v>123.0</v>
      </c>
      <c r="Q88" s="25">
        <v>-161.0</v>
      </c>
      <c r="R88" s="25">
        <f t="shared" si="1"/>
        <v>-19</v>
      </c>
      <c r="S88" s="28">
        <f>IFERROR(__xludf.DUMMYFUNCTION("IF(F88=""India"", FILTER(Weather!D:D,D88=Weather!C:C,E88=Weather!B:B), FILTER(Weather!D:D,D88=Weather!C:C,F88=Weather!A:A))"),22.5)</f>
        <v>22.5</v>
      </c>
      <c r="T88" s="28">
        <f>IFERROR(__xludf.DUMMYFUNCTION("IF(F88=""India"", FILTER(Weather!E:E,D88=Weather!C:C,E88=Weather!B:B),FILTER(Weather!E:E,D88=Weather!C:C,F88=Weather!A:A))"),12.0)</f>
        <v>12</v>
      </c>
      <c r="U88" s="28">
        <f>IFERROR(__xludf.DUMMYFUNCTION("IF(F88=""India"", FILTER(Weather!F:F,D88=Weather!C:C,E88=Weather!B:B),FILTER(Weather!F:F,D88=Weather!C:C,F88=Weather!A:A))"),45.8)</f>
        <v>45.8</v>
      </c>
      <c r="V88" s="15">
        <v>29.216249999999995</v>
      </c>
      <c r="W88" s="15">
        <v>82.43625</v>
      </c>
      <c r="X88" s="25">
        <v>5.422499999999999</v>
      </c>
      <c r="Y88" s="25">
        <v>40.535</v>
      </c>
      <c r="Z88" s="25">
        <v>43.995000000000005</v>
      </c>
      <c r="AA88" s="25">
        <v>30.137999999999998</v>
      </c>
      <c r="AB88" s="25">
        <v>100.968</v>
      </c>
      <c r="AC88" s="25">
        <v>5.778333333333333</v>
      </c>
      <c r="AD88" s="25">
        <v>37.89333333333334</v>
      </c>
      <c r="AE88" s="25">
        <v>39.69166666666667</v>
      </c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</row>
    <row r="89" ht="15.75" hidden="1" customHeight="1">
      <c r="A89" s="25" t="s">
        <v>47</v>
      </c>
      <c r="B89" s="25" t="s">
        <v>58</v>
      </c>
      <c r="C89" s="30">
        <v>44751.0</v>
      </c>
      <c r="D89" s="25" t="s">
        <v>102</v>
      </c>
      <c r="E89" s="25" t="s">
        <v>74</v>
      </c>
      <c r="F89" s="12" t="str">
        <f>IFERROR(__xludf.DUMMYFUNCTION("FILTER(Stadium!$A$2:$A$61,E89=Stadium!$B$2:$B$61)"),"England")</f>
        <v>England</v>
      </c>
      <c r="G89" s="30" t="str">
        <f t="shared" si="3"/>
        <v>W</v>
      </c>
      <c r="H89" s="30" t="str">
        <f t="shared" si="4"/>
        <v>L</v>
      </c>
      <c r="I89" s="24">
        <v>2.8125</v>
      </c>
      <c r="J89" s="24">
        <f>VLOOKUP(B89, 'WL Ratio Table'!$A$6:$D$9, 4, FALSE)</f>
        <v>1.384615385</v>
      </c>
      <c r="K89" s="25" t="s">
        <v>72</v>
      </c>
      <c r="L89" s="25">
        <v>170.0</v>
      </c>
      <c r="M89" s="25">
        <v>121.0</v>
      </c>
      <c r="N89" s="25" t="s">
        <v>47</v>
      </c>
      <c r="O89" s="27">
        <f>(49/170)*100</f>
        <v>28.82352941</v>
      </c>
      <c r="P89" s="25">
        <v>-123.0</v>
      </c>
      <c r="Q89" s="25">
        <v>-106.0</v>
      </c>
      <c r="R89" s="25">
        <f t="shared" si="1"/>
        <v>-114.5</v>
      </c>
      <c r="S89" s="28">
        <f>IFERROR(__xludf.DUMMYFUNCTION("IF(F89=""India"", FILTER(Weather!D:D,D89=Weather!C:C,E89=Weather!B:B), FILTER(Weather!D:D,D89=Weather!C:C,F89=Weather!A:A))"),22.5)</f>
        <v>22.5</v>
      </c>
      <c r="T89" s="28">
        <f>IFERROR(__xludf.DUMMYFUNCTION("IF(F89=""India"", FILTER(Weather!E:E,D89=Weather!C:C,E89=Weather!B:B),FILTER(Weather!E:E,D89=Weather!C:C,F89=Weather!A:A))"),12.0)</f>
        <v>12</v>
      </c>
      <c r="U89" s="28">
        <f>IFERROR(__xludf.DUMMYFUNCTION("IF(F89=""India"", FILTER(Weather!F:F,D89=Weather!C:C,E89=Weather!B:B),FILTER(Weather!F:F,D89=Weather!C:C,F89=Weather!A:A))"),45.8)</f>
        <v>45.8</v>
      </c>
      <c r="V89" s="15">
        <v>29.216249999999995</v>
      </c>
      <c r="W89" s="15">
        <v>82.43625</v>
      </c>
      <c r="X89" s="25">
        <v>5.422499999999999</v>
      </c>
      <c r="Y89" s="25">
        <v>40.535</v>
      </c>
      <c r="Z89" s="25">
        <v>43.995000000000005</v>
      </c>
      <c r="AA89" s="25">
        <v>30.137999999999998</v>
      </c>
      <c r="AB89" s="25">
        <v>100.968</v>
      </c>
      <c r="AC89" s="25">
        <v>5.778333333333333</v>
      </c>
      <c r="AD89" s="25">
        <v>37.89333333333334</v>
      </c>
      <c r="AE89" s="25">
        <v>39.69166666666667</v>
      </c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</row>
    <row r="90" ht="15.75" hidden="1" customHeight="1">
      <c r="A90" s="25" t="s">
        <v>47</v>
      </c>
      <c r="B90" s="25" t="s">
        <v>58</v>
      </c>
      <c r="C90" s="30">
        <v>44749.0</v>
      </c>
      <c r="D90" s="25" t="s">
        <v>102</v>
      </c>
      <c r="E90" s="25" t="s">
        <v>103</v>
      </c>
      <c r="F90" s="12" t="str">
        <f>IFERROR(__xludf.DUMMYFUNCTION("FILTER(Stadium!$A$2:$A$61,E90=Stadium!$B$2:$B$61)"),"England")</f>
        <v>England</v>
      </c>
      <c r="G90" s="30" t="str">
        <f t="shared" si="3"/>
        <v>W</v>
      </c>
      <c r="H90" s="30" t="str">
        <f t="shared" si="4"/>
        <v>L</v>
      </c>
      <c r="I90" s="24">
        <v>2.8125</v>
      </c>
      <c r="J90" s="24">
        <f>VLOOKUP(B90, 'WL Ratio Table'!$A$6:$D$9, 4, FALSE)</f>
        <v>1.384615385</v>
      </c>
      <c r="K90" s="25" t="s">
        <v>72</v>
      </c>
      <c r="L90" s="25">
        <v>198.0</v>
      </c>
      <c r="M90" s="25">
        <v>148.0</v>
      </c>
      <c r="N90" s="25" t="s">
        <v>47</v>
      </c>
      <c r="O90" s="27">
        <f>(50/198)*100</f>
        <v>25.25252525</v>
      </c>
      <c r="P90" s="25">
        <v>117.0</v>
      </c>
      <c r="Q90" s="25">
        <v>-154.0</v>
      </c>
      <c r="R90" s="25">
        <f t="shared" si="1"/>
        <v>-18.5</v>
      </c>
      <c r="S90" s="28">
        <f>IFERROR(__xludf.DUMMYFUNCTION("IF(F90=""India"", FILTER(Weather!D:D,D90=Weather!C:C,E90=Weather!B:B), FILTER(Weather!D:D,D90=Weather!C:C,F90=Weather!A:A))"),22.5)</f>
        <v>22.5</v>
      </c>
      <c r="T90" s="28">
        <f>IFERROR(__xludf.DUMMYFUNCTION("IF(F90=""India"", FILTER(Weather!E:E,D90=Weather!C:C,E90=Weather!B:B),FILTER(Weather!E:E,D90=Weather!C:C,F90=Weather!A:A))"),12.0)</f>
        <v>12</v>
      </c>
      <c r="U90" s="28">
        <f>IFERROR(__xludf.DUMMYFUNCTION("IF(F90=""India"", FILTER(Weather!F:F,D90=Weather!C:C,E90=Weather!B:B),FILTER(Weather!F:F,D90=Weather!C:C,F90=Weather!A:A))"),45.8)</f>
        <v>45.8</v>
      </c>
      <c r="V90" s="15">
        <v>29.216249999999995</v>
      </c>
      <c r="W90" s="15">
        <v>82.43625</v>
      </c>
      <c r="X90" s="25">
        <v>5.422499999999999</v>
      </c>
      <c r="Y90" s="25">
        <v>40.535</v>
      </c>
      <c r="Z90" s="25">
        <v>43.995000000000005</v>
      </c>
      <c r="AA90" s="25">
        <v>30.137999999999998</v>
      </c>
      <c r="AB90" s="25">
        <v>100.968</v>
      </c>
      <c r="AC90" s="25">
        <v>5.778333333333333</v>
      </c>
      <c r="AD90" s="25">
        <v>37.89333333333334</v>
      </c>
      <c r="AE90" s="25">
        <v>39.69166666666667</v>
      </c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</row>
    <row r="91" ht="15.75" hidden="1" customHeight="1">
      <c r="A91" s="25" t="s">
        <v>47</v>
      </c>
      <c r="B91" s="25" t="s">
        <v>54</v>
      </c>
      <c r="C91" s="30">
        <v>44729.0</v>
      </c>
      <c r="D91" s="25" t="s">
        <v>106</v>
      </c>
      <c r="E91" s="25" t="s">
        <v>89</v>
      </c>
      <c r="F91" s="12" t="str">
        <f>IFERROR(__xludf.DUMMYFUNCTION("FILTER(Stadium!$A$2:$A$61,E91=Stadium!$B$2:$B$61)"),"India")</f>
        <v>India</v>
      </c>
      <c r="G91" s="30" t="str">
        <f t="shared" si="3"/>
        <v>W</v>
      </c>
      <c r="H91" s="30" t="str">
        <f t="shared" si="4"/>
        <v>L</v>
      </c>
      <c r="I91" s="24">
        <v>2.8125</v>
      </c>
      <c r="J91" s="24">
        <v>1.0909090909090908</v>
      </c>
      <c r="K91" s="25" t="s">
        <v>72</v>
      </c>
      <c r="L91" s="25">
        <v>169.0</v>
      </c>
      <c r="M91" s="25">
        <v>87.0</v>
      </c>
      <c r="N91" s="25" t="s">
        <v>47</v>
      </c>
      <c r="O91" s="27">
        <f>(82/169)*100</f>
        <v>48.52071006</v>
      </c>
      <c r="P91" s="25">
        <v>-172.0</v>
      </c>
      <c r="Q91" s="25">
        <v>129.0</v>
      </c>
      <c r="R91" s="25">
        <f t="shared" si="1"/>
        <v>-21.5</v>
      </c>
      <c r="S91" s="28">
        <f>IFERROR(__xludf.DUMMYFUNCTION("IF(F91=""India"", FILTER(Weather!D:D,D91=Weather!C:C,E91=Weather!B:B), FILTER(Weather!D:D,D91=Weather!C:C,F91=Weather!A:A))"),39.2)</f>
        <v>39.2</v>
      </c>
      <c r="T91" s="28">
        <f>IFERROR(__xludf.DUMMYFUNCTION("IF(F91=""India"", FILTER(Weather!E:E,D91=Weather!C:C,E91=Weather!B:B),FILTER(Weather!E:E,D91=Weather!C:C,F91=Weather!A:A))"),26.8)</f>
        <v>26.8</v>
      </c>
      <c r="U91" s="28">
        <f>IFERROR(__xludf.DUMMYFUNCTION("IF(F91=""India"", FILTER(Weather!F:F,D91=Weather!C:C,E91=Weather!B:B),FILTER(Weather!F:F,D91=Weather!C:C,F91=Weather!A:A))"),62.2)</f>
        <v>62.2</v>
      </c>
      <c r="V91" s="15">
        <v>29.216249999999995</v>
      </c>
      <c r="W91" s="15">
        <v>82.43625</v>
      </c>
      <c r="X91" s="25">
        <v>5.422499999999999</v>
      </c>
      <c r="Y91" s="25">
        <v>40.535</v>
      </c>
      <c r="Z91" s="25">
        <v>43.995000000000005</v>
      </c>
      <c r="AA91" s="25">
        <v>29.26</v>
      </c>
      <c r="AB91" s="25">
        <v>86.99071428571429</v>
      </c>
      <c r="AC91" s="25">
        <v>5.596923076923077</v>
      </c>
      <c r="AD91" s="25">
        <v>26.36384615384615</v>
      </c>
      <c r="AE91" s="25">
        <v>26.93846153846153</v>
      </c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</row>
    <row r="92" ht="15.75" hidden="1" customHeight="1">
      <c r="A92" s="25" t="s">
        <v>47</v>
      </c>
      <c r="B92" s="25" t="s">
        <v>54</v>
      </c>
      <c r="C92" s="30">
        <v>44726.0</v>
      </c>
      <c r="D92" s="25" t="s">
        <v>106</v>
      </c>
      <c r="E92" s="25" t="s">
        <v>107</v>
      </c>
      <c r="F92" s="12" t="str">
        <f>IFERROR(__xludf.DUMMYFUNCTION("FILTER(Stadium!$A$2:$A$61,E92=Stadium!$B$2:$B$61)"),"India")</f>
        <v>India</v>
      </c>
      <c r="G92" s="30" t="str">
        <f t="shared" si="3"/>
        <v>W</v>
      </c>
      <c r="H92" s="30" t="str">
        <f t="shared" si="4"/>
        <v>L</v>
      </c>
      <c r="I92" s="24">
        <v>2.8125</v>
      </c>
      <c r="J92" s="24">
        <v>1.0909090909090908</v>
      </c>
      <c r="K92" s="25" t="s">
        <v>72</v>
      </c>
      <c r="L92" s="25">
        <v>179.0</v>
      </c>
      <c r="M92" s="25">
        <v>131.0</v>
      </c>
      <c r="N92" s="25" t="s">
        <v>47</v>
      </c>
      <c r="O92" s="27">
        <f>(48/179)*100</f>
        <v>26.81564246</v>
      </c>
      <c r="P92" s="25">
        <v>-156.0</v>
      </c>
      <c r="Q92" s="25">
        <v>118.0</v>
      </c>
      <c r="R92" s="25">
        <f t="shared" si="1"/>
        <v>-19</v>
      </c>
      <c r="S92" s="28">
        <f>IFERROR(__xludf.DUMMYFUNCTION("IF(F92=""India"", FILTER(Weather!D:D,D92=Weather!C:C,E92=Weather!B:B), FILTER(Weather!D:D,D92=Weather!C:C,F92=Weather!A:A))"),34.2)</f>
        <v>34.2</v>
      </c>
      <c r="T92" s="28">
        <f>IFERROR(__xludf.DUMMYFUNCTION("IF(F92=""India"", FILTER(Weather!E:E,D92=Weather!C:C,E92=Weather!B:B),FILTER(Weather!E:E,D92=Weather!C:C,F92=Weather!A:A))"),26.2)</f>
        <v>26.2</v>
      </c>
      <c r="U92" s="28">
        <f>IFERROR(__xludf.DUMMYFUNCTION("IF(F92=""India"", FILTER(Weather!F:F,D92=Weather!C:C,E92=Weather!B:B),FILTER(Weather!F:F,D92=Weather!C:C,F92=Weather!A:A))"),62.2)</f>
        <v>62.2</v>
      </c>
      <c r="V92" s="15">
        <v>29.216249999999995</v>
      </c>
      <c r="W92" s="15">
        <v>82.43625</v>
      </c>
      <c r="X92" s="25">
        <v>5.422499999999999</v>
      </c>
      <c r="Y92" s="25">
        <v>40.535</v>
      </c>
      <c r="Z92" s="25">
        <v>43.995000000000005</v>
      </c>
      <c r="AA92" s="25">
        <v>29.26</v>
      </c>
      <c r="AB92" s="25">
        <v>86.99071428571429</v>
      </c>
      <c r="AC92" s="25">
        <v>5.596923076923077</v>
      </c>
      <c r="AD92" s="25">
        <v>26.36384615384615</v>
      </c>
      <c r="AE92" s="25">
        <v>26.93846153846153</v>
      </c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</row>
    <row r="93" ht="15.75" hidden="1" customHeight="1">
      <c r="A93" s="25" t="s">
        <v>47</v>
      </c>
      <c r="B93" s="25" t="s">
        <v>54</v>
      </c>
      <c r="C93" s="30">
        <v>44724.0</v>
      </c>
      <c r="D93" s="25" t="s">
        <v>106</v>
      </c>
      <c r="E93" s="25" t="s">
        <v>108</v>
      </c>
      <c r="F93" s="12" t="str">
        <f>IFERROR(__xludf.DUMMYFUNCTION("FILTER(Stadium!$A$2:$A$61,E93=Stadium!$B$2:$B$61)"),"India")</f>
        <v>India</v>
      </c>
      <c r="G93" s="30" t="str">
        <f t="shared" si="3"/>
        <v>L</v>
      </c>
      <c r="H93" s="30" t="str">
        <f t="shared" si="4"/>
        <v>W</v>
      </c>
      <c r="I93" s="24">
        <v>2.8125</v>
      </c>
      <c r="J93" s="24">
        <v>1.0909090909090908</v>
      </c>
      <c r="K93" s="25" t="s">
        <v>72</v>
      </c>
      <c r="L93" s="25">
        <v>148.0</v>
      </c>
      <c r="M93" s="25">
        <v>148.0</v>
      </c>
      <c r="N93" s="25" t="s">
        <v>54</v>
      </c>
      <c r="O93" s="27">
        <v>40.0</v>
      </c>
      <c r="P93" s="25">
        <v>-167.0</v>
      </c>
      <c r="Q93" s="25">
        <v>127.0</v>
      </c>
      <c r="R93" s="25">
        <f t="shared" si="1"/>
        <v>-20</v>
      </c>
      <c r="S93" s="28">
        <f>IFERROR(__xludf.DUMMYFUNCTION("IF(F93=""India"", FILTER(Weather!D:D,D93=Weather!C:C,E93=Weather!B:B), FILTER(Weather!D:D,D93=Weather!C:C,F93=Weather!A:A))"),34.7)</f>
        <v>34.7</v>
      </c>
      <c r="T93" s="28">
        <f>IFERROR(__xludf.DUMMYFUNCTION("IF(F93=""India"", FILTER(Weather!E:E,D93=Weather!C:C,E93=Weather!B:B),FILTER(Weather!E:E,D93=Weather!C:C,F93=Weather!A:A))"),26.8)</f>
        <v>26.8</v>
      </c>
      <c r="U93" s="28">
        <f>IFERROR(__xludf.DUMMYFUNCTION("IF(F93=""India"", FILTER(Weather!F:F,D93=Weather!C:C,E93=Weather!B:B),FILTER(Weather!F:F,D93=Weather!C:C,F93=Weather!A:A))"),233.2)</f>
        <v>233.2</v>
      </c>
      <c r="V93" s="15">
        <v>29.216249999999995</v>
      </c>
      <c r="W93" s="15">
        <v>82.43625</v>
      </c>
      <c r="X93" s="25">
        <v>5.422499999999999</v>
      </c>
      <c r="Y93" s="25">
        <v>40.535</v>
      </c>
      <c r="Z93" s="25">
        <v>43.995000000000005</v>
      </c>
      <c r="AA93" s="25">
        <v>29.26</v>
      </c>
      <c r="AB93" s="25">
        <v>86.99071428571429</v>
      </c>
      <c r="AC93" s="25">
        <v>5.596923076923077</v>
      </c>
      <c r="AD93" s="25">
        <v>26.36384615384615</v>
      </c>
      <c r="AE93" s="25">
        <v>26.93846153846153</v>
      </c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</row>
    <row r="94" ht="15.75" hidden="1" customHeight="1">
      <c r="A94" s="25" t="s">
        <v>48</v>
      </c>
      <c r="B94" s="25" t="s">
        <v>62</v>
      </c>
      <c r="C94" s="30">
        <v>44723.0</v>
      </c>
      <c r="D94" s="25" t="s">
        <v>106</v>
      </c>
      <c r="E94" s="25" t="s">
        <v>109</v>
      </c>
      <c r="F94" s="12" t="str">
        <f>IFERROR(__xludf.DUMMYFUNCTION("FILTER(Stadium!$A$2:$A$61,E94=Stadium!$B$2:$B$61)"),"Sri Lanka")</f>
        <v>Sri Lanka</v>
      </c>
      <c r="G94" s="30" t="str">
        <f t="shared" si="3"/>
        <v>L</v>
      </c>
      <c r="H94" s="30" t="str">
        <f t="shared" si="4"/>
        <v>W</v>
      </c>
      <c r="I94" s="24">
        <v>1.125</v>
      </c>
      <c r="J94" s="24">
        <f>VLOOKUP(B94, 'WL Ratio Table'!$A$6:$D$9, 4, FALSE)</f>
        <v>0.21875</v>
      </c>
      <c r="K94" s="25" t="s">
        <v>72</v>
      </c>
      <c r="L94" s="25">
        <v>176.0</v>
      </c>
      <c r="M94" s="25">
        <v>177.0</v>
      </c>
      <c r="N94" s="25" t="s">
        <v>62</v>
      </c>
      <c r="O94" s="27">
        <v>40.0</v>
      </c>
      <c r="P94" s="25">
        <v>-345.0</v>
      </c>
      <c r="Q94" s="25">
        <v>247.0</v>
      </c>
      <c r="R94" s="25">
        <f t="shared" si="1"/>
        <v>-49</v>
      </c>
      <c r="S94" s="28">
        <f>IFERROR(__xludf.DUMMYFUNCTION("IF(F94=""India"", FILTER(Weather!D:D,D94=Weather!C:C,E94=Weather!B:B), FILTER(Weather!D:D,D94=Weather!C:C,F94=Weather!A:A))"),31.0)</f>
        <v>31</v>
      </c>
      <c r="T94" s="28">
        <f>IFERROR(__xludf.DUMMYFUNCTION("IF(F94=""India"", FILTER(Weather!E:E,D94=Weather!C:C,E94=Weather!B:B),FILTER(Weather!E:E,D94=Weather!C:C,F94=Weather!A:A))"),25.2)</f>
        <v>25.2</v>
      </c>
      <c r="U94" s="28">
        <f>IFERROR(__xludf.DUMMYFUNCTION("IF(F94=""India"", FILTER(Weather!F:F,D94=Weather!C:C,E94=Weather!B:B),FILTER(Weather!F:F,D94=Weather!C:C,F94=Weather!A:A))"),249.6)</f>
        <v>249.6</v>
      </c>
      <c r="V94" s="25">
        <v>27.727333333333334</v>
      </c>
      <c r="W94" s="25">
        <v>92.17733333333332</v>
      </c>
      <c r="X94" s="25">
        <v>5.772307692307693</v>
      </c>
      <c r="Y94" s="25">
        <v>39.89076923076924</v>
      </c>
      <c r="Z94" s="25">
        <v>41.56384615384616</v>
      </c>
      <c r="AA94" s="25">
        <v>24.878750000000004</v>
      </c>
      <c r="AB94" s="25">
        <v>76.75124999999998</v>
      </c>
      <c r="AC94" s="25">
        <v>5.679166666666667</v>
      </c>
      <c r="AD94" s="25">
        <v>34.49333333333333</v>
      </c>
      <c r="AE94" s="25">
        <v>38.29833333333333</v>
      </c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</row>
    <row r="95" ht="15.75" hidden="1" customHeight="1">
      <c r="A95" s="25" t="s">
        <v>47</v>
      </c>
      <c r="B95" s="25" t="s">
        <v>54</v>
      </c>
      <c r="C95" s="32">
        <v>44721.0</v>
      </c>
      <c r="D95" s="25" t="s">
        <v>106</v>
      </c>
      <c r="E95" s="25" t="s">
        <v>68</v>
      </c>
      <c r="F95" s="12" t="str">
        <f>IFERROR(__xludf.DUMMYFUNCTION("FILTER(Stadium!$A$2:$A$61,E95=Stadium!$B$2:$B$61)"),"India")</f>
        <v>India</v>
      </c>
      <c r="G95" s="30" t="str">
        <f t="shared" si="3"/>
        <v>L</v>
      </c>
      <c r="H95" s="30" t="str">
        <f t="shared" si="4"/>
        <v>W</v>
      </c>
      <c r="I95" s="24">
        <v>2.8125</v>
      </c>
      <c r="J95" s="24">
        <v>1.0909090909090908</v>
      </c>
      <c r="K95" s="25" t="s">
        <v>72</v>
      </c>
      <c r="L95" s="25">
        <v>211.0</v>
      </c>
      <c r="M95" s="25">
        <v>212.0</v>
      </c>
      <c r="N95" s="25" t="s">
        <v>54</v>
      </c>
      <c r="O95" s="27">
        <v>70.0</v>
      </c>
      <c r="P95" s="25">
        <v>-161.0</v>
      </c>
      <c r="Q95" s="25">
        <v>122.0</v>
      </c>
      <c r="R95" s="25">
        <f t="shared" si="1"/>
        <v>-19.5</v>
      </c>
      <c r="S95" s="28">
        <f>IFERROR(__xludf.DUMMYFUNCTION("IF(F95=""India"", FILTER(Weather!D:D,D95=Weather!C:C,E95=Weather!B:B), FILTER(Weather!D:D,D95=Weather!C:C,F95=Weather!A:A))"),39.0)</f>
        <v>39</v>
      </c>
      <c r="T95" s="28">
        <f>IFERROR(__xludf.DUMMYFUNCTION("IF(F95=""India"", FILTER(Weather!E:E,D95=Weather!C:C,E95=Weather!B:B),FILTER(Weather!E:E,D95=Weather!C:C,F95=Weather!A:A))"),33.3)</f>
        <v>33.3</v>
      </c>
      <c r="U95" s="28">
        <f>IFERROR(__xludf.DUMMYFUNCTION("IF(F95=""India"", FILTER(Weather!F:F,D95=Weather!C:C,E95=Weather!B:B),FILTER(Weather!F:F,D95=Weather!C:C,F95=Weather!A:A))"),17.6)</f>
        <v>17.6</v>
      </c>
      <c r="V95" s="15">
        <v>29.216249999999995</v>
      </c>
      <c r="W95" s="15">
        <v>82.43625</v>
      </c>
      <c r="X95" s="25">
        <v>5.422499999999999</v>
      </c>
      <c r="Y95" s="25">
        <v>40.535</v>
      </c>
      <c r="Z95" s="25">
        <v>43.995000000000005</v>
      </c>
      <c r="AA95" s="25">
        <v>29.26</v>
      </c>
      <c r="AB95" s="25">
        <v>86.99071428571429</v>
      </c>
      <c r="AC95" s="25">
        <v>5.596923076923077</v>
      </c>
      <c r="AD95" s="25">
        <v>26.36384615384615</v>
      </c>
      <c r="AE95" s="25">
        <v>26.93846153846153</v>
      </c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</row>
    <row r="96" ht="15.75" hidden="1" customHeight="1">
      <c r="A96" s="25" t="s">
        <v>48</v>
      </c>
      <c r="B96" s="25" t="s">
        <v>62</v>
      </c>
      <c r="C96" s="30">
        <v>44720.0</v>
      </c>
      <c r="D96" s="25" t="s">
        <v>106</v>
      </c>
      <c r="E96" s="25" t="s">
        <v>110</v>
      </c>
      <c r="F96" s="12" t="str">
        <f>IFERROR(__xludf.DUMMYFUNCTION("FILTER(Stadium!$A$2:$A$61,E96=Stadium!$B$2:$B$61)"),"Sri Lanka")</f>
        <v>Sri Lanka</v>
      </c>
      <c r="G96" s="30" t="str">
        <f t="shared" si="3"/>
        <v>W</v>
      </c>
      <c r="H96" s="30" t="str">
        <f t="shared" si="4"/>
        <v>L</v>
      </c>
      <c r="I96" s="24">
        <v>1.125</v>
      </c>
      <c r="J96" s="24">
        <f>VLOOKUP(B96, 'WL Ratio Table'!$A$6:$D$9, 4, FALSE)</f>
        <v>0.21875</v>
      </c>
      <c r="K96" s="25" t="s">
        <v>72</v>
      </c>
      <c r="L96" s="25">
        <v>126.0</v>
      </c>
      <c r="M96" s="25">
        <v>124.0</v>
      </c>
      <c r="N96" s="25" t="s">
        <v>48</v>
      </c>
      <c r="O96" s="27">
        <v>30.0</v>
      </c>
      <c r="P96" s="25">
        <v>-370.0</v>
      </c>
      <c r="Q96" s="25">
        <v>267.0</v>
      </c>
      <c r="R96" s="25">
        <f t="shared" si="1"/>
        <v>-51.5</v>
      </c>
      <c r="S96" s="28">
        <f>IFERROR(__xludf.DUMMYFUNCTION("IF(F96=""India"", FILTER(Weather!D:D,D96=Weather!C:C,E96=Weather!B:B), FILTER(Weather!D:D,D96=Weather!C:C,F96=Weather!A:A))"),31.0)</f>
        <v>31</v>
      </c>
      <c r="T96" s="28">
        <f>IFERROR(__xludf.DUMMYFUNCTION("IF(F96=""India"", FILTER(Weather!E:E,D96=Weather!C:C,E96=Weather!B:B),FILTER(Weather!E:E,D96=Weather!C:C,F96=Weather!A:A))"),25.2)</f>
        <v>25.2</v>
      </c>
      <c r="U96" s="28">
        <f>IFERROR(__xludf.DUMMYFUNCTION("IF(F96=""India"", FILTER(Weather!F:F,D96=Weather!C:C,E96=Weather!B:B),FILTER(Weather!F:F,D96=Weather!C:C,F96=Weather!A:A))"),249.6)</f>
        <v>249.6</v>
      </c>
      <c r="V96" s="25">
        <v>27.727333333333334</v>
      </c>
      <c r="W96" s="25">
        <v>92.17733333333332</v>
      </c>
      <c r="X96" s="25">
        <v>5.772307692307693</v>
      </c>
      <c r="Y96" s="25">
        <v>39.89076923076924</v>
      </c>
      <c r="Z96" s="25">
        <v>41.56384615384616</v>
      </c>
      <c r="AA96" s="25">
        <v>24.878750000000004</v>
      </c>
      <c r="AB96" s="25">
        <v>76.75124999999998</v>
      </c>
      <c r="AC96" s="25">
        <v>5.679166666666667</v>
      </c>
      <c r="AD96" s="25">
        <v>34.49333333333333</v>
      </c>
      <c r="AE96" s="25">
        <v>38.29833333333333</v>
      </c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</row>
    <row r="97" ht="15.75" hidden="1" customHeight="1">
      <c r="A97" s="25" t="s">
        <v>48</v>
      </c>
      <c r="B97" s="25" t="s">
        <v>62</v>
      </c>
      <c r="C97" s="30">
        <v>44719.0</v>
      </c>
      <c r="D97" s="25" t="s">
        <v>106</v>
      </c>
      <c r="E97" s="25" t="s">
        <v>110</v>
      </c>
      <c r="F97" s="12" t="str">
        <f>IFERROR(__xludf.DUMMYFUNCTION("FILTER(Stadium!$A$2:$A$61,E97=Stadium!$B$2:$B$61)"),"Sri Lanka")</f>
        <v>Sri Lanka</v>
      </c>
      <c r="G97" s="30" t="str">
        <f t="shared" si="3"/>
        <v>W</v>
      </c>
      <c r="H97" s="30" t="str">
        <f t="shared" si="4"/>
        <v>L</v>
      </c>
      <c r="I97" s="24">
        <v>1.125</v>
      </c>
      <c r="J97" s="24">
        <f>VLOOKUP(B97, 'WL Ratio Table'!$A$6:$D$9, 4, FALSE)</f>
        <v>0.21875</v>
      </c>
      <c r="K97" s="25" t="s">
        <v>72</v>
      </c>
      <c r="L97" s="25">
        <v>134.0</v>
      </c>
      <c r="M97" s="25">
        <v>128.0</v>
      </c>
      <c r="N97" s="25" t="s">
        <v>48</v>
      </c>
      <c r="O97" s="27">
        <v>100.0</v>
      </c>
      <c r="P97" s="25">
        <v>-357.0</v>
      </c>
      <c r="Q97" s="25">
        <v>358.0</v>
      </c>
      <c r="R97" s="25">
        <f t="shared" si="1"/>
        <v>0.5</v>
      </c>
      <c r="S97" s="28">
        <f>IFERROR(__xludf.DUMMYFUNCTION("IF(F97=""India"", FILTER(Weather!D:D,D97=Weather!C:C,E97=Weather!B:B), FILTER(Weather!D:D,D97=Weather!C:C,F97=Weather!A:A))"),31.0)</f>
        <v>31</v>
      </c>
      <c r="T97" s="28">
        <f>IFERROR(__xludf.DUMMYFUNCTION("IF(F97=""India"", FILTER(Weather!E:E,D97=Weather!C:C,E97=Weather!B:B),FILTER(Weather!E:E,D97=Weather!C:C,F97=Weather!A:A))"),25.2)</f>
        <v>25.2</v>
      </c>
      <c r="U97" s="28">
        <f>IFERROR(__xludf.DUMMYFUNCTION("IF(F97=""India"", FILTER(Weather!F:F,D97=Weather!C:C,E97=Weather!B:B),FILTER(Weather!F:F,D97=Weather!C:C,F97=Weather!A:A))"),249.6)</f>
        <v>249.6</v>
      </c>
      <c r="V97" s="25">
        <v>27.727333333333334</v>
      </c>
      <c r="W97" s="25">
        <v>92.17733333333332</v>
      </c>
      <c r="X97" s="25">
        <v>5.772307692307693</v>
      </c>
      <c r="Y97" s="25">
        <v>39.89076923076924</v>
      </c>
      <c r="Z97" s="25">
        <v>41.56384615384616</v>
      </c>
      <c r="AA97" s="25">
        <v>24.878750000000004</v>
      </c>
      <c r="AB97" s="25">
        <v>76.75124999999998</v>
      </c>
      <c r="AC97" s="25">
        <v>5.679166666666667</v>
      </c>
      <c r="AD97" s="25">
        <v>34.49333333333333</v>
      </c>
      <c r="AE97" s="25">
        <v>38.29833333333333</v>
      </c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</row>
    <row r="98" ht="15.75" hidden="1" customHeight="1">
      <c r="A98" s="25" t="s">
        <v>48</v>
      </c>
      <c r="B98" s="25" t="s">
        <v>59</v>
      </c>
      <c r="C98" s="30">
        <v>44656.0</v>
      </c>
      <c r="D98" s="25" t="s">
        <v>78</v>
      </c>
      <c r="E98" s="25" t="s">
        <v>80</v>
      </c>
      <c r="F98" s="12" t="str">
        <f>IFERROR(__xludf.DUMMYFUNCTION("FILTER(Stadium!$A$2:$A$61,E98=Stadium!$B$2:$B$61)"),"Pakistan")</f>
        <v>Pakistan</v>
      </c>
      <c r="G98" s="30" t="str">
        <f t="shared" si="3"/>
        <v>W</v>
      </c>
      <c r="H98" s="30" t="str">
        <f t="shared" si="4"/>
        <v>L</v>
      </c>
      <c r="I98" s="24">
        <v>1.125</v>
      </c>
      <c r="J98" s="24">
        <f>VLOOKUP(B98, 'WL Ratio Table'!$A$6:$D$9, 4, FALSE)</f>
        <v>1</v>
      </c>
      <c r="K98" s="25" t="s">
        <v>72</v>
      </c>
      <c r="L98" s="25">
        <v>163.0</v>
      </c>
      <c r="M98" s="25">
        <v>162.0</v>
      </c>
      <c r="N98" s="25" t="s">
        <v>48</v>
      </c>
      <c r="O98" s="27">
        <v>30.0</v>
      </c>
      <c r="P98" s="25">
        <v>-102.0</v>
      </c>
      <c r="Q98" s="25">
        <v>-237.0</v>
      </c>
      <c r="R98" s="25">
        <f t="shared" si="1"/>
        <v>-169.5</v>
      </c>
      <c r="S98" s="28">
        <f>IFERROR(__xludf.DUMMYFUNCTION("IF(F98=""India"", FILTER(Weather!D:D,D98=Weather!C:C,E98=Weather!B:B), FILTER(Weather!D:D,D98=Weather!C:C,F98=Weather!A:A))"),28.1)</f>
        <v>28.1</v>
      </c>
      <c r="T98" s="28">
        <f>IFERROR(__xludf.DUMMYFUNCTION("IF(F98=""India"", FILTER(Weather!E:E,D98=Weather!C:C,E98=Weather!B:B),FILTER(Weather!E:E,D98=Weather!C:C,F98=Weather!A:A))"),15.8)</f>
        <v>15.8</v>
      </c>
      <c r="U98" s="28">
        <f>IFERROR(__xludf.DUMMYFUNCTION("IF(F98=""India"", FILTER(Weather!F:F,D98=Weather!C:C,E98=Weather!B:B),FILTER(Weather!F:F,D98=Weather!C:C,F98=Weather!A:A))"),23.4)</f>
        <v>23.4</v>
      </c>
      <c r="V98" s="25">
        <v>27.727333333333334</v>
      </c>
      <c r="W98" s="25">
        <v>92.17733333333332</v>
      </c>
      <c r="X98" s="25">
        <v>5.772307692307693</v>
      </c>
      <c r="Y98" s="25">
        <v>39.89076923076924</v>
      </c>
      <c r="Z98" s="25">
        <v>41.56384615384616</v>
      </c>
      <c r="AA98" s="25">
        <v>28.993333333333332</v>
      </c>
      <c r="AB98" s="25">
        <v>91.364</v>
      </c>
      <c r="AC98" s="25">
        <v>5.425454545454545</v>
      </c>
      <c r="AD98" s="25">
        <v>46.032727272727264</v>
      </c>
      <c r="AE98" s="25">
        <v>51.62</v>
      </c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</row>
    <row r="99" ht="15.75" hidden="1" customHeight="1">
      <c r="A99" s="25" t="s">
        <v>47</v>
      </c>
      <c r="B99" s="25" t="s">
        <v>62</v>
      </c>
      <c r="C99" s="30">
        <v>44619.0</v>
      </c>
      <c r="D99" s="25" t="s">
        <v>86</v>
      </c>
      <c r="E99" s="25" t="s">
        <v>65</v>
      </c>
      <c r="F99" s="12" t="str">
        <f>IFERROR(__xludf.DUMMYFUNCTION("FILTER(Stadium!$A$2:$A$61,E99=Stadium!$B$2:$B$61)"),"India")</f>
        <v>India</v>
      </c>
      <c r="G99" s="30" t="str">
        <f t="shared" si="3"/>
        <v>W</v>
      </c>
      <c r="H99" s="30" t="str">
        <f t="shared" si="4"/>
        <v>L</v>
      </c>
      <c r="I99" s="24">
        <v>2.8125</v>
      </c>
      <c r="J99" s="24">
        <f>VLOOKUP(B99, 'WL Ratio Table'!$A$6:$D$9, 4, FALSE)</f>
        <v>0.21875</v>
      </c>
      <c r="K99" s="25" t="s">
        <v>72</v>
      </c>
      <c r="L99" s="25">
        <v>148.0</v>
      </c>
      <c r="M99" s="25">
        <v>146.0</v>
      </c>
      <c r="N99" s="25" t="s">
        <v>47</v>
      </c>
      <c r="O99" s="27">
        <v>60.0</v>
      </c>
      <c r="P99" s="25">
        <v>-625.0</v>
      </c>
      <c r="Q99" s="25">
        <v>413.0</v>
      </c>
      <c r="R99" s="25">
        <f t="shared" si="1"/>
        <v>-106</v>
      </c>
      <c r="S99" s="28">
        <f>IFERROR(__xludf.DUMMYFUNCTION("IF(F99=""India"", FILTER(Weather!D:D,D99=Weather!C:C,E99=Weather!B:B), FILTER(Weather!D:D,D99=Weather!C:C,F99=Weather!A:A))"),7.3)</f>
        <v>7.3</v>
      </c>
      <c r="T99" s="28">
        <f>IFERROR(__xludf.DUMMYFUNCTION("IF(F99=""India"", FILTER(Weather!E:E,D99=Weather!C:C,E99=Weather!B:B),FILTER(Weather!E:E,D99=Weather!C:C,F99=Weather!A:A))"),-1.6)</f>
        <v>-1.6</v>
      </c>
      <c r="U99" s="28">
        <f>IFERROR(__xludf.DUMMYFUNCTION("IF(F99=""India"", FILTER(Weather!F:F,D99=Weather!C:C,E99=Weather!B:B),FILTER(Weather!F:F,D99=Weather!C:C,F99=Weather!A:A))"),63.0)</f>
        <v>63</v>
      </c>
      <c r="V99" s="15">
        <v>29.216249999999995</v>
      </c>
      <c r="W99" s="15">
        <v>82.43625</v>
      </c>
      <c r="X99" s="25">
        <v>5.422499999999999</v>
      </c>
      <c r="Y99" s="25">
        <v>40.535</v>
      </c>
      <c r="Z99" s="25">
        <v>43.995000000000005</v>
      </c>
      <c r="AA99" s="25">
        <v>24.878750000000004</v>
      </c>
      <c r="AB99" s="25">
        <v>76.75124999999998</v>
      </c>
      <c r="AC99" s="25">
        <v>5.679166666666667</v>
      </c>
      <c r="AD99" s="25">
        <v>34.49333333333333</v>
      </c>
      <c r="AE99" s="25">
        <v>38.29833333333333</v>
      </c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</row>
    <row r="100" ht="15.75" hidden="1" customHeight="1">
      <c r="A100" s="25" t="s">
        <v>47</v>
      </c>
      <c r="B100" s="25" t="s">
        <v>62</v>
      </c>
      <c r="C100" s="30">
        <v>44618.0</v>
      </c>
      <c r="D100" s="25" t="s">
        <v>86</v>
      </c>
      <c r="E100" s="25" t="s">
        <v>65</v>
      </c>
      <c r="F100" s="12" t="str">
        <f>IFERROR(__xludf.DUMMYFUNCTION("FILTER(Stadium!$A$2:$A$61,E100=Stadium!$B$2:$B$61)"),"India")</f>
        <v>India</v>
      </c>
      <c r="G100" s="30" t="str">
        <f t="shared" si="3"/>
        <v>W</v>
      </c>
      <c r="H100" s="30" t="str">
        <f t="shared" si="4"/>
        <v>L</v>
      </c>
      <c r="I100" s="24">
        <v>2.8125</v>
      </c>
      <c r="J100" s="24">
        <f>VLOOKUP(B100, 'WL Ratio Table'!$A$6:$D$9, 4, FALSE)</f>
        <v>0.21875</v>
      </c>
      <c r="K100" s="25" t="s">
        <v>72</v>
      </c>
      <c r="L100" s="25">
        <v>186.0</v>
      </c>
      <c r="M100" s="25">
        <v>183.0</v>
      </c>
      <c r="N100" s="25" t="s">
        <v>47</v>
      </c>
      <c r="O100" s="27">
        <v>70.0</v>
      </c>
      <c r="P100" s="25">
        <v>-1111.0</v>
      </c>
      <c r="Q100" s="25">
        <v>585.0</v>
      </c>
      <c r="R100" s="25">
        <f t="shared" si="1"/>
        <v>-263</v>
      </c>
      <c r="S100" s="28">
        <f>IFERROR(__xludf.DUMMYFUNCTION("IF(F100=""India"", FILTER(Weather!D:D,D100=Weather!C:C,E100=Weather!B:B), FILTER(Weather!D:D,D100=Weather!C:C,F100=Weather!A:A))"),7.3)</f>
        <v>7.3</v>
      </c>
      <c r="T100" s="28">
        <f>IFERROR(__xludf.DUMMYFUNCTION("IF(F100=""India"", FILTER(Weather!E:E,D100=Weather!C:C,E100=Weather!B:B),FILTER(Weather!E:E,D100=Weather!C:C,F100=Weather!A:A))"),-1.6)</f>
        <v>-1.6</v>
      </c>
      <c r="U100" s="28">
        <f>IFERROR(__xludf.DUMMYFUNCTION("IF(F100=""India"", FILTER(Weather!F:F,D100=Weather!C:C,E100=Weather!B:B),FILTER(Weather!F:F,D100=Weather!C:C,F100=Weather!A:A))"),63.0)</f>
        <v>63</v>
      </c>
      <c r="V100" s="15">
        <v>29.216249999999995</v>
      </c>
      <c r="W100" s="15">
        <v>82.43625</v>
      </c>
      <c r="X100" s="25">
        <v>5.422499999999999</v>
      </c>
      <c r="Y100" s="25">
        <v>40.535</v>
      </c>
      <c r="Z100" s="25">
        <v>43.995000000000005</v>
      </c>
      <c r="AA100" s="25">
        <v>24.878750000000004</v>
      </c>
      <c r="AB100" s="25">
        <v>76.75124999999998</v>
      </c>
      <c r="AC100" s="25">
        <v>5.679166666666667</v>
      </c>
      <c r="AD100" s="25">
        <v>34.49333333333333</v>
      </c>
      <c r="AE100" s="25">
        <v>38.29833333333333</v>
      </c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</row>
    <row r="101" ht="15.75" hidden="1" customHeight="1">
      <c r="A101" s="25" t="s">
        <v>47</v>
      </c>
      <c r="B101" s="25" t="s">
        <v>62</v>
      </c>
      <c r="C101" s="30">
        <v>44616.0</v>
      </c>
      <c r="D101" s="25" t="s">
        <v>86</v>
      </c>
      <c r="E101" s="25" t="s">
        <v>55</v>
      </c>
      <c r="F101" s="12" t="str">
        <f>IFERROR(__xludf.DUMMYFUNCTION("FILTER(Stadium!$A$2:$A$61,E101=Stadium!$B$2:$B$61)"),"India")</f>
        <v>India</v>
      </c>
      <c r="G101" s="30" t="str">
        <f t="shared" si="3"/>
        <v>W</v>
      </c>
      <c r="H101" s="30" t="str">
        <f t="shared" si="4"/>
        <v>L</v>
      </c>
      <c r="I101" s="24">
        <v>2.8125</v>
      </c>
      <c r="J101" s="24">
        <f>VLOOKUP(B101, 'WL Ratio Table'!$A$6:$D$9, 4, FALSE)</f>
        <v>0.21875</v>
      </c>
      <c r="K101" s="25" t="s">
        <v>72</v>
      </c>
      <c r="L101" s="25">
        <v>199.0</v>
      </c>
      <c r="M101" s="25">
        <v>137.0</v>
      </c>
      <c r="N101" s="25" t="s">
        <v>47</v>
      </c>
      <c r="O101" s="27">
        <f>(62/199)*100</f>
        <v>31.15577889</v>
      </c>
      <c r="P101" s="25">
        <v>-476.0</v>
      </c>
      <c r="Q101" s="25">
        <v>333.0</v>
      </c>
      <c r="R101" s="25">
        <f t="shared" si="1"/>
        <v>-71.5</v>
      </c>
      <c r="S101" s="28">
        <f>IFERROR(__xludf.DUMMYFUNCTION("IF(F101=""India"", FILTER(Weather!D:D,D101=Weather!C:C,E101=Weather!B:B), FILTER(Weather!D:D,D101=Weather!C:C,F101=Weather!A:A))"),26.2)</f>
        <v>26.2</v>
      </c>
      <c r="T101" s="28">
        <f>IFERROR(__xludf.DUMMYFUNCTION("IF(F101=""India"", FILTER(Weather!E:E,D101=Weather!C:C,E101=Weather!B:B),FILTER(Weather!E:E,D101=Weather!C:C,F101=Weather!A:A))"),18.5)</f>
        <v>18.5</v>
      </c>
      <c r="U101" s="28">
        <f>IFERROR(__xludf.DUMMYFUNCTION("IF(F101=""India"", FILTER(Weather!F:F,D101=Weather!C:C,E101=Weather!B:B),FILTER(Weather!F:F,D101=Weather!C:C,F101=Weather!A:A))"),0.0)</f>
        <v>0</v>
      </c>
      <c r="V101" s="15">
        <v>29.216249999999995</v>
      </c>
      <c r="W101" s="15">
        <v>82.43625</v>
      </c>
      <c r="X101" s="25">
        <v>5.422499999999999</v>
      </c>
      <c r="Y101" s="25">
        <v>40.535</v>
      </c>
      <c r="Z101" s="25">
        <v>43.995000000000005</v>
      </c>
      <c r="AA101" s="25">
        <v>24.878750000000004</v>
      </c>
      <c r="AB101" s="25">
        <v>76.75124999999998</v>
      </c>
      <c r="AC101" s="25">
        <v>5.679166666666667</v>
      </c>
      <c r="AD101" s="25">
        <v>34.49333333333333</v>
      </c>
      <c r="AE101" s="25">
        <v>38.29833333333333</v>
      </c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</row>
    <row r="102" ht="15.75" hidden="1" customHeight="1">
      <c r="A102" s="25" t="s">
        <v>48</v>
      </c>
      <c r="B102" s="25" t="s">
        <v>62</v>
      </c>
      <c r="C102" s="30">
        <v>44611.0</v>
      </c>
      <c r="D102" s="25" t="s">
        <v>86</v>
      </c>
      <c r="E102" s="25" t="s">
        <v>92</v>
      </c>
      <c r="F102" s="12" t="str">
        <f>IFERROR(__xludf.DUMMYFUNCTION("FILTER(Stadium!$A$2:$A$61,E102=Stadium!$B$2:$B$61)"),"Australia")</f>
        <v>Australia</v>
      </c>
      <c r="G102" s="30" t="str">
        <f t="shared" si="3"/>
        <v>L</v>
      </c>
      <c r="H102" s="30" t="str">
        <f t="shared" si="4"/>
        <v>W</v>
      </c>
      <c r="I102" s="24">
        <v>1.125</v>
      </c>
      <c r="J102" s="24">
        <f>VLOOKUP(B102, 'WL Ratio Table'!$A$6:$D$9, 4, FALSE)</f>
        <v>0.21875</v>
      </c>
      <c r="K102" s="25" t="s">
        <v>72</v>
      </c>
      <c r="L102" s="25">
        <v>154.0</v>
      </c>
      <c r="M102" s="25">
        <v>155.0</v>
      </c>
      <c r="N102" s="25" t="s">
        <v>62</v>
      </c>
      <c r="O102" s="27">
        <v>50.0</v>
      </c>
      <c r="P102" s="25">
        <v>-769.0</v>
      </c>
      <c r="Q102" s="25">
        <v>487.0</v>
      </c>
      <c r="R102" s="25">
        <f t="shared" si="1"/>
        <v>-141</v>
      </c>
      <c r="S102" s="28">
        <f>IFERROR(__xludf.DUMMYFUNCTION("IF(F102=""India"", FILTER(Weather!D:D,D102=Weather!C:C,E102=Weather!B:B), FILTER(Weather!D:D,D102=Weather!C:C,F102=Weather!A:A))"),29.0)</f>
        <v>29</v>
      </c>
      <c r="T102" s="28">
        <f>IFERROR(__xludf.DUMMYFUNCTION("IF(F102=""India"", FILTER(Weather!E:E,D102=Weather!C:C,E102=Weather!B:B),FILTER(Weather!E:E,D102=Weather!C:C,F102=Weather!A:A))"),19.4)</f>
        <v>19.4</v>
      </c>
      <c r="U102" s="28">
        <f>IFERROR(__xludf.DUMMYFUNCTION("IF(F102=""India"", FILTER(Weather!F:F,D102=Weather!C:C,E102=Weather!B:B),FILTER(Weather!F:F,D102=Weather!C:C,F102=Weather!A:A))"),117.7)</f>
        <v>117.7</v>
      </c>
      <c r="V102" s="25">
        <v>27.727333333333334</v>
      </c>
      <c r="W102" s="25">
        <v>92.17733333333332</v>
      </c>
      <c r="X102" s="25">
        <v>5.772307692307693</v>
      </c>
      <c r="Y102" s="25">
        <v>39.89076923076924</v>
      </c>
      <c r="Z102" s="25">
        <v>41.56384615384616</v>
      </c>
      <c r="AA102" s="25">
        <v>24.878750000000004</v>
      </c>
      <c r="AB102" s="25">
        <v>76.75124999999998</v>
      </c>
      <c r="AC102" s="25">
        <v>5.679166666666667</v>
      </c>
      <c r="AD102" s="25">
        <v>34.49333333333333</v>
      </c>
      <c r="AE102" s="25">
        <v>38.29833333333333</v>
      </c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</row>
    <row r="103" ht="15.75" hidden="1" customHeight="1">
      <c r="A103" s="25" t="s">
        <v>48</v>
      </c>
      <c r="B103" s="25" t="s">
        <v>62</v>
      </c>
      <c r="C103" s="30">
        <v>44610.0</v>
      </c>
      <c r="D103" s="25" t="s">
        <v>86</v>
      </c>
      <c r="E103" s="25" t="s">
        <v>92</v>
      </c>
      <c r="F103" s="12" t="str">
        <f>IFERROR(__xludf.DUMMYFUNCTION("FILTER(Stadium!$A$2:$A$61,E103=Stadium!$B$2:$B$61)"),"Australia")</f>
        <v>Australia</v>
      </c>
      <c r="G103" s="30" t="str">
        <f t="shared" si="3"/>
        <v>W</v>
      </c>
      <c r="H103" s="30" t="str">
        <f t="shared" si="4"/>
        <v>L</v>
      </c>
      <c r="I103" s="24">
        <v>1.125</v>
      </c>
      <c r="J103" s="24">
        <f>VLOOKUP(B103, 'WL Ratio Table'!$A$6:$D$9, 4, FALSE)</f>
        <v>0.21875</v>
      </c>
      <c r="K103" s="25" t="s">
        <v>72</v>
      </c>
      <c r="L103" s="25">
        <v>143.0</v>
      </c>
      <c r="M103" s="25">
        <v>139.0</v>
      </c>
      <c r="N103" s="25" t="s">
        <v>48</v>
      </c>
      <c r="O103" s="27">
        <v>60.0</v>
      </c>
      <c r="P103" s="25">
        <v>-769.0</v>
      </c>
      <c r="Q103" s="25">
        <v>463.0</v>
      </c>
      <c r="R103" s="25">
        <f t="shared" si="1"/>
        <v>-153</v>
      </c>
      <c r="S103" s="28">
        <f>IFERROR(__xludf.DUMMYFUNCTION("IF(F103=""India"", FILTER(Weather!D:D,D103=Weather!C:C,E103=Weather!B:B), FILTER(Weather!D:D,D103=Weather!C:C,F103=Weather!A:A))"),29.0)</f>
        <v>29</v>
      </c>
      <c r="T103" s="28">
        <f>IFERROR(__xludf.DUMMYFUNCTION("IF(F103=""India"", FILTER(Weather!E:E,D103=Weather!C:C,E103=Weather!B:B),FILTER(Weather!E:E,D103=Weather!C:C,F103=Weather!A:A))"),19.4)</f>
        <v>19.4</v>
      </c>
      <c r="U103" s="28">
        <f>IFERROR(__xludf.DUMMYFUNCTION("IF(F103=""India"", FILTER(Weather!F:F,D103=Weather!C:C,E103=Weather!B:B),FILTER(Weather!F:F,D103=Weather!C:C,F103=Weather!A:A))"),117.7)</f>
        <v>117.7</v>
      </c>
      <c r="V103" s="25">
        <v>27.727333333333334</v>
      </c>
      <c r="W103" s="25">
        <v>92.17733333333332</v>
      </c>
      <c r="X103" s="25">
        <v>5.772307692307693</v>
      </c>
      <c r="Y103" s="25">
        <v>39.89076923076924</v>
      </c>
      <c r="Z103" s="25">
        <v>41.56384615384616</v>
      </c>
      <c r="AA103" s="25">
        <v>24.878750000000004</v>
      </c>
      <c r="AB103" s="25">
        <v>76.75124999999998</v>
      </c>
      <c r="AC103" s="25">
        <v>5.679166666666667</v>
      </c>
      <c r="AD103" s="25">
        <v>34.49333333333333</v>
      </c>
      <c r="AE103" s="25">
        <v>38.29833333333333</v>
      </c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</row>
    <row r="104" ht="15.75" hidden="1" customHeight="1">
      <c r="A104" s="25" t="s">
        <v>48</v>
      </c>
      <c r="B104" s="25" t="s">
        <v>62</v>
      </c>
      <c r="C104" s="30">
        <v>44607.0</v>
      </c>
      <c r="D104" s="25" t="s">
        <v>86</v>
      </c>
      <c r="E104" s="25" t="s">
        <v>97</v>
      </c>
      <c r="F104" s="12" t="str">
        <f>IFERROR(__xludf.DUMMYFUNCTION("FILTER(Stadium!$A$2:$A$61,E104=Stadium!$B$2:$B$61)"),"Australia")</f>
        <v>Australia</v>
      </c>
      <c r="G104" s="30" t="str">
        <f t="shared" si="3"/>
        <v>W</v>
      </c>
      <c r="H104" s="30" t="str">
        <f t="shared" si="4"/>
        <v>L</v>
      </c>
      <c r="I104" s="24">
        <v>1.125</v>
      </c>
      <c r="J104" s="24">
        <f>VLOOKUP(B104, 'WL Ratio Table'!$A$6:$D$9, 4, FALSE)</f>
        <v>0.21875</v>
      </c>
      <c r="K104" s="25" t="s">
        <v>72</v>
      </c>
      <c r="L104" s="25">
        <v>124.0</v>
      </c>
      <c r="M104" s="25">
        <v>121.0</v>
      </c>
      <c r="N104" s="25" t="s">
        <v>48</v>
      </c>
      <c r="O104" s="27">
        <v>60.0</v>
      </c>
      <c r="P104" s="25">
        <v>-714.0</v>
      </c>
      <c r="Q104" s="25">
        <v>451.0</v>
      </c>
      <c r="R104" s="25">
        <f t="shared" si="1"/>
        <v>-131.5</v>
      </c>
      <c r="S104" s="28">
        <f>IFERROR(__xludf.DUMMYFUNCTION("IF(F104=""India"", FILTER(Weather!D:D,D104=Weather!C:C,E104=Weather!B:B), FILTER(Weather!D:D,D104=Weather!C:C,F104=Weather!A:A))"),29.0)</f>
        <v>29</v>
      </c>
      <c r="T104" s="28">
        <f>IFERROR(__xludf.DUMMYFUNCTION("IF(F104=""India"", FILTER(Weather!E:E,D104=Weather!C:C,E104=Weather!B:B),FILTER(Weather!E:E,D104=Weather!C:C,F104=Weather!A:A))"),19.4)</f>
        <v>19.4</v>
      </c>
      <c r="U104" s="28">
        <f>IFERROR(__xludf.DUMMYFUNCTION("IF(F104=""India"", FILTER(Weather!F:F,D104=Weather!C:C,E104=Weather!B:B),FILTER(Weather!F:F,D104=Weather!C:C,F104=Weather!A:A))"),117.7)</f>
        <v>117.7</v>
      </c>
      <c r="V104" s="25">
        <v>27.727333333333334</v>
      </c>
      <c r="W104" s="25">
        <v>92.17733333333332</v>
      </c>
      <c r="X104" s="25">
        <v>5.772307692307693</v>
      </c>
      <c r="Y104" s="25">
        <v>39.89076923076924</v>
      </c>
      <c r="Z104" s="25">
        <v>41.56384615384616</v>
      </c>
      <c r="AA104" s="25">
        <v>24.878750000000004</v>
      </c>
      <c r="AB104" s="25">
        <v>76.75124999999998</v>
      </c>
      <c r="AC104" s="25">
        <v>5.679166666666667</v>
      </c>
      <c r="AD104" s="25">
        <v>34.49333333333333</v>
      </c>
      <c r="AE104" s="25">
        <v>38.29833333333333</v>
      </c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</row>
    <row r="105" ht="15.75" hidden="1" customHeight="1">
      <c r="A105" s="25" t="s">
        <v>48</v>
      </c>
      <c r="B105" s="25" t="s">
        <v>62</v>
      </c>
      <c r="C105" s="30">
        <v>44603.0</v>
      </c>
      <c r="D105" s="25" t="s">
        <v>86</v>
      </c>
      <c r="E105" s="25" t="s">
        <v>94</v>
      </c>
      <c r="F105" s="12" t="str">
        <f>IFERROR(__xludf.DUMMYFUNCTION("FILTER(Stadium!$A$2:$A$61,E105=Stadium!$B$2:$B$61)"),"Australia")</f>
        <v>Australia</v>
      </c>
      <c r="G105" s="30" t="str">
        <f t="shared" si="3"/>
        <v>W</v>
      </c>
      <c r="H105" s="30" t="str">
        <f t="shared" si="4"/>
        <v>L</v>
      </c>
      <c r="I105" s="24">
        <v>1.125</v>
      </c>
      <c r="J105" s="24">
        <f>VLOOKUP(B105, 'WL Ratio Table'!$A$6:$D$9, 4, FALSE)</f>
        <v>0.21875</v>
      </c>
      <c r="K105" s="25" t="s">
        <v>72</v>
      </c>
      <c r="L105" s="25">
        <v>149.0</v>
      </c>
      <c r="M105" s="25">
        <v>122.0</v>
      </c>
      <c r="N105" s="25" t="s">
        <v>48</v>
      </c>
      <c r="O105" s="27">
        <f>(20/149)*100</f>
        <v>13.42281879</v>
      </c>
      <c r="P105" s="25">
        <v>-714.0</v>
      </c>
      <c r="Q105" s="25">
        <v>465.0</v>
      </c>
      <c r="R105" s="25">
        <f t="shared" si="1"/>
        <v>-124.5</v>
      </c>
      <c r="S105" s="28">
        <f>IFERROR(__xludf.DUMMYFUNCTION("IF(F105=""India"", FILTER(Weather!D:D,D105=Weather!C:C,E105=Weather!B:B), FILTER(Weather!D:D,D105=Weather!C:C,F105=Weather!A:A))"),29.0)</f>
        <v>29</v>
      </c>
      <c r="T105" s="28">
        <f>IFERROR(__xludf.DUMMYFUNCTION("IF(F105=""India"", FILTER(Weather!E:E,D105=Weather!C:C,E105=Weather!B:B),FILTER(Weather!E:E,D105=Weather!C:C,F105=Weather!A:A))"),19.4)</f>
        <v>19.4</v>
      </c>
      <c r="U105" s="28">
        <f>IFERROR(__xludf.DUMMYFUNCTION("IF(F105=""India"", FILTER(Weather!F:F,D105=Weather!C:C,E105=Weather!B:B),FILTER(Weather!F:F,D105=Weather!C:C,F105=Weather!A:A))"),117.7)</f>
        <v>117.7</v>
      </c>
      <c r="V105" s="25">
        <v>27.727333333333334</v>
      </c>
      <c r="W105" s="25">
        <v>92.17733333333332</v>
      </c>
      <c r="X105" s="25">
        <v>5.772307692307693</v>
      </c>
      <c r="Y105" s="25">
        <v>39.89076923076924</v>
      </c>
      <c r="Z105" s="25">
        <v>41.56384615384616</v>
      </c>
      <c r="AA105" s="25">
        <v>24.878750000000004</v>
      </c>
      <c r="AB105" s="25">
        <v>76.75124999999998</v>
      </c>
      <c r="AC105" s="25">
        <v>5.679166666666667</v>
      </c>
      <c r="AD105" s="25">
        <v>34.49333333333333</v>
      </c>
      <c r="AE105" s="25">
        <v>38.29833333333333</v>
      </c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</row>
    <row r="106" ht="15.75" hidden="1" customHeight="1">
      <c r="A106" s="25" t="s">
        <v>48</v>
      </c>
      <c r="B106" s="25" t="s">
        <v>56</v>
      </c>
      <c r="C106" s="30">
        <v>44514.0</v>
      </c>
      <c r="D106" s="25" t="s">
        <v>49</v>
      </c>
      <c r="E106" s="25" t="s">
        <v>111</v>
      </c>
      <c r="F106" s="12" t="str">
        <f>IFERROR(__xludf.DUMMYFUNCTION("FILTER(Stadium!$A$2:$A$61,E106=Stadium!$B$2:$B$61)"),"United Arab Emirates")</f>
        <v>United Arab Emirates</v>
      </c>
      <c r="G106" s="30" t="str">
        <f t="shared" si="3"/>
        <v>W</v>
      </c>
      <c r="H106" s="30" t="str">
        <f t="shared" si="4"/>
        <v>L</v>
      </c>
      <c r="I106" s="24">
        <v>1.125</v>
      </c>
      <c r="J106" s="24">
        <v>0.75</v>
      </c>
      <c r="K106" s="25" t="s">
        <v>72</v>
      </c>
      <c r="L106" s="25">
        <v>173.0</v>
      </c>
      <c r="M106" s="25">
        <v>172.0</v>
      </c>
      <c r="N106" s="25" t="s">
        <v>48</v>
      </c>
      <c r="O106" s="27">
        <v>80.0</v>
      </c>
      <c r="P106" s="25">
        <v>-208.0</v>
      </c>
      <c r="Q106" s="25">
        <v>159.0</v>
      </c>
      <c r="R106" s="25">
        <f t="shared" si="1"/>
        <v>-24.5</v>
      </c>
      <c r="S106" s="28">
        <f>IFERROR(__xludf.DUMMYFUNCTION("IF(F106=""India"", FILTER(Weather!D:D,D106=Weather!C:C,E106=Weather!B:B), FILTER(Weather!D:D,D106=Weather!C:C,F106=Weather!A:A))"),31.8)</f>
        <v>31.8</v>
      </c>
      <c r="T106" s="28">
        <f>IFERROR(__xludf.DUMMYFUNCTION("IF(F106=""India"", FILTER(Weather!E:E,D106=Weather!C:C,E106=Weather!B:B),FILTER(Weather!E:E,D106=Weather!C:C,F106=Weather!A:A))"),23.6)</f>
        <v>23.6</v>
      </c>
      <c r="U106" s="28">
        <f>IFERROR(__xludf.DUMMYFUNCTION("IF(F106=""India"", FILTER(Weather!F:F,D106=Weather!C:C,E106=Weather!B:B),FILTER(Weather!F:F,D106=Weather!C:C,F106=Weather!A:A))"),12.7)</f>
        <v>12.7</v>
      </c>
      <c r="V106" s="25">
        <v>27.727333333333334</v>
      </c>
      <c r="W106" s="25">
        <v>92.17733333333332</v>
      </c>
      <c r="X106" s="25">
        <v>5.772307692307693</v>
      </c>
      <c r="Y106" s="25">
        <v>39.89076923076924</v>
      </c>
      <c r="Z106" s="25">
        <v>41.56384615384616</v>
      </c>
      <c r="AA106" s="25">
        <v>29.453333333333333</v>
      </c>
      <c r="AB106" s="25">
        <v>88.70466666666665</v>
      </c>
      <c r="AC106" s="25">
        <v>5.574545454545454</v>
      </c>
      <c r="AD106" s="25">
        <v>33.232727272727274</v>
      </c>
      <c r="AE106" s="25">
        <v>35.72636363636363</v>
      </c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</row>
    <row r="107" ht="15.75" hidden="1" customHeight="1">
      <c r="A107" s="25" t="s">
        <v>48</v>
      </c>
      <c r="B107" s="25" t="s">
        <v>59</v>
      </c>
      <c r="C107" s="30">
        <v>44511.0</v>
      </c>
      <c r="D107" s="25" t="s">
        <v>49</v>
      </c>
      <c r="E107" s="25" t="s">
        <v>111</v>
      </c>
      <c r="F107" s="12" t="str">
        <f>IFERROR(__xludf.DUMMYFUNCTION("FILTER(Stadium!$A$2:$A$61,E107=Stadium!$B$2:$B$61)"),"United Arab Emirates")</f>
        <v>United Arab Emirates</v>
      </c>
      <c r="G107" s="30" t="str">
        <f t="shared" si="3"/>
        <v>W</v>
      </c>
      <c r="H107" s="30" t="str">
        <f t="shared" si="4"/>
        <v>L</v>
      </c>
      <c r="I107" s="24">
        <v>1.125</v>
      </c>
      <c r="J107" s="24">
        <f>VLOOKUP(B107, 'WL Ratio Table'!$A$6:$D$9, 4, FALSE)</f>
        <v>1</v>
      </c>
      <c r="K107" s="25" t="s">
        <v>72</v>
      </c>
      <c r="L107" s="25">
        <v>177.0</v>
      </c>
      <c r="M107" s="25">
        <v>176.0</v>
      </c>
      <c r="N107" s="25" t="s">
        <v>48</v>
      </c>
      <c r="O107" s="27">
        <v>50.0</v>
      </c>
      <c r="P107" s="25">
        <v>-149.0</v>
      </c>
      <c r="Q107" s="25">
        <v>117.0</v>
      </c>
      <c r="R107" s="25">
        <f t="shared" si="1"/>
        <v>-16</v>
      </c>
      <c r="S107" s="28">
        <f>IFERROR(__xludf.DUMMYFUNCTION("IF(F107=""India"", FILTER(Weather!D:D,D107=Weather!C:C,E107=Weather!B:B), FILTER(Weather!D:D,D107=Weather!C:C,F107=Weather!A:A))"),31.8)</f>
        <v>31.8</v>
      </c>
      <c r="T107" s="28">
        <f>IFERROR(__xludf.DUMMYFUNCTION("IF(F107=""India"", FILTER(Weather!E:E,D107=Weather!C:C,E107=Weather!B:B),FILTER(Weather!E:E,D107=Weather!C:C,F107=Weather!A:A))"),23.6)</f>
        <v>23.6</v>
      </c>
      <c r="U107" s="28">
        <f>IFERROR(__xludf.DUMMYFUNCTION("IF(F107=""India"", FILTER(Weather!F:F,D107=Weather!C:C,E107=Weather!B:B),FILTER(Weather!F:F,D107=Weather!C:C,F107=Weather!A:A))"),12.7)</f>
        <v>12.7</v>
      </c>
      <c r="V107" s="25">
        <v>27.727333333333334</v>
      </c>
      <c r="W107" s="25">
        <v>92.17733333333332</v>
      </c>
      <c r="X107" s="25">
        <v>5.772307692307693</v>
      </c>
      <c r="Y107" s="25">
        <v>39.89076923076924</v>
      </c>
      <c r="Z107" s="25">
        <v>41.56384615384616</v>
      </c>
      <c r="AA107" s="25">
        <v>28.993333333333332</v>
      </c>
      <c r="AB107" s="25">
        <v>91.364</v>
      </c>
      <c r="AC107" s="25">
        <v>5.425454545454545</v>
      </c>
      <c r="AD107" s="25">
        <v>46.032727272727264</v>
      </c>
      <c r="AE107" s="25">
        <v>51.62</v>
      </c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</row>
    <row r="108" ht="15.75" hidden="1" customHeight="1">
      <c r="A108" s="25" t="s">
        <v>58</v>
      </c>
      <c r="B108" s="25" t="s">
        <v>56</v>
      </c>
      <c r="C108" s="30">
        <v>44510.0</v>
      </c>
      <c r="D108" s="25" t="s">
        <v>49</v>
      </c>
      <c r="E108" s="25" t="s">
        <v>112</v>
      </c>
      <c r="F108" s="12" t="str">
        <f>IFERROR(__xludf.DUMMYFUNCTION("FILTER(Stadium!$A$2:$A$61,E108=Stadium!$B$2:$B$61)"),"United Arab Emirates")</f>
        <v>United Arab Emirates</v>
      </c>
      <c r="G108" s="30" t="str">
        <f t="shared" si="3"/>
        <v>L</v>
      </c>
      <c r="H108" s="30" t="str">
        <f t="shared" si="4"/>
        <v>W</v>
      </c>
      <c r="I108" s="24">
        <f>VLOOKUP(A108, 'WL Ratio Table'!$A$6:$D$8, 4, FALSE)</f>
        <v>1.384615385</v>
      </c>
      <c r="J108" s="24">
        <v>0.75</v>
      </c>
      <c r="K108" s="25" t="s">
        <v>72</v>
      </c>
      <c r="L108" s="25">
        <v>166.0</v>
      </c>
      <c r="M108" s="25">
        <v>167.0</v>
      </c>
      <c r="N108" s="25" t="s">
        <v>56</v>
      </c>
      <c r="O108" s="27">
        <v>30.0</v>
      </c>
      <c r="P108" s="25">
        <v>-154.0</v>
      </c>
      <c r="Q108" s="25">
        <v>120.0</v>
      </c>
      <c r="R108" s="25">
        <f t="shared" si="1"/>
        <v>-17</v>
      </c>
      <c r="S108" s="28">
        <f>IFERROR(__xludf.DUMMYFUNCTION("IF(F108=""India"", FILTER(Weather!D:D,D108=Weather!C:C,E108=Weather!B:B), FILTER(Weather!D:D,D108=Weather!C:C,F108=Weather!A:A))"),31.8)</f>
        <v>31.8</v>
      </c>
      <c r="T108" s="28">
        <f>IFERROR(__xludf.DUMMYFUNCTION("IF(F108=""India"", FILTER(Weather!E:E,D108=Weather!C:C,E108=Weather!B:B),FILTER(Weather!E:E,D108=Weather!C:C,F108=Weather!A:A))"),23.6)</f>
        <v>23.6</v>
      </c>
      <c r="U108" s="28">
        <f>IFERROR(__xludf.DUMMYFUNCTION("IF(F108=""India"", FILTER(Weather!F:F,D108=Weather!C:C,E108=Weather!B:B),FILTER(Weather!F:F,D108=Weather!C:C,F108=Weather!A:A))"),12.7)</f>
        <v>12.7</v>
      </c>
      <c r="V108" s="25">
        <v>30.137999999999998</v>
      </c>
      <c r="W108" s="25">
        <v>100.968</v>
      </c>
      <c r="X108" s="25">
        <v>5.778333333333333</v>
      </c>
      <c r="Y108" s="25">
        <v>37.89333333333334</v>
      </c>
      <c r="Z108" s="25">
        <v>39.69166666666667</v>
      </c>
      <c r="AA108" s="25">
        <v>29.453333333333333</v>
      </c>
      <c r="AB108" s="25">
        <v>88.70466666666665</v>
      </c>
      <c r="AC108" s="25">
        <v>5.574545454545454</v>
      </c>
      <c r="AD108" s="25">
        <v>33.232727272727274</v>
      </c>
      <c r="AE108" s="25">
        <v>35.72636363636363</v>
      </c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</row>
    <row r="109" ht="15.75" hidden="1" customHeight="1">
      <c r="A109" s="25" t="s">
        <v>58</v>
      </c>
      <c r="B109" s="25" t="s">
        <v>54</v>
      </c>
      <c r="C109" s="30">
        <v>44506.0</v>
      </c>
      <c r="D109" s="25" t="s">
        <v>49</v>
      </c>
      <c r="E109" s="25" t="s">
        <v>113</v>
      </c>
      <c r="F109" s="12" t="str">
        <f>IFERROR(__xludf.DUMMYFUNCTION("FILTER(Stadium!$A$2:$A$61,E109=Stadium!$B$2:$B$61)"),"United Arab Emirates")</f>
        <v>United Arab Emirates</v>
      </c>
      <c r="G109" s="30" t="str">
        <f t="shared" si="3"/>
        <v>L</v>
      </c>
      <c r="H109" s="30" t="str">
        <f t="shared" si="4"/>
        <v>W</v>
      </c>
      <c r="I109" s="24">
        <f>VLOOKUP(A109, 'WL Ratio Table'!$A$6:$D$8, 4, FALSE)</f>
        <v>1.384615385</v>
      </c>
      <c r="J109" s="24">
        <v>1.0909090909090908</v>
      </c>
      <c r="K109" s="25" t="s">
        <v>72</v>
      </c>
      <c r="L109" s="25">
        <v>179.0</v>
      </c>
      <c r="M109" s="25">
        <v>189.0</v>
      </c>
      <c r="N109" s="25" t="s">
        <v>54</v>
      </c>
      <c r="O109" s="27">
        <f>(10/189)*100</f>
        <v>5.291005291</v>
      </c>
      <c r="P109" s="25">
        <v>-263.0</v>
      </c>
      <c r="Q109" s="25">
        <v>198.0</v>
      </c>
      <c r="R109" s="25">
        <f t="shared" si="1"/>
        <v>-32.5</v>
      </c>
      <c r="S109" s="28">
        <f>IFERROR(__xludf.DUMMYFUNCTION("IF(F109=""India"", FILTER(Weather!D:D,D109=Weather!C:C,E109=Weather!B:B), FILTER(Weather!D:D,D109=Weather!C:C,F109=Weather!A:A))"),31.8)</f>
        <v>31.8</v>
      </c>
      <c r="T109" s="28">
        <f>IFERROR(__xludf.DUMMYFUNCTION("IF(F109=""India"", FILTER(Weather!E:E,D109=Weather!C:C,E109=Weather!B:B),FILTER(Weather!E:E,D109=Weather!C:C,F109=Weather!A:A))"),23.6)</f>
        <v>23.6</v>
      </c>
      <c r="U109" s="28">
        <f>IFERROR(__xludf.DUMMYFUNCTION("IF(F109=""India"", FILTER(Weather!F:F,D109=Weather!C:C,E109=Weather!B:B),FILTER(Weather!F:F,D109=Weather!C:C,F109=Weather!A:A))"),12.7)</f>
        <v>12.7</v>
      </c>
      <c r="V109" s="25">
        <v>30.137999999999998</v>
      </c>
      <c r="W109" s="25">
        <v>100.968</v>
      </c>
      <c r="X109" s="25">
        <v>5.778333333333333</v>
      </c>
      <c r="Y109" s="25">
        <v>37.89333333333334</v>
      </c>
      <c r="Z109" s="25">
        <v>39.69166666666667</v>
      </c>
      <c r="AA109" s="25">
        <v>29.26</v>
      </c>
      <c r="AB109" s="25">
        <v>86.99071428571429</v>
      </c>
      <c r="AC109" s="25">
        <v>5.596923076923077</v>
      </c>
      <c r="AD109" s="25">
        <v>26.36384615384615</v>
      </c>
      <c r="AE109" s="25">
        <v>26.93846153846153</v>
      </c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</row>
    <row r="110" ht="15.75" hidden="1" customHeight="1">
      <c r="A110" s="25" t="s">
        <v>48</v>
      </c>
      <c r="B110" s="25" t="s">
        <v>61</v>
      </c>
      <c r="C110" s="30">
        <v>44504.0</v>
      </c>
      <c r="D110" s="25" t="s">
        <v>49</v>
      </c>
      <c r="E110" s="25" t="s">
        <v>111</v>
      </c>
      <c r="F110" s="12" t="str">
        <f>IFERROR(__xludf.DUMMYFUNCTION("FILTER(Stadium!$A$2:$A$61,E110=Stadium!$B$2:$B$61)"),"United Arab Emirates")</f>
        <v>United Arab Emirates</v>
      </c>
      <c r="G110" s="30" t="str">
        <f t="shared" si="3"/>
        <v>W</v>
      </c>
      <c r="H110" s="30" t="str">
        <f t="shared" si="4"/>
        <v>L</v>
      </c>
      <c r="I110" s="24">
        <f>2/6</f>
        <v>0.3333333333</v>
      </c>
      <c r="J110" s="24">
        <f>4/6</f>
        <v>0.6666666667</v>
      </c>
      <c r="K110" s="25" t="s">
        <v>72</v>
      </c>
      <c r="L110" s="25">
        <v>78.0</v>
      </c>
      <c r="M110" s="25">
        <v>70.0</v>
      </c>
      <c r="N110" s="25" t="s">
        <v>48</v>
      </c>
      <c r="O110" s="27">
        <f>(8/78)*100</f>
        <v>10.25641026</v>
      </c>
      <c r="P110" s="25">
        <v>-909.0</v>
      </c>
      <c r="Q110" s="25">
        <v>569.0</v>
      </c>
      <c r="R110" s="25">
        <f t="shared" si="1"/>
        <v>-170</v>
      </c>
      <c r="S110" s="28">
        <f>IFERROR(__xludf.DUMMYFUNCTION("IF(F110=""India"", FILTER(Weather!D:D,D110=Weather!C:C,E110=Weather!B:B), FILTER(Weather!D:D,D110=Weather!C:C,F110=Weather!A:A))"),31.8)</f>
        <v>31.8</v>
      </c>
      <c r="T110" s="28">
        <f>IFERROR(__xludf.DUMMYFUNCTION("IF(F110=""India"", FILTER(Weather!E:E,D110=Weather!C:C,E110=Weather!B:B),FILTER(Weather!E:E,D110=Weather!C:C,F110=Weather!A:A))"),23.6)</f>
        <v>23.6</v>
      </c>
      <c r="U110" s="28">
        <f>IFERROR(__xludf.DUMMYFUNCTION("IF(F110=""India"", FILTER(Weather!F:F,D110=Weather!C:C,E110=Weather!B:B),FILTER(Weather!F:F,D110=Weather!C:C,F110=Weather!A:A))"),12.7)</f>
        <v>12.7</v>
      </c>
      <c r="V110" s="25">
        <v>27.727333333333334</v>
      </c>
      <c r="W110" s="25">
        <v>92.17733333333332</v>
      </c>
      <c r="X110" s="25">
        <v>5.772307692307693</v>
      </c>
      <c r="Y110" s="25">
        <v>39.89076923076924</v>
      </c>
      <c r="Z110" s="25">
        <v>41.56384615384616</v>
      </c>
      <c r="AA110" s="25">
        <v>21.11625</v>
      </c>
      <c r="AB110" s="25">
        <v>78.83125</v>
      </c>
      <c r="AC110" s="25">
        <v>5.192727272727272</v>
      </c>
      <c r="AD110" s="25">
        <v>33.17</v>
      </c>
      <c r="AE110" s="25">
        <v>38.899090909090894</v>
      </c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</row>
    <row r="111" ht="15.75" hidden="1" customHeight="1">
      <c r="A111" s="25" t="s">
        <v>54</v>
      </c>
      <c r="B111" s="25" t="s">
        <v>61</v>
      </c>
      <c r="C111" s="30">
        <v>44502.0</v>
      </c>
      <c r="D111" s="25" t="s">
        <v>49</v>
      </c>
      <c r="E111" s="25" t="s">
        <v>112</v>
      </c>
      <c r="F111" s="12" t="str">
        <f>IFERROR(__xludf.DUMMYFUNCTION("FILTER(Stadium!$A$2:$A$61,E111=Stadium!$B$2:$B$61)"),"United Arab Emirates")</f>
        <v>United Arab Emirates</v>
      </c>
      <c r="G111" s="30" t="str">
        <f t="shared" si="3"/>
        <v>W</v>
      </c>
      <c r="H111" s="30" t="str">
        <f t="shared" si="4"/>
        <v>L</v>
      </c>
      <c r="I111" s="24">
        <v>1.0909090909090908</v>
      </c>
      <c r="J111" s="24">
        <f>VLOOKUP(B111, 'WL Ratio Table'!$A$6:$D$9, 4, FALSE)</f>
        <v>0.5416666667</v>
      </c>
      <c r="K111" s="25" t="s">
        <v>72</v>
      </c>
      <c r="L111" s="25">
        <v>86.0</v>
      </c>
      <c r="M111" s="25">
        <v>84.0</v>
      </c>
      <c r="N111" s="25" t="s">
        <v>54</v>
      </c>
      <c r="O111" s="27">
        <v>60.0</v>
      </c>
      <c r="P111" s="25">
        <v>-526.0</v>
      </c>
      <c r="Q111" s="25">
        <v>346.0</v>
      </c>
      <c r="R111" s="25">
        <f t="shared" si="1"/>
        <v>-90</v>
      </c>
      <c r="S111" s="28">
        <f>IFERROR(__xludf.DUMMYFUNCTION("IF(F111=""India"", FILTER(Weather!D:D,D111=Weather!C:C,E111=Weather!B:B), FILTER(Weather!D:D,D111=Weather!C:C,F111=Weather!A:A))"),31.8)</f>
        <v>31.8</v>
      </c>
      <c r="T111" s="28">
        <f>IFERROR(__xludf.DUMMYFUNCTION("IF(F111=""India"", FILTER(Weather!E:E,D111=Weather!C:C,E111=Weather!B:B),FILTER(Weather!E:E,D111=Weather!C:C,F111=Weather!A:A))"),23.6)</f>
        <v>23.6</v>
      </c>
      <c r="U111" s="28">
        <f>IFERROR(__xludf.DUMMYFUNCTION("IF(F111=""India"", FILTER(Weather!F:F,D111=Weather!C:C,E111=Weather!B:B),FILTER(Weather!F:F,D111=Weather!C:C,F111=Weather!A:A))"),12.7)</f>
        <v>12.7</v>
      </c>
      <c r="V111" s="25">
        <v>29.26</v>
      </c>
      <c r="W111" s="25">
        <v>86.99071428571429</v>
      </c>
      <c r="X111" s="25">
        <v>5.596923076923077</v>
      </c>
      <c r="Y111" s="25">
        <v>26.36384615384615</v>
      </c>
      <c r="Z111" s="25">
        <v>26.93846153846153</v>
      </c>
      <c r="AA111" s="25">
        <v>21.11625</v>
      </c>
      <c r="AB111" s="25">
        <v>78.83125</v>
      </c>
      <c r="AC111" s="25">
        <v>5.192727272727272</v>
      </c>
      <c r="AD111" s="25">
        <v>33.17</v>
      </c>
      <c r="AE111" s="25">
        <v>38.899090909090894</v>
      </c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</row>
    <row r="112" ht="15.75" hidden="1" customHeight="1">
      <c r="A112" s="25" t="s">
        <v>58</v>
      </c>
      <c r="B112" s="25" t="s">
        <v>62</v>
      </c>
      <c r="C112" s="30">
        <v>44501.0</v>
      </c>
      <c r="D112" s="25" t="s">
        <v>49</v>
      </c>
      <c r="E112" s="25" t="s">
        <v>113</v>
      </c>
      <c r="F112" s="12" t="str">
        <f>IFERROR(__xludf.DUMMYFUNCTION("FILTER(Stadium!$A$2:$A$61,E112=Stadium!$B$2:$B$61)"),"United Arab Emirates")</f>
        <v>United Arab Emirates</v>
      </c>
      <c r="G112" s="30" t="str">
        <f t="shared" si="3"/>
        <v>W</v>
      </c>
      <c r="H112" s="30" t="str">
        <f t="shared" si="4"/>
        <v>L</v>
      </c>
      <c r="I112" s="24">
        <f>VLOOKUP(A112, 'WL Ratio Table'!$A$6:$D$8, 4, FALSE)</f>
        <v>1.384615385</v>
      </c>
      <c r="J112" s="24">
        <f>VLOOKUP(B112, 'WL Ratio Table'!$A$6:$D$9, 4, FALSE)</f>
        <v>0.21875</v>
      </c>
      <c r="K112" s="25" t="s">
        <v>72</v>
      </c>
      <c r="L112" s="25">
        <v>163.0</v>
      </c>
      <c r="M112" s="25">
        <v>137.0</v>
      </c>
      <c r="N112" s="25" t="s">
        <v>58</v>
      </c>
      <c r="O112" s="27">
        <f>(26/163)*100</f>
        <v>15.95092025</v>
      </c>
      <c r="P112" s="25">
        <v>-370.0</v>
      </c>
      <c r="Q112" s="25">
        <v>279.0</v>
      </c>
      <c r="R112" s="25">
        <f t="shared" si="1"/>
        <v>-45.5</v>
      </c>
      <c r="S112" s="28">
        <f>IFERROR(__xludf.DUMMYFUNCTION("IF(F112=""India"", FILTER(Weather!D:D,D112=Weather!C:C,E112=Weather!B:B), FILTER(Weather!D:D,D112=Weather!C:C,F112=Weather!A:A))"),31.8)</f>
        <v>31.8</v>
      </c>
      <c r="T112" s="28">
        <f>IFERROR(__xludf.DUMMYFUNCTION("IF(F112=""India"", FILTER(Weather!E:E,D112=Weather!C:C,E112=Weather!B:B),FILTER(Weather!E:E,D112=Weather!C:C,F112=Weather!A:A))"),23.6)</f>
        <v>23.6</v>
      </c>
      <c r="U112" s="28">
        <f>IFERROR(__xludf.DUMMYFUNCTION("IF(F112=""India"", FILTER(Weather!F:F,D112=Weather!C:C,E112=Weather!B:B),FILTER(Weather!F:F,D112=Weather!C:C,F112=Weather!A:A))"),12.7)</f>
        <v>12.7</v>
      </c>
      <c r="V112" s="25">
        <v>30.137999999999998</v>
      </c>
      <c r="W112" s="25">
        <v>100.968</v>
      </c>
      <c r="X112" s="25">
        <v>5.778333333333333</v>
      </c>
      <c r="Y112" s="25">
        <v>37.89333333333334</v>
      </c>
      <c r="Z112" s="25">
        <v>39.69166666666667</v>
      </c>
      <c r="AA112" s="25">
        <v>24.878750000000004</v>
      </c>
      <c r="AB112" s="25">
        <v>76.75124999999998</v>
      </c>
      <c r="AC112" s="25">
        <v>5.679166666666667</v>
      </c>
      <c r="AD112" s="25">
        <v>34.49333333333333</v>
      </c>
      <c r="AE112" s="25">
        <v>38.29833333333333</v>
      </c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</row>
    <row r="113" ht="15.75" customHeight="1">
      <c r="A113" s="25" t="s">
        <v>47</v>
      </c>
      <c r="B113" s="25" t="s">
        <v>56</v>
      </c>
      <c r="C113" s="30">
        <v>44500.0</v>
      </c>
      <c r="D113" s="25" t="s">
        <v>64</v>
      </c>
      <c r="E113" s="25" t="s">
        <v>111</v>
      </c>
      <c r="F113" s="12" t="str">
        <f>IFERROR(__xludf.DUMMYFUNCTION("FILTER(Stadium!$A$2:$A$61,E113=Stadium!$B$2:$B$61)"),"United Arab Emirates")</f>
        <v>United Arab Emirates</v>
      </c>
      <c r="G113" s="30" t="str">
        <f t="shared" si="3"/>
        <v>L</v>
      </c>
      <c r="H113" s="30" t="str">
        <f t="shared" si="4"/>
        <v>W</v>
      </c>
      <c r="I113" s="22">
        <f>12/14</f>
        <v>0.8571428571</v>
      </c>
      <c r="J113" s="22">
        <f>2/14</f>
        <v>0.1428571429</v>
      </c>
      <c r="K113" s="25" t="s">
        <v>72</v>
      </c>
      <c r="L113" s="25">
        <v>110.0</v>
      </c>
      <c r="M113" s="25">
        <v>111.0</v>
      </c>
      <c r="N113" s="25" t="s">
        <v>56</v>
      </c>
      <c r="O113" s="27">
        <v>80.0</v>
      </c>
      <c r="P113" s="25">
        <v>-200.0</v>
      </c>
      <c r="Q113" s="25">
        <v>159.0</v>
      </c>
      <c r="R113" s="25">
        <f t="shared" si="1"/>
        <v>-20.5</v>
      </c>
      <c r="S113" s="28">
        <f>IFERROR(__xludf.DUMMYFUNCTION("IF(F113=""India"", FILTER(Weather!D:D,D113=Weather!C:C,E113=Weather!B:B), FILTER(Weather!D:D,D113=Weather!C:C,F113=Weather!A:A))"),36.9)</f>
        <v>36.9</v>
      </c>
      <c r="T113" s="28">
        <f>IFERROR(__xludf.DUMMYFUNCTION("IF(F113=""India"", FILTER(Weather!E:E,D113=Weather!C:C,E113=Weather!B:B),FILTER(Weather!E:E,D113=Weather!C:C,F113=Weather!A:A))"),27.0)</f>
        <v>27</v>
      </c>
      <c r="U113" s="28">
        <f>IFERROR(__xludf.DUMMYFUNCTION("IF(F113=""India"", FILTER(Weather!F:F,D113=Weather!C:C,E113=Weather!B:B),FILTER(Weather!F:F,D113=Weather!C:C,F113=Weather!A:A))"),4.6)</f>
        <v>4.6</v>
      </c>
      <c r="V113" s="15">
        <v>29.216249999999995</v>
      </c>
      <c r="W113" s="15">
        <v>82.43625</v>
      </c>
      <c r="X113" s="25">
        <v>5.422499999999999</v>
      </c>
      <c r="Y113" s="25">
        <v>40.535</v>
      </c>
      <c r="Z113" s="25">
        <v>43.995000000000005</v>
      </c>
      <c r="AA113" s="25">
        <v>29.453333333333333</v>
      </c>
      <c r="AB113" s="25">
        <v>88.70466666666665</v>
      </c>
      <c r="AC113" s="25">
        <v>5.574545454545454</v>
      </c>
      <c r="AD113" s="25">
        <v>33.232727272727274</v>
      </c>
      <c r="AE113" s="25">
        <v>35.72636363636363</v>
      </c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</row>
    <row r="114" ht="15.75" hidden="1" customHeight="1">
      <c r="A114" s="25" t="s">
        <v>48</v>
      </c>
      <c r="B114" s="25" t="s">
        <v>58</v>
      </c>
      <c r="C114" s="30">
        <v>44499.0</v>
      </c>
      <c r="D114" s="25" t="s">
        <v>64</v>
      </c>
      <c r="E114" s="25" t="s">
        <v>111</v>
      </c>
      <c r="F114" s="12" t="str">
        <f>IFERROR(__xludf.DUMMYFUNCTION("FILTER(Stadium!$A$2:$A$61,E114=Stadium!$B$2:$B$61)"),"United Arab Emirates")</f>
        <v>United Arab Emirates</v>
      </c>
      <c r="G114" s="30" t="str">
        <f t="shared" si="3"/>
        <v>L</v>
      </c>
      <c r="H114" s="30" t="str">
        <f t="shared" si="4"/>
        <v>W</v>
      </c>
      <c r="I114" s="24">
        <v>1.125</v>
      </c>
      <c r="J114" s="24">
        <f>VLOOKUP(B114, 'WL Ratio Table'!$A$6:$D$9, 4, FALSE)</f>
        <v>1.384615385</v>
      </c>
      <c r="K114" s="25" t="s">
        <v>72</v>
      </c>
      <c r="L114" s="25">
        <v>125.0</v>
      </c>
      <c r="M114" s="25">
        <v>126.0</v>
      </c>
      <c r="N114" s="25" t="s">
        <v>58</v>
      </c>
      <c r="O114" s="27">
        <v>80.0</v>
      </c>
      <c r="P114" s="25">
        <v>135.0</v>
      </c>
      <c r="Q114" s="25">
        <v>-172.0</v>
      </c>
      <c r="R114" s="25">
        <f t="shared" si="1"/>
        <v>-18.5</v>
      </c>
      <c r="S114" s="28">
        <f>IFERROR(__xludf.DUMMYFUNCTION("IF(F114=""India"", FILTER(Weather!D:D,D114=Weather!C:C,E114=Weather!B:B), FILTER(Weather!D:D,D114=Weather!C:C,F114=Weather!A:A))"),36.9)</f>
        <v>36.9</v>
      </c>
      <c r="T114" s="28">
        <f>IFERROR(__xludf.DUMMYFUNCTION("IF(F114=""India"", FILTER(Weather!E:E,D114=Weather!C:C,E114=Weather!B:B),FILTER(Weather!E:E,D114=Weather!C:C,F114=Weather!A:A))"),27.0)</f>
        <v>27</v>
      </c>
      <c r="U114" s="28">
        <f>IFERROR(__xludf.DUMMYFUNCTION("IF(F114=""India"", FILTER(Weather!F:F,D114=Weather!C:C,E114=Weather!B:B),FILTER(Weather!F:F,D114=Weather!C:C,F114=Weather!A:A))"),4.6)</f>
        <v>4.6</v>
      </c>
      <c r="V114" s="25">
        <v>27.727333333333334</v>
      </c>
      <c r="W114" s="25">
        <v>92.17733333333332</v>
      </c>
      <c r="X114" s="25">
        <v>5.772307692307693</v>
      </c>
      <c r="Y114" s="25">
        <v>39.89076923076924</v>
      </c>
      <c r="Z114" s="25">
        <v>41.56384615384616</v>
      </c>
      <c r="AA114" s="25">
        <v>30.137999999999998</v>
      </c>
      <c r="AB114" s="25">
        <v>100.968</v>
      </c>
      <c r="AC114" s="25">
        <v>5.778333333333333</v>
      </c>
      <c r="AD114" s="25">
        <v>37.89333333333334</v>
      </c>
      <c r="AE114" s="25">
        <v>39.69166666666667</v>
      </c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</row>
    <row r="115" ht="15.75" hidden="1" customHeight="1">
      <c r="A115" s="25" t="s">
        <v>54</v>
      </c>
      <c r="B115" s="25" t="s">
        <v>62</v>
      </c>
      <c r="C115" s="30">
        <v>44499.0</v>
      </c>
      <c r="D115" s="25" t="s">
        <v>64</v>
      </c>
      <c r="E115" s="25" t="s">
        <v>113</v>
      </c>
      <c r="F115" s="12" t="str">
        <f>IFERROR(__xludf.DUMMYFUNCTION("FILTER(Stadium!$A$2:$A$61,E115=Stadium!$B$2:$B$61)"),"United Arab Emirates")</f>
        <v>United Arab Emirates</v>
      </c>
      <c r="G115" s="30" t="str">
        <f t="shared" si="3"/>
        <v>W</v>
      </c>
      <c r="H115" s="30" t="str">
        <f t="shared" si="4"/>
        <v>L</v>
      </c>
      <c r="I115" s="24">
        <v>1.0909090909090908</v>
      </c>
      <c r="J115" s="24">
        <f>VLOOKUP(B115, 'WL Ratio Table'!$A$6:$D$9, 4, FALSE)</f>
        <v>0.21875</v>
      </c>
      <c r="K115" s="25" t="s">
        <v>72</v>
      </c>
      <c r="L115" s="25">
        <v>146.0</v>
      </c>
      <c r="M115" s="25">
        <v>142.0</v>
      </c>
      <c r="N115" s="25" t="s">
        <v>54</v>
      </c>
      <c r="O115" s="27">
        <v>40.0</v>
      </c>
      <c r="P115" s="25">
        <v>-270.0</v>
      </c>
      <c r="Q115" s="25">
        <v>210.0</v>
      </c>
      <c r="R115" s="25">
        <f t="shared" si="1"/>
        <v>-30</v>
      </c>
      <c r="S115" s="28">
        <f>IFERROR(__xludf.DUMMYFUNCTION("IF(F115=""India"", FILTER(Weather!D:D,D115=Weather!C:C,E115=Weather!B:B), FILTER(Weather!D:D,D115=Weather!C:C,F115=Weather!A:A))"),36.9)</f>
        <v>36.9</v>
      </c>
      <c r="T115" s="28">
        <f>IFERROR(__xludf.DUMMYFUNCTION("IF(F115=""India"", FILTER(Weather!E:E,D115=Weather!C:C,E115=Weather!B:B),FILTER(Weather!E:E,D115=Weather!C:C,F115=Weather!A:A))"),27.0)</f>
        <v>27</v>
      </c>
      <c r="U115" s="28">
        <f>IFERROR(__xludf.DUMMYFUNCTION("IF(F115=""India"", FILTER(Weather!F:F,D115=Weather!C:C,E115=Weather!B:B),FILTER(Weather!F:F,D115=Weather!C:C,F115=Weather!A:A))"),4.6)</f>
        <v>4.6</v>
      </c>
      <c r="V115" s="25">
        <v>29.26</v>
      </c>
      <c r="W115" s="25">
        <v>86.99071428571429</v>
      </c>
      <c r="X115" s="25">
        <v>5.596923076923077</v>
      </c>
      <c r="Y115" s="25">
        <v>26.36384615384615</v>
      </c>
      <c r="Z115" s="25">
        <v>26.93846153846153</v>
      </c>
      <c r="AA115" s="25">
        <v>24.878750000000004</v>
      </c>
      <c r="AB115" s="25">
        <v>76.75124999999998</v>
      </c>
      <c r="AC115" s="25">
        <v>5.679166666666667</v>
      </c>
      <c r="AD115" s="25">
        <v>34.49333333333333</v>
      </c>
      <c r="AE115" s="25">
        <v>38.29833333333333</v>
      </c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</row>
    <row r="116" ht="15.75" hidden="1" customHeight="1">
      <c r="A116" s="25" t="s">
        <v>48</v>
      </c>
      <c r="B116" s="25" t="s">
        <v>62</v>
      </c>
      <c r="C116" s="30">
        <v>44497.0</v>
      </c>
      <c r="D116" s="25" t="s">
        <v>64</v>
      </c>
      <c r="E116" s="25" t="s">
        <v>111</v>
      </c>
      <c r="F116" s="12" t="str">
        <f>IFERROR(__xludf.DUMMYFUNCTION("FILTER(Stadium!$A$2:$A$61,E116=Stadium!$B$2:$B$61)"),"United Arab Emirates")</f>
        <v>United Arab Emirates</v>
      </c>
      <c r="G116" s="30" t="str">
        <f t="shared" si="3"/>
        <v>W</v>
      </c>
      <c r="H116" s="30" t="str">
        <f t="shared" si="4"/>
        <v>L</v>
      </c>
      <c r="I116" s="24">
        <v>1.125</v>
      </c>
      <c r="J116" s="24">
        <f>VLOOKUP(B116, 'WL Ratio Table'!$A$6:$D$9, 4, FALSE)</f>
        <v>0.21875</v>
      </c>
      <c r="K116" s="25" t="s">
        <v>72</v>
      </c>
      <c r="L116" s="25">
        <v>155.0</v>
      </c>
      <c r="M116" s="25">
        <v>154.0</v>
      </c>
      <c r="N116" s="25" t="s">
        <v>48</v>
      </c>
      <c r="O116" s="27">
        <v>70.0</v>
      </c>
      <c r="P116" s="25">
        <v>-385.0</v>
      </c>
      <c r="Q116" s="25">
        <v>278.0</v>
      </c>
      <c r="R116" s="25">
        <f t="shared" si="1"/>
        <v>-53.5</v>
      </c>
      <c r="S116" s="28">
        <f>IFERROR(__xludf.DUMMYFUNCTION("IF(F116=""India"", FILTER(Weather!D:D,D116=Weather!C:C,E116=Weather!B:B), FILTER(Weather!D:D,D116=Weather!C:C,F116=Weather!A:A))"),36.9)</f>
        <v>36.9</v>
      </c>
      <c r="T116" s="28">
        <f>IFERROR(__xludf.DUMMYFUNCTION("IF(F116=""India"", FILTER(Weather!E:E,D116=Weather!C:C,E116=Weather!B:B),FILTER(Weather!E:E,D116=Weather!C:C,F116=Weather!A:A))"),27.0)</f>
        <v>27</v>
      </c>
      <c r="U116" s="28">
        <f>IFERROR(__xludf.DUMMYFUNCTION("IF(F116=""India"", FILTER(Weather!F:F,D116=Weather!C:C,E116=Weather!B:B),FILTER(Weather!F:F,D116=Weather!C:C,F116=Weather!A:A))"),4.6)</f>
        <v>4.6</v>
      </c>
      <c r="V116" s="25">
        <v>27.727333333333334</v>
      </c>
      <c r="W116" s="25">
        <v>92.17733333333332</v>
      </c>
      <c r="X116" s="25">
        <v>5.772307692307693</v>
      </c>
      <c r="Y116" s="25">
        <v>39.89076923076924</v>
      </c>
      <c r="Z116" s="25">
        <v>41.56384615384616</v>
      </c>
      <c r="AA116" s="25">
        <v>24.878750000000004</v>
      </c>
      <c r="AB116" s="25">
        <v>76.75124999999998</v>
      </c>
      <c r="AC116" s="25">
        <v>5.679166666666667</v>
      </c>
      <c r="AD116" s="25">
        <v>34.49333333333333</v>
      </c>
      <c r="AE116" s="25">
        <v>38.29833333333333</v>
      </c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</row>
    <row r="117" ht="15.75" hidden="1" customHeight="1">
      <c r="A117" s="25" t="s">
        <v>58</v>
      </c>
      <c r="B117" s="25" t="s">
        <v>61</v>
      </c>
      <c r="C117" s="30">
        <v>44496.0</v>
      </c>
      <c r="D117" s="25" t="s">
        <v>64</v>
      </c>
      <c r="E117" s="25" t="s">
        <v>112</v>
      </c>
      <c r="F117" s="12" t="str">
        <f>IFERROR(__xludf.DUMMYFUNCTION("FILTER(Stadium!$A$2:$A$61,E117=Stadium!$B$2:$B$61)"),"United Arab Emirates")</f>
        <v>United Arab Emirates</v>
      </c>
      <c r="G117" s="30" t="str">
        <f t="shared" si="3"/>
        <v>W</v>
      </c>
      <c r="H117" s="30" t="str">
        <f t="shared" si="4"/>
        <v>L</v>
      </c>
      <c r="I117" s="24">
        <f>VLOOKUP(A117, 'WL Ratio Table'!$A$6:$D$8, 4, FALSE)</f>
        <v>1.384615385</v>
      </c>
      <c r="J117" s="24">
        <f>VLOOKUP(B117, 'WL Ratio Table'!$A$6:$D$9, 4, FALSE)</f>
        <v>0.5416666667</v>
      </c>
      <c r="K117" s="25" t="s">
        <v>72</v>
      </c>
      <c r="L117" s="25">
        <v>126.0</v>
      </c>
      <c r="M117" s="25">
        <v>124.0</v>
      </c>
      <c r="N117" s="25" t="s">
        <v>58</v>
      </c>
      <c r="O117" s="27">
        <v>80.0</v>
      </c>
      <c r="P117" s="25">
        <v>-588.0</v>
      </c>
      <c r="Q117" s="25">
        <v>407.0</v>
      </c>
      <c r="R117" s="25">
        <f t="shared" si="1"/>
        <v>-90.5</v>
      </c>
      <c r="S117" s="28">
        <f>IFERROR(__xludf.DUMMYFUNCTION("IF(F117=""India"", FILTER(Weather!D:D,D117=Weather!C:C,E117=Weather!B:B), FILTER(Weather!D:D,D117=Weather!C:C,F117=Weather!A:A))"),36.9)</f>
        <v>36.9</v>
      </c>
      <c r="T117" s="28">
        <f>IFERROR(__xludf.DUMMYFUNCTION("IF(F117=""India"", FILTER(Weather!E:E,D117=Weather!C:C,E117=Weather!B:B),FILTER(Weather!E:E,D117=Weather!C:C,F117=Weather!A:A))"),27.0)</f>
        <v>27</v>
      </c>
      <c r="U117" s="28">
        <f>IFERROR(__xludf.DUMMYFUNCTION("IF(F117=""India"", FILTER(Weather!F:F,D117=Weather!C:C,E117=Weather!B:B),FILTER(Weather!F:F,D117=Weather!C:C,F117=Weather!A:A))"),4.6)</f>
        <v>4.6</v>
      </c>
      <c r="V117" s="25">
        <v>30.137999999999998</v>
      </c>
      <c r="W117" s="25">
        <v>100.968</v>
      </c>
      <c r="X117" s="25">
        <v>5.778333333333333</v>
      </c>
      <c r="Y117" s="25">
        <v>37.89333333333334</v>
      </c>
      <c r="Z117" s="25">
        <v>39.69166666666667</v>
      </c>
      <c r="AA117" s="25">
        <v>21.11625</v>
      </c>
      <c r="AB117" s="25">
        <v>78.83125</v>
      </c>
      <c r="AC117" s="25">
        <v>5.192727272727272</v>
      </c>
      <c r="AD117" s="25">
        <v>33.17</v>
      </c>
      <c r="AE117" s="25">
        <v>38.899090909090894</v>
      </c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</row>
    <row r="118" ht="15.75" hidden="1" customHeight="1">
      <c r="A118" s="25" t="s">
        <v>56</v>
      </c>
      <c r="B118" s="25" t="s">
        <v>59</v>
      </c>
      <c r="C118" s="30">
        <v>44495.0</v>
      </c>
      <c r="D118" s="25" t="s">
        <v>64</v>
      </c>
      <c r="E118" s="25" t="s">
        <v>113</v>
      </c>
      <c r="F118" s="12" t="str">
        <f>IFERROR(__xludf.DUMMYFUNCTION("FILTER(Stadium!$A$2:$A$61,E118=Stadium!$B$2:$B$61)"),"United Arab Emirates")</f>
        <v>United Arab Emirates</v>
      </c>
      <c r="G118" s="30" t="str">
        <f t="shared" si="3"/>
        <v>L</v>
      </c>
      <c r="H118" s="30" t="str">
        <f t="shared" si="4"/>
        <v>W</v>
      </c>
      <c r="I118" s="24">
        <v>0.75</v>
      </c>
      <c r="J118" s="24">
        <f>VLOOKUP(B118, 'WL Ratio Table'!$A$6:$D$9, 4, FALSE)</f>
        <v>1</v>
      </c>
      <c r="K118" s="25" t="s">
        <v>72</v>
      </c>
      <c r="L118" s="25">
        <v>134.0</v>
      </c>
      <c r="M118" s="25">
        <v>135.0</v>
      </c>
      <c r="N118" s="25" t="s">
        <v>59</v>
      </c>
      <c r="O118" s="27">
        <v>50.0</v>
      </c>
      <c r="P118" s="25">
        <v>147.0</v>
      </c>
      <c r="Q118" s="25">
        <v>-185.0</v>
      </c>
      <c r="R118" s="25">
        <f t="shared" si="1"/>
        <v>-19</v>
      </c>
      <c r="S118" s="28">
        <f>IFERROR(__xludf.DUMMYFUNCTION("IF(F118=""India"", FILTER(Weather!D:D,D118=Weather!C:C,E118=Weather!B:B), FILTER(Weather!D:D,D118=Weather!C:C,F118=Weather!A:A))"),36.9)</f>
        <v>36.9</v>
      </c>
      <c r="T118" s="28">
        <f>IFERROR(__xludf.DUMMYFUNCTION("IF(F118=""India"", FILTER(Weather!E:E,D118=Weather!C:C,E118=Weather!B:B),FILTER(Weather!E:E,D118=Weather!C:C,F118=Weather!A:A))"),27.0)</f>
        <v>27</v>
      </c>
      <c r="U118" s="28">
        <f>IFERROR(__xludf.DUMMYFUNCTION("IF(F118=""India"", FILTER(Weather!F:F,D118=Weather!C:C,E118=Weather!B:B),FILTER(Weather!F:F,D118=Weather!C:C,F118=Weather!A:A))"),4.6)</f>
        <v>4.6</v>
      </c>
      <c r="V118" s="25">
        <v>29.453333333333333</v>
      </c>
      <c r="W118" s="25">
        <v>88.70466666666665</v>
      </c>
      <c r="X118" s="25">
        <v>5.574545454545454</v>
      </c>
      <c r="Y118" s="25">
        <v>33.232727272727274</v>
      </c>
      <c r="Z118" s="25">
        <v>35.72636363636363</v>
      </c>
      <c r="AA118" s="25">
        <v>28.993333333333332</v>
      </c>
      <c r="AB118" s="25">
        <v>91.364</v>
      </c>
      <c r="AC118" s="25">
        <v>5.425454545454545</v>
      </c>
      <c r="AD118" s="25">
        <v>46.032727272727264</v>
      </c>
      <c r="AE118" s="25">
        <v>51.62</v>
      </c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</row>
    <row r="119" ht="15.75" hidden="1" customHeight="1">
      <c r="A119" s="25" t="s">
        <v>47</v>
      </c>
      <c r="B119" s="25" t="s">
        <v>59</v>
      </c>
      <c r="C119" s="30">
        <v>44493.0</v>
      </c>
      <c r="D119" s="25" t="s">
        <v>64</v>
      </c>
      <c r="E119" s="25" t="s">
        <v>111</v>
      </c>
      <c r="F119" s="12" t="str">
        <f>IFERROR(__xludf.DUMMYFUNCTION("FILTER(Stadium!$A$2:$A$61,E119=Stadium!$B$2:$B$61)"),"United Arab Emirates")</f>
        <v>United Arab Emirates</v>
      </c>
      <c r="G119" s="30" t="str">
        <f t="shared" si="3"/>
        <v>L</v>
      </c>
      <c r="H119" s="30" t="str">
        <f t="shared" si="4"/>
        <v>W</v>
      </c>
      <c r="I119" s="24">
        <v>2.8125</v>
      </c>
      <c r="J119" s="24">
        <f>VLOOKUP(B119, 'WL Ratio Table'!$A$6:$D$9, 4, FALSE)</f>
        <v>1</v>
      </c>
      <c r="K119" s="25" t="s">
        <v>72</v>
      </c>
      <c r="L119" s="25">
        <v>151.0</v>
      </c>
      <c r="M119" s="25">
        <v>152.0</v>
      </c>
      <c r="N119" s="25" t="s">
        <v>59</v>
      </c>
      <c r="O119" s="27">
        <v>100.0</v>
      </c>
      <c r="P119" s="25">
        <v>-175.0</v>
      </c>
      <c r="Q119" s="25">
        <v>142.0</v>
      </c>
      <c r="R119" s="25">
        <f t="shared" si="1"/>
        <v>-16.5</v>
      </c>
      <c r="S119" s="28">
        <f>IFERROR(__xludf.DUMMYFUNCTION("IF(F119=""India"", FILTER(Weather!D:D,D119=Weather!C:C,E119=Weather!B:B), FILTER(Weather!D:D,D119=Weather!C:C,F119=Weather!A:A))"),36.9)</f>
        <v>36.9</v>
      </c>
      <c r="T119" s="28">
        <f>IFERROR(__xludf.DUMMYFUNCTION("IF(F119=""India"", FILTER(Weather!E:E,D119=Weather!C:C,E119=Weather!B:B),FILTER(Weather!E:E,D119=Weather!C:C,F119=Weather!A:A))"),27.0)</f>
        <v>27</v>
      </c>
      <c r="U119" s="28">
        <f>IFERROR(__xludf.DUMMYFUNCTION("IF(F119=""India"", FILTER(Weather!F:F,D119=Weather!C:C,E119=Weather!B:B),FILTER(Weather!F:F,D119=Weather!C:C,F119=Weather!A:A))"),4.6)</f>
        <v>4.6</v>
      </c>
      <c r="V119" s="15">
        <v>29.216249999999995</v>
      </c>
      <c r="W119" s="15">
        <v>82.43625</v>
      </c>
      <c r="X119" s="25">
        <v>5.422499999999999</v>
      </c>
      <c r="Y119" s="25">
        <v>40.535</v>
      </c>
      <c r="Z119" s="25">
        <v>43.995000000000005</v>
      </c>
      <c r="AA119" s="25">
        <v>28.993333333333332</v>
      </c>
      <c r="AB119" s="25">
        <v>91.364</v>
      </c>
      <c r="AC119" s="25">
        <v>5.425454545454545</v>
      </c>
      <c r="AD119" s="25">
        <v>46.032727272727264</v>
      </c>
      <c r="AE119" s="25">
        <v>51.62</v>
      </c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</row>
    <row r="120" ht="15.75" hidden="1" customHeight="1">
      <c r="A120" s="25" t="s">
        <v>62</v>
      </c>
      <c r="B120" s="25" t="s">
        <v>61</v>
      </c>
      <c r="C120" s="30">
        <v>44493.0</v>
      </c>
      <c r="D120" s="25" t="s">
        <v>64</v>
      </c>
      <c r="E120" s="25" t="s">
        <v>113</v>
      </c>
      <c r="F120" s="12" t="str">
        <f>IFERROR(__xludf.DUMMYFUNCTION("FILTER(Stadium!$A$2:$A$61,E120=Stadium!$B$2:$B$61)"),"United Arab Emirates")</f>
        <v>United Arab Emirates</v>
      </c>
      <c r="G120" s="30" t="str">
        <f t="shared" si="3"/>
        <v>W</v>
      </c>
      <c r="H120" s="30" t="str">
        <f t="shared" si="4"/>
        <v>L</v>
      </c>
      <c r="I120" s="24">
        <f>VLOOKUP(A120, 'WL Ratio Table'!$A$6:$D$8, 4, FALSE)</f>
        <v>0.21875</v>
      </c>
      <c r="J120" s="24">
        <f>VLOOKUP(B120, 'WL Ratio Table'!$A$6:$D$9, 4, FALSE)</f>
        <v>0.5416666667</v>
      </c>
      <c r="K120" s="25" t="s">
        <v>72</v>
      </c>
      <c r="L120" s="25">
        <v>172.0</v>
      </c>
      <c r="M120" s="25">
        <v>171.0</v>
      </c>
      <c r="N120" s="25" t="s">
        <v>62</v>
      </c>
      <c r="O120" s="27">
        <v>50.0</v>
      </c>
      <c r="P120" s="25">
        <v>-179.0</v>
      </c>
      <c r="Q120" s="25">
        <v>140.0</v>
      </c>
      <c r="R120" s="25">
        <f t="shared" si="1"/>
        <v>-19.5</v>
      </c>
      <c r="S120" s="28">
        <f>IFERROR(__xludf.DUMMYFUNCTION("IF(F120=""India"", FILTER(Weather!D:D,D120=Weather!C:C,E120=Weather!B:B), FILTER(Weather!D:D,D120=Weather!C:C,F120=Weather!A:A))"),36.9)</f>
        <v>36.9</v>
      </c>
      <c r="T120" s="28">
        <f>IFERROR(__xludf.DUMMYFUNCTION("IF(F120=""India"", FILTER(Weather!E:E,D120=Weather!C:C,E120=Weather!B:B),FILTER(Weather!E:E,D120=Weather!C:C,F120=Weather!A:A))"),27.0)</f>
        <v>27</v>
      </c>
      <c r="U120" s="28">
        <f>IFERROR(__xludf.DUMMYFUNCTION("IF(F120=""India"", FILTER(Weather!F:F,D120=Weather!C:C,E120=Weather!B:B),FILTER(Weather!F:F,D120=Weather!C:C,F120=Weather!A:A))"),4.6)</f>
        <v>4.6</v>
      </c>
      <c r="V120" s="25">
        <v>24.878750000000004</v>
      </c>
      <c r="W120" s="25">
        <v>76.75124999999998</v>
      </c>
      <c r="X120" s="25">
        <v>5.679166666666667</v>
      </c>
      <c r="Y120" s="25">
        <v>34.49333333333333</v>
      </c>
      <c r="Z120" s="25">
        <v>38.29833333333333</v>
      </c>
      <c r="AA120" s="25">
        <v>21.11625</v>
      </c>
      <c r="AB120" s="25">
        <v>78.83125</v>
      </c>
      <c r="AC120" s="25">
        <v>5.192727272727272</v>
      </c>
      <c r="AD120" s="25">
        <v>33.17</v>
      </c>
      <c r="AE120" s="25">
        <v>38.899090909090894</v>
      </c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</row>
    <row r="121" ht="15.75" hidden="1" customHeight="1">
      <c r="A121" s="25" t="s">
        <v>48</v>
      </c>
      <c r="B121" s="25" t="s">
        <v>54</v>
      </c>
      <c r="C121" s="30">
        <v>44492.0</v>
      </c>
      <c r="D121" s="25" t="s">
        <v>64</v>
      </c>
      <c r="E121" s="25" t="s">
        <v>112</v>
      </c>
      <c r="F121" s="12" t="str">
        <f>IFERROR(__xludf.DUMMYFUNCTION("FILTER(Stadium!$A$2:$A$61,E121=Stadium!$B$2:$B$61)"),"United Arab Emirates")</f>
        <v>United Arab Emirates</v>
      </c>
      <c r="G121" s="30" t="str">
        <f t="shared" si="3"/>
        <v>W</v>
      </c>
      <c r="H121" s="30" t="str">
        <f t="shared" si="4"/>
        <v>L</v>
      </c>
      <c r="I121" s="21">
        <v>0.7</v>
      </c>
      <c r="J121" s="21">
        <v>0.3</v>
      </c>
      <c r="K121" s="25" t="s">
        <v>72</v>
      </c>
      <c r="L121" s="25">
        <v>121.0</v>
      </c>
      <c r="M121" s="25">
        <v>118.0</v>
      </c>
      <c r="N121" s="25" t="s">
        <v>48</v>
      </c>
      <c r="O121" s="27">
        <v>50.0</v>
      </c>
      <c r="P121" s="25">
        <v>-161.0</v>
      </c>
      <c r="Q121" s="25">
        <v>127.0</v>
      </c>
      <c r="R121" s="25">
        <f t="shared" si="1"/>
        <v>-17</v>
      </c>
      <c r="S121" s="28">
        <f>IFERROR(__xludf.DUMMYFUNCTION("IF(F121=""India"", FILTER(Weather!D:D,D121=Weather!C:C,E121=Weather!B:B), FILTER(Weather!D:D,D121=Weather!C:C,F121=Weather!A:A))"),36.9)</f>
        <v>36.9</v>
      </c>
      <c r="T121" s="28">
        <f>IFERROR(__xludf.DUMMYFUNCTION("IF(F121=""India"", FILTER(Weather!E:E,D121=Weather!C:C,E121=Weather!B:B),FILTER(Weather!E:E,D121=Weather!C:C,F121=Weather!A:A))"),27.0)</f>
        <v>27</v>
      </c>
      <c r="U121" s="28">
        <f>IFERROR(__xludf.DUMMYFUNCTION("IF(F121=""India"", FILTER(Weather!F:F,D121=Weather!C:C,E121=Weather!B:B),FILTER(Weather!F:F,D121=Weather!C:C,F121=Weather!A:A))"),4.6)</f>
        <v>4.6</v>
      </c>
      <c r="V121" s="25">
        <v>27.727333333333334</v>
      </c>
      <c r="W121" s="25">
        <v>92.17733333333332</v>
      </c>
      <c r="X121" s="25">
        <v>5.772307692307693</v>
      </c>
      <c r="Y121" s="25">
        <v>39.89076923076924</v>
      </c>
      <c r="Z121" s="25">
        <v>41.56384615384616</v>
      </c>
      <c r="AA121" s="25">
        <v>29.26</v>
      </c>
      <c r="AB121" s="25">
        <v>86.99071428571429</v>
      </c>
      <c r="AC121" s="25">
        <v>5.596923076923077</v>
      </c>
      <c r="AD121" s="25">
        <v>26.36384615384615</v>
      </c>
      <c r="AE121" s="25">
        <v>26.93846153846153</v>
      </c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</row>
    <row r="122" ht="15.75" hidden="1" customHeight="1">
      <c r="A122" s="25" t="s">
        <v>54</v>
      </c>
      <c r="B122" s="25" t="s">
        <v>59</v>
      </c>
      <c r="C122" s="30">
        <v>44489.0</v>
      </c>
      <c r="D122" s="25" t="s">
        <v>64</v>
      </c>
      <c r="E122" s="25" t="s">
        <v>112</v>
      </c>
      <c r="F122" s="12" t="str">
        <f>IFERROR(__xludf.DUMMYFUNCTION("FILTER(Stadium!$A$2:$A$61,E122=Stadium!$B$2:$B$61)"),"United Arab Emirates")</f>
        <v>United Arab Emirates</v>
      </c>
      <c r="G122" s="30" t="str">
        <f t="shared" si="3"/>
        <v>W</v>
      </c>
      <c r="H122" s="30" t="str">
        <f t="shared" si="4"/>
        <v>L</v>
      </c>
      <c r="I122" s="24">
        <v>1.0909090909090908</v>
      </c>
      <c r="J122" s="24">
        <f>VLOOKUP(B122, 'WL Ratio Table'!$A$6:$D$9, 4, FALSE)</f>
        <v>1</v>
      </c>
      <c r="K122" s="25" t="s">
        <v>72</v>
      </c>
      <c r="L122" s="25">
        <v>190.0</v>
      </c>
      <c r="M122" s="25">
        <v>186.0</v>
      </c>
      <c r="N122" s="25" t="s">
        <v>54</v>
      </c>
      <c r="O122" s="27">
        <v>50.0</v>
      </c>
      <c r="P122" s="25">
        <v>114.0</v>
      </c>
      <c r="Q122" s="25">
        <v>-143.0</v>
      </c>
      <c r="R122" s="25">
        <f t="shared" si="1"/>
        <v>-14.5</v>
      </c>
      <c r="S122" s="28">
        <f>IFERROR(__xludf.DUMMYFUNCTION("IF(F122=""India"", FILTER(Weather!D:D,D122=Weather!C:C,E122=Weather!B:B), FILTER(Weather!D:D,D122=Weather!C:C,F122=Weather!A:A))"),36.9)</f>
        <v>36.9</v>
      </c>
      <c r="T122" s="28">
        <f>IFERROR(__xludf.DUMMYFUNCTION("IF(F122=""India"", FILTER(Weather!E:E,D122=Weather!C:C,E122=Weather!B:B),FILTER(Weather!E:E,D122=Weather!C:C,F122=Weather!A:A))"),27.0)</f>
        <v>27</v>
      </c>
      <c r="U122" s="28">
        <f>IFERROR(__xludf.DUMMYFUNCTION("IF(F122=""India"", FILTER(Weather!F:F,D122=Weather!C:C,E122=Weather!B:B),FILTER(Weather!F:F,D122=Weather!C:C,F122=Weather!A:A))"),4.6)</f>
        <v>4.6</v>
      </c>
      <c r="V122" s="25">
        <v>29.26</v>
      </c>
      <c r="W122" s="25">
        <v>86.99071428571429</v>
      </c>
      <c r="X122" s="25">
        <v>5.596923076923077</v>
      </c>
      <c r="Y122" s="25">
        <v>26.36384615384615</v>
      </c>
      <c r="Z122" s="25">
        <v>26.93846153846153</v>
      </c>
      <c r="AA122" s="25">
        <v>28.993333333333332</v>
      </c>
      <c r="AB122" s="25">
        <v>91.364</v>
      </c>
      <c r="AC122" s="25">
        <v>5.425454545454545</v>
      </c>
      <c r="AD122" s="25">
        <v>46.032727272727264</v>
      </c>
      <c r="AE122" s="25">
        <v>51.62</v>
      </c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</row>
    <row r="123" ht="15.75" hidden="1" customHeight="1">
      <c r="A123" s="25" t="s">
        <v>58</v>
      </c>
      <c r="B123" s="25" t="s">
        <v>56</v>
      </c>
      <c r="C123" s="30">
        <v>44489.0</v>
      </c>
      <c r="D123" s="25" t="s">
        <v>64</v>
      </c>
      <c r="E123" s="25" t="s">
        <v>112</v>
      </c>
      <c r="F123" s="12" t="str">
        <f>IFERROR(__xludf.DUMMYFUNCTION("FILTER(Stadium!$A$2:$A$61,E123=Stadium!$B$2:$B$61)"),"United Arab Emirates")</f>
        <v>United Arab Emirates</v>
      </c>
      <c r="G123" s="30" t="str">
        <f t="shared" si="3"/>
        <v>W</v>
      </c>
      <c r="H123" s="30" t="str">
        <f t="shared" si="4"/>
        <v>L</v>
      </c>
      <c r="I123" s="24">
        <f>VLOOKUP(A123, 'WL Ratio Table'!$A$6:$D$8, 4, FALSE)</f>
        <v>1.384615385</v>
      </c>
      <c r="J123" s="24">
        <v>0.75</v>
      </c>
      <c r="K123" s="25" t="s">
        <v>72</v>
      </c>
      <c r="L123" s="25">
        <v>163.0</v>
      </c>
      <c r="M123" s="25">
        <v>150.0</v>
      </c>
      <c r="N123" s="25" t="s">
        <v>58</v>
      </c>
      <c r="O123" s="27">
        <f>(13/163)*100</f>
        <v>7.975460123</v>
      </c>
      <c r="P123" s="25">
        <v>-156.0</v>
      </c>
      <c r="Q123" s="25">
        <v>125.0</v>
      </c>
      <c r="R123" s="25">
        <f t="shared" si="1"/>
        <v>-15.5</v>
      </c>
      <c r="S123" s="28">
        <f>IFERROR(__xludf.DUMMYFUNCTION("IF(F123=""India"", FILTER(Weather!D:D,D123=Weather!C:C,E123=Weather!B:B), FILTER(Weather!D:D,D123=Weather!C:C,F123=Weather!A:A))"),36.9)</f>
        <v>36.9</v>
      </c>
      <c r="T123" s="28">
        <f>IFERROR(__xludf.DUMMYFUNCTION("IF(F123=""India"", FILTER(Weather!E:E,D123=Weather!C:C,E123=Weather!B:B),FILTER(Weather!E:E,D123=Weather!C:C,F123=Weather!A:A))"),27.0)</f>
        <v>27</v>
      </c>
      <c r="U123" s="28">
        <f>IFERROR(__xludf.DUMMYFUNCTION("IF(F123=""India"", FILTER(Weather!F:F,D123=Weather!C:C,E123=Weather!B:B),FILTER(Weather!F:F,D123=Weather!C:C,F123=Weather!A:A))"),4.6)</f>
        <v>4.6</v>
      </c>
      <c r="V123" s="25">
        <v>30.137999999999998</v>
      </c>
      <c r="W123" s="25">
        <v>100.968</v>
      </c>
      <c r="X123" s="25">
        <v>5.778333333333333</v>
      </c>
      <c r="Y123" s="25">
        <v>37.89333333333334</v>
      </c>
      <c r="Z123" s="25">
        <v>39.69166666666667</v>
      </c>
      <c r="AA123" s="25">
        <v>29.453333333333333</v>
      </c>
      <c r="AB123" s="25">
        <v>88.70466666666665</v>
      </c>
      <c r="AC123" s="25">
        <v>5.574545454545454</v>
      </c>
      <c r="AD123" s="25">
        <v>33.232727272727274</v>
      </c>
      <c r="AE123" s="25">
        <v>35.72636363636363</v>
      </c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</row>
    <row r="124" ht="15.75" hidden="1" customHeight="1">
      <c r="A124" s="25" t="s">
        <v>47</v>
      </c>
      <c r="B124" s="25" t="s">
        <v>48</v>
      </c>
      <c r="C124" s="30">
        <v>44489.0</v>
      </c>
      <c r="D124" s="25" t="s">
        <v>64</v>
      </c>
      <c r="E124" s="25" t="s">
        <v>111</v>
      </c>
      <c r="F124" s="12" t="str">
        <f>IFERROR(__xludf.DUMMYFUNCTION("FILTER(Stadium!$A$2:$A$61,E124=Stadium!$B$2:$B$61)"),"United Arab Emirates")</f>
        <v>United Arab Emirates</v>
      </c>
      <c r="G124" s="30" t="str">
        <f t="shared" si="3"/>
        <v>W</v>
      </c>
      <c r="H124" s="30" t="str">
        <f t="shared" si="4"/>
        <v>L</v>
      </c>
      <c r="I124" s="24">
        <f>7/9</f>
        <v>0.7777777778</v>
      </c>
      <c r="J124" s="24">
        <f>2/9</f>
        <v>0.2222222222</v>
      </c>
      <c r="K124" s="25" t="s">
        <v>72</v>
      </c>
      <c r="L124" s="25">
        <v>153.0</v>
      </c>
      <c r="M124" s="25">
        <v>152.0</v>
      </c>
      <c r="N124" s="25" t="s">
        <v>47</v>
      </c>
      <c r="O124" s="27">
        <v>80.0</v>
      </c>
      <c r="P124" s="25">
        <v>-167.0</v>
      </c>
      <c r="Q124" s="25">
        <v>129.0</v>
      </c>
      <c r="R124" s="25">
        <f t="shared" si="1"/>
        <v>-19</v>
      </c>
      <c r="S124" s="28">
        <f>IFERROR(__xludf.DUMMYFUNCTION("IF(F124=""India"", FILTER(Weather!D:D,D124=Weather!C:C,E124=Weather!B:B), FILTER(Weather!D:D,D124=Weather!C:C,F124=Weather!A:A))"),36.9)</f>
        <v>36.9</v>
      </c>
      <c r="T124" s="28">
        <f>IFERROR(__xludf.DUMMYFUNCTION("IF(F124=""India"", FILTER(Weather!E:E,D124=Weather!C:C,E124=Weather!B:B),FILTER(Weather!E:E,D124=Weather!C:C,F124=Weather!A:A))"),27.0)</f>
        <v>27</v>
      </c>
      <c r="U124" s="28">
        <f>IFERROR(__xludf.DUMMYFUNCTION("IF(F124=""India"", FILTER(Weather!F:F,D124=Weather!C:C,E124=Weather!B:B),FILTER(Weather!F:F,D124=Weather!C:C,F124=Weather!A:A))"),4.6)</f>
        <v>4.6</v>
      </c>
      <c r="V124" s="15">
        <v>29.216249999999995</v>
      </c>
      <c r="W124" s="15">
        <v>82.43625</v>
      </c>
      <c r="X124" s="25">
        <v>5.422499999999999</v>
      </c>
      <c r="Y124" s="25">
        <v>40.535</v>
      </c>
      <c r="Z124" s="25">
        <v>43.995000000000005</v>
      </c>
      <c r="AA124" s="25">
        <v>27.727333333333334</v>
      </c>
      <c r="AB124" s="25">
        <v>92.17733333333332</v>
      </c>
      <c r="AC124" s="25">
        <v>5.772307692307693</v>
      </c>
      <c r="AD124" s="25">
        <v>39.89076923076924</v>
      </c>
      <c r="AE124" s="25">
        <v>41.56384615384616</v>
      </c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</row>
    <row r="125" ht="15.75" hidden="1" customHeight="1">
      <c r="A125" s="25" t="s">
        <v>59</v>
      </c>
      <c r="B125" s="25" t="s">
        <v>61</v>
      </c>
      <c r="C125" s="30">
        <v>44522.0</v>
      </c>
      <c r="D125" s="25" t="s">
        <v>49</v>
      </c>
      <c r="E125" s="25" t="s">
        <v>84</v>
      </c>
      <c r="F125" s="12" t="str">
        <f>IFERROR(__xludf.DUMMYFUNCTION("FILTER(Stadium!$A$2:$A$61,E125=Stadium!$B$2:$B$61)"),"Bangladesh")</f>
        <v>Bangladesh</v>
      </c>
      <c r="G125" s="30" t="str">
        <f t="shared" si="3"/>
        <v>W</v>
      </c>
      <c r="H125" s="30" t="str">
        <f t="shared" si="4"/>
        <v>L</v>
      </c>
      <c r="I125" s="24">
        <f>VLOOKUP(A125, 'WL Ratio Table'!$A$6:$D$8, 4, FALSE)</f>
        <v>1</v>
      </c>
      <c r="J125" s="24">
        <f>VLOOKUP(B125, 'WL Ratio Table'!$A$6:$D$9, 4, FALSE)</f>
        <v>0.5416666667</v>
      </c>
      <c r="K125" s="25" t="s">
        <v>72</v>
      </c>
      <c r="L125" s="25">
        <v>127.0</v>
      </c>
      <c r="M125" s="25">
        <v>124.0</v>
      </c>
      <c r="N125" s="25" t="s">
        <v>59</v>
      </c>
      <c r="O125" s="27">
        <v>50.0</v>
      </c>
      <c r="P125" s="25">
        <v>-400.0</v>
      </c>
      <c r="Q125" s="25">
        <v>287.0</v>
      </c>
      <c r="R125" s="25">
        <f t="shared" si="1"/>
        <v>-56.5</v>
      </c>
      <c r="S125" s="28">
        <f>IFERROR(__xludf.DUMMYFUNCTION("IF(F125=""India"", FILTER(Weather!D:D,D125=Weather!C:C,E125=Weather!B:B), FILTER(Weather!D:D,D125=Weather!C:C,F125=Weather!A:A))"),27.6)</f>
        <v>27.6</v>
      </c>
      <c r="T125" s="28">
        <f>IFERROR(__xludf.DUMMYFUNCTION("IF(F125=""India"", FILTER(Weather!E:E,D125=Weather!C:C,E125=Weather!B:B),FILTER(Weather!E:E,D125=Weather!C:C,F125=Weather!A:A))"),18.2)</f>
        <v>18.2</v>
      </c>
      <c r="U125" s="28">
        <f>IFERROR(__xludf.DUMMYFUNCTION("IF(F125=""India"", FILTER(Weather!F:F,D125=Weather!C:C,E125=Weather!B:B),FILTER(Weather!F:F,D125=Weather!C:C,F125=Weather!A:A))"),43.9)</f>
        <v>43.9</v>
      </c>
      <c r="V125" s="25">
        <v>28.993333333333332</v>
      </c>
      <c r="W125" s="25">
        <v>91.364</v>
      </c>
      <c r="X125" s="25">
        <v>5.425454545454545</v>
      </c>
      <c r="Y125" s="25">
        <v>46.032727272727264</v>
      </c>
      <c r="Z125" s="25">
        <v>51.62</v>
      </c>
      <c r="AA125" s="25">
        <v>21.11625</v>
      </c>
      <c r="AB125" s="25">
        <v>78.83125</v>
      </c>
      <c r="AC125" s="25">
        <v>5.192727272727272</v>
      </c>
      <c r="AD125" s="25">
        <v>33.17</v>
      </c>
      <c r="AE125" s="25">
        <v>38.899090909090894</v>
      </c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</row>
    <row r="126" ht="15.75" customHeight="1">
      <c r="A126" s="25" t="s">
        <v>47</v>
      </c>
      <c r="B126" s="25" t="s">
        <v>56</v>
      </c>
      <c r="C126" s="30">
        <v>44521.0</v>
      </c>
      <c r="D126" s="25" t="s">
        <v>49</v>
      </c>
      <c r="E126" s="25" t="s">
        <v>60</v>
      </c>
      <c r="F126" s="12" t="str">
        <f>IFERROR(__xludf.DUMMYFUNCTION("FILTER(Stadium!$A$2:$A$61,E126=Stadium!$B$2:$B$61)"),"India")</f>
        <v>India</v>
      </c>
      <c r="G126" s="30" t="str">
        <f t="shared" si="3"/>
        <v>W</v>
      </c>
      <c r="H126" s="30" t="str">
        <f t="shared" si="4"/>
        <v>L</v>
      </c>
      <c r="I126" s="22">
        <f>12/14</f>
        <v>0.8571428571</v>
      </c>
      <c r="J126" s="22">
        <f>2/14</f>
        <v>0.1428571429</v>
      </c>
      <c r="K126" s="25" t="s">
        <v>72</v>
      </c>
      <c r="L126" s="25">
        <v>184.0</v>
      </c>
      <c r="M126" s="25">
        <v>111.0</v>
      </c>
      <c r="N126" s="25" t="s">
        <v>47</v>
      </c>
      <c r="O126" s="27">
        <f>(73/184)*100</f>
        <v>39.67391304</v>
      </c>
      <c r="P126" s="25">
        <v>-192.0</v>
      </c>
      <c r="Q126" s="25">
        <v>147.0</v>
      </c>
      <c r="R126" s="25">
        <f t="shared" si="1"/>
        <v>-22.5</v>
      </c>
      <c r="S126" s="28">
        <f>IFERROR(__xludf.DUMMYFUNCTION("IF(F126=""India"", FILTER(Weather!D:D,D126=Weather!C:C,E126=Weather!B:B), FILTER(Weather!D:D,D126=Weather!C:C,F126=Weather!A:A))"),30.2)</f>
        <v>30.2</v>
      </c>
      <c r="T126" s="28">
        <f>IFERROR(__xludf.DUMMYFUNCTION("IF(F126=""India"", FILTER(Weather!E:E,D126=Weather!C:C,E126=Weather!B:B),FILTER(Weather!E:E,D126=Weather!C:C,F126=Weather!A:A))"),20.1)</f>
        <v>20.1</v>
      </c>
      <c r="U126" s="28">
        <f>IFERROR(__xludf.DUMMYFUNCTION("IF(F126=""India"", FILTER(Weather!F:F,D126=Weather!C:C,E126=Weather!B:B),FILTER(Weather!F:F,D126=Weather!C:C,F126=Weather!A:A))"),32.6)</f>
        <v>32.6</v>
      </c>
      <c r="V126" s="15">
        <v>29.216249999999995</v>
      </c>
      <c r="W126" s="15">
        <v>82.43625</v>
      </c>
      <c r="X126" s="25">
        <v>5.422499999999999</v>
      </c>
      <c r="Y126" s="25">
        <v>40.535</v>
      </c>
      <c r="Z126" s="25">
        <v>43.995000000000005</v>
      </c>
      <c r="AA126" s="25">
        <v>29.453333333333333</v>
      </c>
      <c r="AB126" s="25">
        <v>88.70466666666665</v>
      </c>
      <c r="AC126" s="25">
        <v>5.574545454545454</v>
      </c>
      <c r="AD126" s="25">
        <v>33.232727272727274</v>
      </c>
      <c r="AE126" s="25">
        <v>35.72636363636363</v>
      </c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</row>
    <row r="127" ht="15.75" hidden="1" customHeight="1">
      <c r="A127" s="25" t="s">
        <v>59</v>
      </c>
      <c r="B127" s="25" t="s">
        <v>61</v>
      </c>
      <c r="C127" s="30">
        <v>44520.0</v>
      </c>
      <c r="D127" s="25" t="s">
        <v>49</v>
      </c>
      <c r="E127" s="25" t="s">
        <v>84</v>
      </c>
      <c r="F127" s="12" t="str">
        <f>IFERROR(__xludf.DUMMYFUNCTION("FILTER(Stadium!$A$2:$A$61,E127=Stadium!$B$2:$B$61)"),"Bangladesh")</f>
        <v>Bangladesh</v>
      </c>
      <c r="G127" s="30" t="str">
        <f t="shared" si="3"/>
        <v>W</v>
      </c>
      <c r="H127" s="30" t="str">
        <f t="shared" si="4"/>
        <v>L</v>
      </c>
      <c r="I127" s="24">
        <f>VLOOKUP(A127, 'WL Ratio Table'!$A$6:$D$8, 4, FALSE)</f>
        <v>1</v>
      </c>
      <c r="J127" s="24">
        <f>VLOOKUP(B127, 'WL Ratio Table'!$A$6:$D$9, 4, FALSE)</f>
        <v>0.5416666667</v>
      </c>
      <c r="K127" s="25" t="s">
        <v>72</v>
      </c>
      <c r="L127" s="25">
        <v>109.0</v>
      </c>
      <c r="M127" s="25">
        <v>108.0</v>
      </c>
      <c r="N127" s="25" t="s">
        <v>59</v>
      </c>
      <c r="O127" s="27">
        <v>80.0</v>
      </c>
      <c r="P127" s="25">
        <v>-385.0</v>
      </c>
      <c r="Q127" s="25">
        <v>282.0</v>
      </c>
      <c r="R127" s="25">
        <f t="shared" si="1"/>
        <v>-51.5</v>
      </c>
      <c r="S127" s="28">
        <f>IFERROR(__xludf.DUMMYFUNCTION("IF(F127=""India"", FILTER(Weather!D:D,D127=Weather!C:C,E127=Weather!B:B), FILTER(Weather!D:D,D127=Weather!C:C,F127=Weather!A:A))"),27.6)</f>
        <v>27.6</v>
      </c>
      <c r="T127" s="28">
        <f>IFERROR(__xludf.DUMMYFUNCTION("IF(F127=""India"", FILTER(Weather!E:E,D127=Weather!C:C,E127=Weather!B:B),FILTER(Weather!E:E,D127=Weather!C:C,F127=Weather!A:A))"),18.2)</f>
        <v>18.2</v>
      </c>
      <c r="U127" s="28">
        <f>IFERROR(__xludf.DUMMYFUNCTION("IF(F127=""India"", FILTER(Weather!F:F,D127=Weather!C:C,E127=Weather!B:B),FILTER(Weather!F:F,D127=Weather!C:C,F127=Weather!A:A))"),43.9)</f>
        <v>43.9</v>
      </c>
      <c r="V127" s="25">
        <v>28.993333333333332</v>
      </c>
      <c r="W127" s="25">
        <v>91.364</v>
      </c>
      <c r="X127" s="25">
        <v>5.425454545454545</v>
      </c>
      <c r="Y127" s="25">
        <v>46.032727272727264</v>
      </c>
      <c r="Z127" s="25">
        <v>51.62</v>
      </c>
      <c r="AA127" s="25">
        <v>21.11625</v>
      </c>
      <c r="AB127" s="25">
        <v>78.83125</v>
      </c>
      <c r="AC127" s="25">
        <v>5.192727272727272</v>
      </c>
      <c r="AD127" s="25">
        <v>33.17</v>
      </c>
      <c r="AE127" s="25">
        <v>38.899090909090894</v>
      </c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</row>
    <row r="128" ht="15.75" customHeight="1">
      <c r="A128" s="25" t="s">
        <v>47</v>
      </c>
      <c r="B128" s="25" t="s">
        <v>56</v>
      </c>
      <c r="C128" s="30">
        <v>44519.0</v>
      </c>
      <c r="D128" s="25" t="s">
        <v>49</v>
      </c>
      <c r="E128" s="25" t="s">
        <v>88</v>
      </c>
      <c r="F128" s="12" t="str">
        <f>IFERROR(__xludf.DUMMYFUNCTION("FILTER(Stadium!$A$2:$A$61,E128=Stadium!$B$2:$B$61)"),"India")</f>
        <v>India</v>
      </c>
      <c r="G128" s="30" t="str">
        <f t="shared" si="3"/>
        <v>W</v>
      </c>
      <c r="H128" s="30" t="str">
        <f t="shared" si="4"/>
        <v>L</v>
      </c>
      <c r="I128" s="22">
        <f>12/14</f>
        <v>0.8571428571</v>
      </c>
      <c r="J128" s="22">
        <f>2/14</f>
        <v>0.1428571429</v>
      </c>
      <c r="K128" s="25" t="s">
        <v>72</v>
      </c>
      <c r="L128" s="25">
        <v>155.0</v>
      </c>
      <c r="M128" s="25">
        <v>153.0</v>
      </c>
      <c r="N128" s="25" t="s">
        <v>47</v>
      </c>
      <c r="O128" s="27">
        <v>70.0</v>
      </c>
      <c r="P128" s="25">
        <v>-345.0</v>
      </c>
      <c r="Q128" s="25">
        <v>248.0</v>
      </c>
      <c r="R128" s="25">
        <f t="shared" si="1"/>
        <v>-48.5</v>
      </c>
      <c r="S128" s="28">
        <f>IFERROR(__xludf.DUMMYFUNCTION("IF(F128=""India"", FILTER(Weather!D:D,D128=Weather!C:C,E128=Weather!B:B), FILTER(Weather!D:D,D128=Weather!C:C,F128=Weather!A:A))"),28.8)</f>
        <v>28.8</v>
      </c>
      <c r="T128" s="28">
        <f>IFERROR(__xludf.DUMMYFUNCTION("IF(F128=""India"", FILTER(Weather!E:E,D128=Weather!C:C,E128=Weather!B:B),FILTER(Weather!E:E,D128=Weather!C:C,F128=Weather!A:A))"),18.0)</f>
        <v>18</v>
      </c>
      <c r="U128" s="28">
        <f>IFERROR(__xludf.DUMMYFUNCTION("IF(F128=""India"", FILTER(Weather!F:F,D128=Weather!C:C,E128=Weather!B:B),FILTER(Weather!F:F,D128=Weather!C:C,F128=Weather!A:A))"),43.2)</f>
        <v>43.2</v>
      </c>
      <c r="V128" s="15">
        <v>29.216249999999995</v>
      </c>
      <c r="W128" s="15">
        <v>82.43625</v>
      </c>
      <c r="X128" s="25">
        <v>5.422499999999999</v>
      </c>
      <c r="Y128" s="25">
        <v>40.535</v>
      </c>
      <c r="Z128" s="25">
        <v>43.995000000000005</v>
      </c>
      <c r="AA128" s="25">
        <v>29.453333333333333</v>
      </c>
      <c r="AB128" s="25">
        <v>88.70466666666665</v>
      </c>
      <c r="AC128" s="25">
        <v>5.574545454545454</v>
      </c>
      <c r="AD128" s="25">
        <v>33.232727272727274</v>
      </c>
      <c r="AE128" s="25">
        <v>35.72636363636363</v>
      </c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</row>
    <row r="129" ht="15.75" hidden="1" customHeight="1">
      <c r="A129" s="25" t="s">
        <v>59</v>
      </c>
      <c r="B129" s="25" t="s">
        <v>61</v>
      </c>
      <c r="C129" s="30">
        <v>44519.0</v>
      </c>
      <c r="D129" s="25" t="s">
        <v>49</v>
      </c>
      <c r="E129" s="25" t="s">
        <v>84</v>
      </c>
      <c r="F129" s="12" t="str">
        <f>IFERROR(__xludf.DUMMYFUNCTION("FILTER(Stadium!$A$2:$A$61,E129=Stadium!$B$2:$B$61)"),"Bangladesh")</f>
        <v>Bangladesh</v>
      </c>
      <c r="G129" s="30" t="str">
        <f t="shared" si="3"/>
        <v>W</v>
      </c>
      <c r="H129" s="30" t="str">
        <f t="shared" si="4"/>
        <v>L</v>
      </c>
      <c r="I129" s="24">
        <f>VLOOKUP(A129, 'WL Ratio Table'!$A$6:$D$8, 4, FALSE)</f>
        <v>1</v>
      </c>
      <c r="J129" s="24">
        <f>VLOOKUP(B129, 'WL Ratio Table'!$A$6:$D$9, 4, FALSE)</f>
        <v>0.5416666667</v>
      </c>
      <c r="K129" s="25" t="s">
        <v>72</v>
      </c>
      <c r="L129" s="25">
        <v>132.0</v>
      </c>
      <c r="M129" s="25">
        <v>127.0</v>
      </c>
      <c r="N129" s="25" t="s">
        <v>59</v>
      </c>
      <c r="O129" s="27">
        <v>40.0</v>
      </c>
      <c r="P129" s="25">
        <v>-400.0</v>
      </c>
      <c r="Q129" s="25">
        <v>291.0</v>
      </c>
      <c r="R129" s="25">
        <f t="shared" si="1"/>
        <v>-54.5</v>
      </c>
      <c r="S129" s="28">
        <f>IFERROR(__xludf.DUMMYFUNCTION("IF(F129=""India"", FILTER(Weather!D:D,D129=Weather!C:C,E129=Weather!B:B), FILTER(Weather!D:D,D129=Weather!C:C,F129=Weather!A:A))"),27.6)</f>
        <v>27.6</v>
      </c>
      <c r="T129" s="28">
        <f>IFERROR(__xludf.DUMMYFUNCTION("IF(F129=""India"", FILTER(Weather!E:E,D129=Weather!C:C,E129=Weather!B:B),FILTER(Weather!E:E,D129=Weather!C:C,F129=Weather!A:A))"),18.2)</f>
        <v>18.2</v>
      </c>
      <c r="U129" s="28">
        <f>IFERROR(__xludf.DUMMYFUNCTION("IF(F129=""India"", FILTER(Weather!F:F,D129=Weather!C:C,E129=Weather!B:B),FILTER(Weather!F:F,D129=Weather!C:C,F129=Weather!A:A))"),43.9)</f>
        <v>43.9</v>
      </c>
      <c r="V129" s="25">
        <v>28.993333333333332</v>
      </c>
      <c r="W129" s="25">
        <v>91.364</v>
      </c>
      <c r="X129" s="25">
        <v>5.425454545454545</v>
      </c>
      <c r="Y129" s="25">
        <v>46.032727272727264</v>
      </c>
      <c r="Z129" s="25">
        <v>51.62</v>
      </c>
      <c r="AA129" s="25">
        <v>21.11625</v>
      </c>
      <c r="AB129" s="25">
        <v>78.83125</v>
      </c>
      <c r="AC129" s="25">
        <v>5.192727272727272</v>
      </c>
      <c r="AD129" s="25">
        <v>33.17</v>
      </c>
      <c r="AE129" s="25">
        <v>38.899090909090894</v>
      </c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</row>
    <row r="130" ht="15.75" customHeight="1">
      <c r="A130" s="25" t="s">
        <v>47</v>
      </c>
      <c r="B130" s="25" t="s">
        <v>56</v>
      </c>
      <c r="C130" s="30">
        <v>44517.0</v>
      </c>
      <c r="D130" s="25" t="s">
        <v>49</v>
      </c>
      <c r="E130" s="25" t="s">
        <v>114</v>
      </c>
      <c r="F130" s="12" t="str">
        <f>IFERROR(__xludf.DUMMYFUNCTION("FILTER(Stadium!$A$2:$A$61,E130=Stadium!$B$2:$B$61)"),"India")</f>
        <v>India</v>
      </c>
      <c r="G130" s="30" t="str">
        <f t="shared" si="3"/>
        <v>W</v>
      </c>
      <c r="H130" s="30" t="str">
        <f t="shared" si="4"/>
        <v>L</v>
      </c>
      <c r="I130" s="22">
        <f>12/14</f>
        <v>0.8571428571</v>
      </c>
      <c r="J130" s="22">
        <f>2/14</f>
        <v>0.1428571429</v>
      </c>
      <c r="K130" s="25" t="s">
        <v>72</v>
      </c>
      <c r="L130" s="25">
        <v>166.0</v>
      </c>
      <c r="M130" s="25">
        <v>164.0</v>
      </c>
      <c r="N130" s="25" t="s">
        <v>47</v>
      </c>
      <c r="O130" s="27">
        <v>50.0</v>
      </c>
      <c r="P130" s="25">
        <v>-323.0</v>
      </c>
      <c r="Q130" s="25">
        <v>237.0</v>
      </c>
      <c r="R130" s="25">
        <f t="shared" si="1"/>
        <v>-43</v>
      </c>
      <c r="S130" s="28">
        <f>IFERROR(__xludf.DUMMYFUNCTION("IF(F130=""India"", FILTER(Weather!D:D,D130=Weather!C:C,E130=Weather!B:B), FILTER(Weather!D:D,D130=Weather!C:C,F130=Weather!A:A))"),28.8)</f>
        <v>28.8</v>
      </c>
      <c r="T130" s="28">
        <f>IFERROR(__xludf.DUMMYFUNCTION("IF(F130=""India"", FILTER(Weather!E:E,D130=Weather!C:C,E130=Weather!B:B),FILTER(Weather!E:E,D130=Weather!C:C,F130=Weather!A:A))"),18.0)</f>
        <v>18</v>
      </c>
      <c r="U130" s="28">
        <f>IFERROR(__xludf.DUMMYFUNCTION("IF(F130=""India"", FILTER(Weather!F:F,D130=Weather!C:C,E130=Weather!B:B),FILTER(Weather!F:F,D130=Weather!C:C,F130=Weather!A:A))"),43.2)</f>
        <v>43.2</v>
      </c>
      <c r="V130" s="15">
        <v>29.216249999999995</v>
      </c>
      <c r="W130" s="15">
        <v>82.43625</v>
      </c>
      <c r="X130" s="25">
        <v>5.422499999999999</v>
      </c>
      <c r="Y130" s="25">
        <v>40.535</v>
      </c>
      <c r="Z130" s="25">
        <v>43.995000000000005</v>
      </c>
      <c r="AA130" s="25">
        <v>29.453333333333333</v>
      </c>
      <c r="AB130" s="25">
        <v>88.70466666666665</v>
      </c>
      <c r="AC130" s="25">
        <v>5.574545454545454</v>
      </c>
      <c r="AD130" s="25">
        <v>33.232727272727274</v>
      </c>
      <c r="AE130" s="25">
        <v>35.72636363636363</v>
      </c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</row>
    <row r="131" ht="15.75" hidden="1" customHeight="1">
      <c r="A131" s="25" t="s">
        <v>54</v>
      </c>
      <c r="B131" s="25" t="s">
        <v>62</v>
      </c>
      <c r="C131" s="30">
        <v>44453.0</v>
      </c>
      <c r="D131" s="25" t="s">
        <v>70</v>
      </c>
      <c r="E131" s="25" t="s">
        <v>110</v>
      </c>
      <c r="F131" s="12" t="str">
        <f>IFERROR(__xludf.DUMMYFUNCTION("FILTER(Stadium!$A$2:$A$61,E131=Stadium!$B$2:$B$61)"),"Sri Lanka")</f>
        <v>Sri Lanka</v>
      </c>
      <c r="G131" s="30" t="str">
        <f t="shared" si="3"/>
        <v>W</v>
      </c>
      <c r="H131" s="30" t="str">
        <f t="shared" si="4"/>
        <v>L</v>
      </c>
      <c r="I131" s="24">
        <v>1.0909090909090908</v>
      </c>
      <c r="J131" s="24">
        <f>VLOOKUP(B131, 'WL Ratio Table'!$A$6:$D$9, 4, FALSE)</f>
        <v>0.21875</v>
      </c>
      <c r="K131" s="25" t="s">
        <v>72</v>
      </c>
      <c r="L131" s="25">
        <v>121.0</v>
      </c>
      <c r="M131" s="25">
        <v>120.0</v>
      </c>
      <c r="N131" s="25" t="s">
        <v>54</v>
      </c>
      <c r="O131" s="27">
        <v>100.0</v>
      </c>
      <c r="P131" s="25">
        <v>-175.0</v>
      </c>
      <c r="Q131" s="25">
        <v>138.0</v>
      </c>
      <c r="R131" s="25">
        <f t="shared" si="1"/>
        <v>-18.5</v>
      </c>
      <c r="S131" s="28">
        <f>IFERROR(__xludf.DUMMYFUNCTION("IF(F131=""India"", FILTER(Weather!D:D,D131=Weather!C:C,E131=Weather!B:B), FILTER(Weather!D:D,D131=Weather!C:C,F131=Weather!A:A))"),30.0)</f>
        <v>30</v>
      </c>
      <c r="T131" s="28">
        <f>IFERROR(__xludf.DUMMYFUNCTION("IF(F131=""India"", FILTER(Weather!E:E,D131=Weather!C:C,E131=Weather!B:B),FILTER(Weather!E:E,D131=Weather!C:C,F131=Weather!A:A))"),24.6)</f>
        <v>24.6</v>
      </c>
      <c r="U131" s="28">
        <f>IFERROR(__xludf.DUMMYFUNCTION("IF(F131=""India"", FILTER(Weather!F:F,D131=Weather!C:C,E131=Weather!B:B),FILTER(Weather!F:F,D131=Weather!C:C,F131=Weather!A:A))"),223.4)</f>
        <v>223.4</v>
      </c>
      <c r="V131" s="25">
        <v>29.26</v>
      </c>
      <c r="W131" s="25">
        <v>86.99071428571429</v>
      </c>
      <c r="X131" s="25">
        <v>5.596923076923077</v>
      </c>
      <c r="Y131" s="25">
        <v>26.36384615384615</v>
      </c>
      <c r="Z131" s="25">
        <v>26.93846153846153</v>
      </c>
      <c r="AA131" s="25">
        <v>24.878750000000004</v>
      </c>
      <c r="AB131" s="25">
        <v>76.75124999999998</v>
      </c>
      <c r="AC131" s="25">
        <v>5.679166666666667</v>
      </c>
      <c r="AD131" s="25">
        <v>34.49333333333333</v>
      </c>
      <c r="AE131" s="25">
        <v>38.29833333333333</v>
      </c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</row>
    <row r="132" ht="15.75" hidden="1" customHeight="1">
      <c r="A132" s="25" t="s">
        <v>54</v>
      </c>
      <c r="B132" s="25" t="s">
        <v>62</v>
      </c>
      <c r="C132" s="30">
        <v>44451.0</v>
      </c>
      <c r="D132" s="25" t="s">
        <v>70</v>
      </c>
      <c r="E132" s="25" t="s">
        <v>110</v>
      </c>
      <c r="F132" s="12" t="str">
        <f>IFERROR(__xludf.DUMMYFUNCTION("FILTER(Stadium!$A$2:$A$61,E132=Stadium!$B$2:$B$61)"),"Sri Lanka")</f>
        <v>Sri Lanka</v>
      </c>
      <c r="G132" s="30" t="str">
        <f t="shared" si="3"/>
        <v>W</v>
      </c>
      <c r="H132" s="30" t="str">
        <f t="shared" si="4"/>
        <v>L</v>
      </c>
      <c r="I132" s="24">
        <v>1.0909090909090908</v>
      </c>
      <c r="J132" s="24">
        <f>VLOOKUP(B132, 'WL Ratio Table'!$A$6:$D$9, 4, FALSE)</f>
        <v>0.21875</v>
      </c>
      <c r="K132" s="25" t="s">
        <v>72</v>
      </c>
      <c r="L132" s="25">
        <v>105.0</v>
      </c>
      <c r="M132" s="25">
        <v>103.0</v>
      </c>
      <c r="N132" s="25" t="s">
        <v>54</v>
      </c>
      <c r="O132" s="27">
        <v>90.0</v>
      </c>
      <c r="P132" s="25">
        <v>-175.0</v>
      </c>
      <c r="Q132" s="25">
        <v>135.0</v>
      </c>
      <c r="R132" s="25">
        <f t="shared" si="1"/>
        <v>-20</v>
      </c>
      <c r="S132" s="28">
        <f>IFERROR(__xludf.DUMMYFUNCTION("IF(F132=""India"", FILTER(Weather!D:D,D132=Weather!C:C,E132=Weather!B:B), FILTER(Weather!D:D,D132=Weather!C:C,F132=Weather!A:A))"),30.0)</f>
        <v>30</v>
      </c>
      <c r="T132" s="28">
        <f>IFERROR(__xludf.DUMMYFUNCTION("IF(F132=""India"", FILTER(Weather!E:E,D132=Weather!C:C,E132=Weather!B:B),FILTER(Weather!E:E,D132=Weather!C:C,F132=Weather!A:A))"),24.6)</f>
        <v>24.6</v>
      </c>
      <c r="U132" s="28">
        <f>IFERROR(__xludf.DUMMYFUNCTION("IF(F132=""India"", FILTER(Weather!F:F,D132=Weather!C:C,E132=Weather!B:B),FILTER(Weather!F:F,D132=Weather!C:C,F132=Weather!A:A))"),223.4)</f>
        <v>223.4</v>
      </c>
      <c r="V132" s="25">
        <v>29.26</v>
      </c>
      <c r="W132" s="25">
        <v>86.99071428571429</v>
      </c>
      <c r="X132" s="25">
        <v>5.596923076923077</v>
      </c>
      <c r="Y132" s="25">
        <v>26.36384615384615</v>
      </c>
      <c r="Z132" s="25">
        <v>26.93846153846153</v>
      </c>
      <c r="AA132" s="25">
        <v>24.878750000000004</v>
      </c>
      <c r="AB132" s="25">
        <v>76.75124999999998</v>
      </c>
      <c r="AC132" s="25">
        <v>5.679166666666667</v>
      </c>
      <c r="AD132" s="25">
        <v>34.49333333333333</v>
      </c>
      <c r="AE132" s="25">
        <v>38.29833333333333</v>
      </c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</row>
    <row r="133" ht="15.75" hidden="1" customHeight="1">
      <c r="A133" s="25" t="s">
        <v>54</v>
      </c>
      <c r="B133" s="25" t="s">
        <v>62</v>
      </c>
      <c r="C133" s="30">
        <v>44449.0</v>
      </c>
      <c r="D133" s="25" t="s">
        <v>70</v>
      </c>
      <c r="E133" s="25" t="s">
        <v>110</v>
      </c>
      <c r="F133" s="12" t="str">
        <f>IFERROR(__xludf.DUMMYFUNCTION("FILTER(Stadium!$A$2:$A$61,E133=Stadium!$B$2:$B$61)"),"Sri Lanka")</f>
        <v>Sri Lanka</v>
      </c>
      <c r="G133" s="30" t="str">
        <f t="shared" si="3"/>
        <v>W</v>
      </c>
      <c r="H133" s="30" t="str">
        <f t="shared" si="4"/>
        <v>L</v>
      </c>
      <c r="I133" s="24">
        <v>1.0909090909090908</v>
      </c>
      <c r="J133" s="24">
        <f>VLOOKUP(B133, 'WL Ratio Table'!$A$6:$D$9, 4, FALSE)</f>
        <v>0.21875</v>
      </c>
      <c r="K133" s="25" t="s">
        <v>72</v>
      </c>
      <c r="L133" s="25">
        <v>163.0</v>
      </c>
      <c r="M133" s="25">
        <v>135.0</v>
      </c>
      <c r="N133" s="25" t="s">
        <v>54</v>
      </c>
      <c r="O133" s="27">
        <f>(28/163)*100</f>
        <v>17.17791411</v>
      </c>
      <c r="P133" s="25">
        <v>-145.0</v>
      </c>
      <c r="Q133" s="25">
        <v>116.0</v>
      </c>
      <c r="R133" s="25">
        <f t="shared" si="1"/>
        <v>-14.5</v>
      </c>
      <c r="S133" s="28">
        <f>IFERROR(__xludf.DUMMYFUNCTION("IF(F133=""India"", FILTER(Weather!D:D,D133=Weather!C:C,E133=Weather!B:B), FILTER(Weather!D:D,D133=Weather!C:C,F133=Weather!A:A))"),30.0)</f>
        <v>30</v>
      </c>
      <c r="T133" s="28">
        <f>IFERROR(__xludf.DUMMYFUNCTION("IF(F133=""India"", FILTER(Weather!E:E,D133=Weather!C:C,E133=Weather!B:B),FILTER(Weather!E:E,D133=Weather!C:C,F133=Weather!A:A))"),24.6)</f>
        <v>24.6</v>
      </c>
      <c r="U133" s="28">
        <f>IFERROR(__xludf.DUMMYFUNCTION("IF(F133=""India"", FILTER(Weather!F:F,D133=Weather!C:C,E133=Weather!B:B),FILTER(Weather!F:F,D133=Weather!C:C,F133=Weather!A:A))"),223.4)</f>
        <v>223.4</v>
      </c>
      <c r="V133" s="25">
        <v>29.26</v>
      </c>
      <c r="W133" s="25">
        <v>86.99071428571429</v>
      </c>
      <c r="X133" s="25">
        <v>5.596923076923077</v>
      </c>
      <c r="Y133" s="25">
        <v>26.36384615384615</v>
      </c>
      <c r="Z133" s="25">
        <v>26.93846153846153</v>
      </c>
      <c r="AA133" s="25">
        <v>24.878750000000004</v>
      </c>
      <c r="AB133" s="25">
        <v>76.75124999999998</v>
      </c>
      <c r="AC133" s="25">
        <v>5.679166666666667</v>
      </c>
      <c r="AD133" s="25">
        <v>34.49333333333333</v>
      </c>
      <c r="AE133" s="25">
        <v>38.29833333333333</v>
      </c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</row>
    <row r="134" ht="15.75" hidden="1" customHeight="1">
      <c r="A134" s="25" t="s">
        <v>56</v>
      </c>
      <c r="B134" s="25" t="s">
        <v>61</v>
      </c>
      <c r="C134" s="30">
        <v>44449.0</v>
      </c>
      <c r="D134" s="25" t="s">
        <v>70</v>
      </c>
      <c r="E134" s="25" t="s">
        <v>84</v>
      </c>
      <c r="F134" s="12" t="str">
        <f>IFERROR(__xludf.DUMMYFUNCTION("FILTER(Stadium!$A$2:$A$61,E134=Stadium!$B$2:$B$61)"),"Bangladesh")</f>
        <v>Bangladesh</v>
      </c>
      <c r="G134" s="30" t="str">
        <f t="shared" si="3"/>
        <v>W</v>
      </c>
      <c r="H134" s="30" t="str">
        <f t="shared" si="4"/>
        <v>L</v>
      </c>
      <c r="I134" s="24">
        <v>0.75</v>
      </c>
      <c r="J134" s="24">
        <f>VLOOKUP(B134, 'WL Ratio Table'!$A$6:$D$9, 4, FALSE)</f>
        <v>0.5416666667</v>
      </c>
      <c r="K134" s="25" t="s">
        <v>72</v>
      </c>
      <c r="L134" s="25">
        <v>161.0</v>
      </c>
      <c r="M134" s="25">
        <v>134.0</v>
      </c>
      <c r="N134" s="25" t="s">
        <v>56</v>
      </c>
      <c r="O134" s="27">
        <f>(27/161)*100</f>
        <v>16.77018634</v>
      </c>
      <c r="P134" s="25">
        <v>125.0</v>
      </c>
      <c r="Q134" s="25">
        <v>-159.0</v>
      </c>
      <c r="R134" s="25">
        <f t="shared" si="1"/>
        <v>-17</v>
      </c>
      <c r="S134" s="28">
        <f>IFERROR(__xludf.DUMMYFUNCTION("IF(F134=""India"", FILTER(Weather!D:D,D134=Weather!C:C,E134=Weather!B:B), FILTER(Weather!D:D,D134=Weather!C:C,F134=Weather!A:A))"),31.8)</f>
        <v>31.8</v>
      </c>
      <c r="T134" s="28">
        <f>IFERROR(__xludf.DUMMYFUNCTION("IF(F134=""India"", FILTER(Weather!E:E,D134=Weather!C:C,E134=Weather!B:B),FILTER(Weather!E:E,D134=Weather!C:C,F134=Weather!A:A))"),23.6)</f>
        <v>23.6</v>
      </c>
      <c r="U134" s="28">
        <f>IFERROR(__xludf.DUMMYFUNCTION("IF(F134=""India"", FILTER(Weather!F:F,D134=Weather!C:C,E134=Weather!B:B),FILTER(Weather!F:F,D134=Weather!C:C,F134=Weather!A:A))"),249.6)</f>
        <v>249.6</v>
      </c>
      <c r="V134" s="25">
        <v>29.453333333333333</v>
      </c>
      <c r="W134" s="25">
        <v>88.70466666666665</v>
      </c>
      <c r="X134" s="25">
        <v>5.574545454545454</v>
      </c>
      <c r="Y134" s="25">
        <v>33.232727272727274</v>
      </c>
      <c r="Z134" s="25">
        <v>35.72636363636363</v>
      </c>
      <c r="AA134" s="25">
        <v>21.11625</v>
      </c>
      <c r="AB134" s="25">
        <v>78.83125</v>
      </c>
      <c r="AC134" s="25">
        <v>5.192727272727272</v>
      </c>
      <c r="AD134" s="25">
        <v>33.17</v>
      </c>
      <c r="AE134" s="25">
        <v>38.899090909090894</v>
      </c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</row>
    <row r="135" ht="15.75" hidden="1" customHeight="1">
      <c r="A135" s="25" t="s">
        <v>56</v>
      </c>
      <c r="B135" s="25" t="s">
        <v>61</v>
      </c>
      <c r="C135" s="30">
        <v>44447.0</v>
      </c>
      <c r="D135" s="25" t="s">
        <v>70</v>
      </c>
      <c r="E135" s="25" t="s">
        <v>84</v>
      </c>
      <c r="F135" s="12" t="str">
        <f>IFERROR(__xludf.DUMMYFUNCTION("FILTER(Stadium!$A$2:$A$61,E135=Stadium!$B$2:$B$61)"),"Bangladesh")</f>
        <v>Bangladesh</v>
      </c>
      <c r="G135" s="30" t="str">
        <f t="shared" si="3"/>
        <v>L</v>
      </c>
      <c r="H135" s="30" t="str">
        <f t="shared" si="4"/>
        <v>W</v>
      </c>
      <c r="I135" s="24">
        <v>0.75</v>
      </c>
      <c r="J135" s="24">
        <f>VLOOKUP(B135, 'WL Ratio Table'!$A$6:$D$9, 4, FALSE)</f>
        <v>0.5416666667</v>
      </c>
      <c r="K135" s="25" t="s">
        <v>72</v>
      </c>
      <c r="L135" s="25">
        <v>93.0</v>
      </c>
      <c r="M135" s="25">
        <v>96.0</v>
      </c>
      <c r="N135" s="25" t="s">
        <v>61</v>
      </c>
      <c r="O135" s="27">
        <v>60.0</v>
      </c>
      <c r="P135" s="25">
        <v>144.0</v>
      </c>
      <c r="Q135" s="25">
        <v>-189.0</v>
      </c>
      <c r="R135" s="25">
        <f t="shared" si="1"/>
        <v>-22.5</v>
      </c>
      <c r="S135" s="28">
        <f>IFERROR(__xludf.DUMMYFUNCTION("IF(F135=""India"", FILTER(Weather!D:D,D135=Weather!C:C,E135=Weather!B:B), FILTER(Weather!D:D,D135=Weather!C:C,F135=Weather!A:A))"),31.8)</f>
        <v>31.8</v>
      </c>
      <c r="T135" s="28">
        <f>IFERROR(__xludf.DUMMYFUNCTION("IF(F135=""India"", FILTER(Weather!E:E,D135=Weather!C:C,E135=Weather!B:B),FILTER(Weather!E:E,D135=Weather!C:C,F135=Weather!A:A))"),23.6)</f>
        <v>23.6</v>
      </c>
      <c r="U135" s="28">
        <f>IFERROR(__xludf.DUMMYFUNCTION("IF(F135=""India"", FILTER(Weather!F:F,D135=Weather!C:C,E135=Weather!B:B),FILTER(Weather!F:F,D135=Weather!C:C,F135=Weather!A:A))"),249.6)</f>
        <v>249.6</v>
      </c>
      <c r="V135" s="25">
        <v>29.453333333333333</v>
      </c>
      <c r="W135" s="25">
        <v>88.70466666666665</v>
      </c>
      <c r="X135" s="25">
        <v>5.574545454545454</v>
      </c>
      <c r="Y135" s="25">
        <v>33.232727272727274</v>
      </c>
      <c r="Z135" s="25">
        <v>35.72636363636363</v>
      </c>
      <c r="AA135" s="25">
        <v>21.11625</v>
      </c>
      <c r="AB135" s="25">
        <v>78.83125</v>
      </c>
      <c r="AC135" s="25">
        <v>5.192727272727272</v>
      </c>
      <c r="AD135" s="25">
        <v>33.17</v>
      </c>
      <c r="AE135" s="25">
        <v>38.899090909090894</v>
      </c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</row>
    <row r="136" ht="15.75" hidden="1" customHeight="1">
      <c r="A136" s="25" t="s">
        <v>56</v>
      </c>
      <c r="B136" s="25" t="s">
        <v>61</v>
      </c>
      <c r="C136" s="30">
        <v>44444.0</v>
      </c>
      <c r="D136" s="25" t="s">
        <v>70</v>
      </c>
      <c r="E136" s="25" t="s">
        <v>84</v>
      </c>
      <c r="F136" s="12" t="str">
        <f>IFERROR(__xludf.DUMMYFUNCTION("FILTER(Stadium!$A$2:$A$61,E136=Stadium!$B$2:$B$61)"),"Bangladesh")</f>
        <v>Bangladesh</v>
      </c>
      <c r="G136" s="30" t="str">
        <f t="shared" si="3"/>
        <v>W</v>
      </c>
      <c r="H136" s="30" t="str">
        <f t="shared" si="4"/>
        <v>L</v>
      </c>
      <c r="I136" s="24">
        <v>0.75</v>
      </c>
      <c r="J136" s="24">
        <f>VLOOKUP(B136, 'WL Ratio Table'!$A$6:$D$9, 4, FALSE)</f>
        <v>0.5416666667</v>
      </c>
      <c r="K136" s="25" t="s">
        <v>72</v>
      </c>
      <c r="L136" s="25">
        <v>128.0</v>
      </c>
      <c r="M136" s="25">
        <v>76.0</v>
      </c>
      <c r="N136" s="25" t="s">
        <v>56</v>
      </c>
      <c r="O136" s="27">
        <f>(52/128)*100</f>
        <v>40.625</v>
      </c>
      <c r="P136" s="25">
        <v>177.0</v>
      </c>
      <c r="Q136" s="25">
        <v>-238.0</v>
      </c>
      <c r="R136" s="25">
        <f t="shared" si="1"/>
        <v>-30.5</v>
      </c>
      <c r="S136" s="28">
        <f>IFERROR(__xludf.DUMMYFUNCTION("IF(F136=""India"", FILTER(Weather!D:D,D136=Weather!C:C,E136=Weather!B:B), FILTER(Weather!D:D,D136=Weather!C:C,F136=Weather!A:A))"),31.8)</f>
        <v>31.8</v>
      </c>
      <c r="T136" s="28">
        <f>IFERROR(__xludf.DUMMYFUNCTION("IF(F136=""India"", FILTER(Weather!E:E,D136=Weather!C:C,E136=Weather!B:B),FILTER(Weather!E:E,D136=Weather!C:C,F136=Weather!A:A))"),23.6)</f>
        <v>23.6</v>
      </c>
      <c r="U136" s="28">
        <f>IFERROR(__xludf.DUMMYFUNCTION("IF(F136=""India"", FILTER(Weather!F:F,D136=Weather!C:C,E136=Weather!B:B),FILTER(Weather!F:F,D136=Weather!C:C,F136=Weather!A:A))"),249.6)</f>
        <v>249.6</v>
      </c>
      <c r="V136" s="25">
        <v>29.453333333333333</v>
      </c>
      <c r="W136" s="25">
        <v>88.70466666666665</v>
      </c>
      <c r="X136" s="25">
        <v>5.574545454545454</v>
      </c>
      <c r="Y136" s="25">
        <v>33.232727272727274</v>
      </c>
      <c r="Z136" s="25">
        <v>35.72636363636363</v>
      </c>
      <c r="AA136" s="25">
        <v>21.11625</v>
      </c>
      <c r="AB136" s="25">
        <v>78.83125</v>
      </c>
      <c r="AC136" s="25">
        <v>5.192727272727272</v>
      </c>
      <c r="AD136" s="25">
        <v>33.17</v>
      </c>
      <c r="AE136" s="25">
        <v>38.899090909090894</v>
      </c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</row>
    <row r="137" ht="15.75" hidden="1" customHeight="1">
      <c r="A137" s="25" t="s">
        <v>56</v>
      </c>
      <c r="B137" s="25" t="s">
        <v>61</v>
      </c>
      <c r="C137" s="30">
        <v>44442.0</v>
      </c>
      <c r="D137" s="25" t="s">
        <v>70</v>
      </c>
      <c r="E137" s="25" t="s">
        <v>84</v>
      </c>
      <c r="F137" s="12" t="str">
        <f>IFERROR(__xludf.DUMMYFUNCTION("FILTER(Stadium!$A$2:$A$61,E137=Stadium!$B$2:$B$61)"),"Bangladesh")</f>
        <v>Bangladesh</v>
      </c>
      <c r="G137" s="30" t="str">
        <f t="shared" si="3"/>
        <v>L</v>
      </c>
      <c r="H137" s="30" t="str">
        <f t="shared" si="4"/>
        <v>W</v>
      </c>
      <c r="I137" s="24">
        <v>0.75</v>
      </c>
      <c r="J137" s="24">
        <f>VLOOKUP(B137, 'WL Ratio Table'!$A$6:$D$9, 4, FALSE)</f>
        <v>0.5416666667</v>
      </c>
      <c r="K137" s="25" t="s">
        <v>72</v>
      </c>
      <c r="L137" s="25">
        <v>137.0</v>
      </c>
      <c r="M137" s="25">
        <v>141.0</v>
      </c>
      <c r="N137" s="25" t="s">
        <v>61</v>
      </c>
      <c r="O137" s="27">
        <f>(4/141)*100</f>
        <v>2.836879433</v>
      </c>
      <c r="P137" s="25">
        <v>165.0</v>
      </c>
      <c r="Q137" s="25">
        <v>-222.0</v>
      </c>
      <c r="R137" s="25">
        <f t="shared" si="1"/>
        <v>-28.5</v>
      </c>
      <c r="S137" s="28">
        <f>IFERROR(__xludf.DUMMYFUNCTION("IF(F137=""India"", FILTER(Weather!D:D,D137=Weather!C:C,E137=Weather!B:B), FILTER(Weather!D:D,D137=Weather!C:C,F137=Weather!A:A))"),31.8)</f>
        <v>31.8</v>
      </c>
      <c r="T137" s="28">
        <f>IFERROR(__xludf.DUMMYFUNCTION("IF(F137=""India"", FILTER(Weather!E:E,D137=Weather!C:C,E137=Weather!B:B),FILTER(Weather!E:E,D137=Weather!C:C,F137=Weather!A:A))"),23.6)</f>
        <v>23.6</v>
      </c>
      <c r="U137" s="28">
        <f>IFERROR(__xludf.DUMMYFUNCTION("IF(F137=""India"", FILTER(Weather!F:F,D137=Weather!C:C,E137=Weather!B:B),FILTER(Weather!F:F,D137=Weather!C:C,F137=Weather!A:A))"),249.6)</f>
        <v>249.6</v>
      </c>
      <c r="V137" s="25">
        <v>29.453333333333333</v>
      </c>
      <c r="W137" s="25">
        <v>88.70466666666665</v>
      </c>
      <c r="X137" s="25">
        <v>5.574545454545454</v>
      </c>
      <c r="Y137" s="25">
        <v>33.232727272727274</v>
      </c>
      <c r="Z137" s="25">
        <v>35.72636363636363</v>
      </c>
      <c r="AA137" s="25">
        <v>21.11625</v>
      </c>
      <c r="AB137" s="25">
        <v>78.83125</v>
      </c>
      <c r="AC137" s="25">
        <v>5.192727272727272</v>
      </c>
      <c r="AD137" s="25">
        <v>33.17</v>
      </c>
      <c r="AE137" s="25">
        <v>38.899090909090894</v>
      </c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</row>
    <row r="138" ht="15.75" hidden="1" customHeight="1">
      <c r="A138" s="25" t="s">
        <v>56</v>
      </c>
      <c r="B138" s="25" t="s">
        <v>61</v>
      </c>
      <c r="C138" s="30">
        <v>44440.0</v>
      </c>
      <c r="D138" s="25" t="s">
        <v>70</v>
      </c>
      <c r="E138" s="25" t="s">
        <v>84</v>
      </c>
      <c r="F138" s="12" t="str">
        <f>IFERROR(__xludf.DUMMYFUNCTION("FILTER(Stadium!$A$2:$A$61,E138=Stadium!$B$2:$B$61)"),"Bangladesh")</f>
        <v>Bangladesh</v>
      </c>
      <c r="G138" s="30" t="str">
        <f t="shared" si="3"/>
        <v>L</v>
      </c>
      <c r="H138" s="30" t="str">
        <f t="shared" si="4"/>
        <v>W</v>
      </c>
      <c r="I138" s="24">
        <v>0.75</v>
      </c>
      <c r="J138" s="24">
        <f>VLOOKUP(B138, 'WL Ratio Table'!$A$6:$D$9, 4, FALSE)</f>
        <v>0.5416666667</v>
      </c>
      <c r="K138" s="25" t="s">
        <v>72</v>
      </c>
      <c r="L138" s="25">
        <v>60.0</v>
      </c>
      <c r="M138" s="25">
        <v>62.0</v>
      </c>
      <c r="N138" s="25" t="s">
        <v>61</v>
      </c>
      <c r="O138" s="27">
        <v>70.0</v>
      </c>
      <c r="P138" s="25">
        <v>166.0</v>
      </c>
      <c r="Q138" s="25">
        <v>-217.0</v>
      </c>
      <c r="R138" s="25">
        <f t="shared" si="1"/>
        <v>-25.5</v>
      </c>
      <c r="S138" s="28">
        <f>IFERROR(__xludf.DUMMYFUNCTION("IF(F138=""India"", FILTER(Weather!D:D,D138=Weather!C:C,E138=Weather!B:B), FILTER(Weather!D:D,D138=Weather!C:C,F138=Weather!A:A))"),31.8)</f>
        <v>31.8</v>
      </c>
      <c r="T138" s="28">
        <f>IFERROR(__xludf.DUMMYFUNCTION("IF(F138=""India"", FILTER(Weather!E:E,D138=Weather!C:C,E138=Weather!B:B),FILTER(Weather!E:E,D138=Weather!C:C,F138=Weather!A:A))"),23.6)</f>
        <v>23.6</v>
      </c>
      <c r="U138" s="28">
        <f>IFERROR(__xludf.DUMMYFUNCTION("IF(F138=""India"", FILTER(Weather!F:F,D138=Weather!C:C,E138=Weather!B:B),FILTER(Weather!F:F,D138=Weather!C:C,F138=Weather!A:A))"),249.6)</f>
        <v>249.6</v>
      </c>
      <c r="V138" s="25">
        <v>29.453333333333333</v>
      </c>
      <c r="W138" s="25">
        <v>88.70466666666665</v>
      </c>
      <c r="X138" s="25">
        <v>5.574545454545454</v>
      </c>
      <c r="Y138" s="25">
        <v>33.232727272727274</v>
      </c>
      <c r="Z138" s="25">
        <v>35.72636363636363</v>
      </c>
      <c r="AA138" s="25">
        <v>21.11625</v>
      </c>
      <c r="AB138" s="25">
        <v>78.83125</v>
      </c>
      <c r="AC138" s="25">
        <v>5.192727272727272</v>
      </c>
      <c r="AD138" s="25">
        <v>33.17</v>
      </c>
      <c r="AE138" s="25">
        <v>38.899090909090894</v>
      </c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</row>
    <row r="139" ht="15.75" hidden="1" customHeight="1">
      <c r="A139" s="25" t="s">
        <v>48</v>
      </c>
      <c r="B139" s="25" t="s">
        <v>61</v>
      </c>
      <c r="C139" s="30">
        <v>44417.0</v>
      </c>
      <c r="D139" s="25" t="s">
        <v>76</v>
      </c>
      <c r="E139" s="25" t="s">
        <v>84</v>
      </c>
      <c r="F139" s="12" t="str">
        <f>IFERROR(__xludf.DUMMYFUNCTION("FILTER(Stadium!$A$2:$A$61,E139=Stadium!$B$2:$B$61)"),"Bangladesh")</f>
        <v>Bangladesh</v>
      </c>
      <c r="G139" s="30" t="str">
        <f t="shared" si="3"/>
        <v>L</v>
      </c>
      <c r="H139" s="30" t="str">
        <f t="shared" si="4"/>
        <v>W</v>
      </c>
      <c r="I139" s="24">
        <f t="shared" ref="I139:I143" si="13">2/6</f>
        <v>0.3333333333</v>
      </c>
      <c r="J139" s="24">
        <f t="shared" ref="J139:J143" si="14">4/6</f>
        <v>0.6666666667</v>
      </c>
      <c r="K139" s="25" t="s">
        <v>72</v>
      </c>
      <c r="L139" s="25">
        <v>62.0</v>
      </c>
      <c r="M139" s="25">
        <v>122.0</v>
      </c>
      <c r="N139" s="25" t="s">
        <v>61</v>
      </c>
      <c r="O139" s="27">
        <f>(60/122)*100</f>
        <v>49.18032787</v>
      </c>
      <c r="P139" s="25">
        <v>-169.0</v>
      </c>
      <c r="Q139" s="25">
        <v>129.0</v>
      </c>
      <c r="R139" s="25">
        <f t="shared" si="1"/>
        <v>-20</v>
      </c>
      <c r="S139" s="28">
        <f>IFERROR(__xludf.DUMMYFUNCTION("IF(F139=""India"", FILTER(Weather!D:D,D139=Weather!C:C,E139=Weather!B:B), FILTER(Weather!D:D,D139=Weather!C:C,F139=Weather!A:A))"),32.2)</f>
        <v>32.2</v>
      </c>
      <c r="T139" s="28">
        <f>IFERROR(__xludf.DUMMYFUNCTION("IF(F139=""India"", FILTER(Weather!E:E,D139=Weather!C:C,E139=Weather!B:B),FILTER(Weather!E:E,D139=Weather!C:C,F139=Weather!A:A))"),24.0)</f>
        <v>24</v>
      </c>
      <c r="U139" s="28">
        <f>IFERROR(__xludf.DUMMYFUNCTION("IF(F139=""India"", FILTER(Weather!F:F,D139=Weather!C:C,E139=Weather!B:B),FILTER(Weather!F:F,D139=Weather!C:C,F139=Weather!A:A))"),285.8)</f>
        <v>285.8</v>
      </c>
      <c r="V139" s="25">
        <v>27.727333333333334</v>
      </c>
      <c r="W139" s="25">
        <v>92.17733333333332</v>
      </c>
      <c r="X139" s="25">
        <v>5.772307692307693</v>
      </c>
      <c r="Y139" s="25">
        <v>39.89076923076924</v>
      </c>
      <c r="Z139" s="25">
        <v>41.56384615384616</v>
      </c>
      <c r="AA139" s="25">
        <v>21.11625</v>
      </c>
      <c r="AB139" s="25">
        <v>78.83125</v>
      </c>
      <c r="AC139" s="25">
        <v>5.192727272727272</v>
      </c>
      <c r="AD139" s="25">
        <v>33.17</v>
      </c>
      <c r="AE139" s="25">
        <v>38.899090909090894</v>
      </c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</row>
    <row r="140" ht="15.75" hidden="1" customHeight="1">
      <c r="A140" s="25" t="s">
        <v>48</v>
      </c>
      <c r="B140" s="25" t="s">
        <v>61</v>
      </c>
      <c r="C140" s="30">
        <v>44415.0</v>
      </c>
      <c r="D140" s="25" t="s">
        <v>76</v>
      </c>
      <c r="E140" s="25" t="s">
        <v>84</v>
      </c>
      <c r="F140" s="12" t="str">
        <f>IFERROR(__xludf.DUMMYFUNCTION("FILTER(Stadium!$A$2:$A$61,E140=Stadium!$B$2:$B$61)"),"Bangladesh")</f>
        <v>Bangladesh</v>
      </c>
      <c r="G140" s="30" t="str">
        <f t="shared" si="3"/>
        <v>W</v>
      </c>
      <c r="H140" s="30" t="str">
        <f t="shared" si="4"/>
        <v>L</v>
      </c>
      <c r="I140" s="24">
        <f t="shared" si="13"/>
        <v>0.3333333333</v>
      </c>
      <c r="J140" s="24">
        <f t="shared" si="14"/>
        <v>0.6666666667</v>
      </c>
      <c r="K140" s="25" t="s">
        <v>72</v>
      </c>
      <c r="L140" s="25">
        <v>105.0</v>
      </c>
      <c r="M140" s="25">
        <v>104.0</v>
      </c>
      <c r="N140" s="25" t="s">
        <v>48</v>
      </c>
      <c r="O140" s="27">
        <v>30.0</v>
      </c>
      <c r="P140" s="25">
        <v>-175.0</v>
      </c>
      <c r="Q140" s="25">
        <v>129.0</v>
      </c>
      <c r="R140" s="25">
        <f t="shared" si="1"/>
        <v>-23</v>
      </c>
      <c r="S140" s="28">
        <f>IFERROR(__xludf.DUMMYFUNCTION("IF(F140=""India"", FILTER(Weather!D:D,D140=Weather!C:C,E140=Weather!B:B), FILTER(Weather!D:D,D140=Weather!C:C,F140=Weather!A:A))"),32.2)</f>
        <v>32.2</v>
      </c>
      <c r="T140" s="28">
        <f>IFERROR(__xludf.DUMMYFUNCTION("IF(F140=""India"", FILTER(Weather!E:E,D140=Weather!C:C,E140=Weather!B:B),FILTER(Weather!E:E,D140=Weather!C:C,F140=Weather!A:A))"),24.0)</f>
        <v>24</v>
      </c>
      <c r="U140" s="28">
        <f>IFERROR(__xludf.DUMMYFUNCTION("IF(F140=""India"", FILTER(Weather!F:F,D140=Weather!C:C,E140=Weather!B:B),FILTER(Weather!F:F,D140=Weather!C:C,F140=Weather!A:A))"),285.8)</f>
        <v>285.8</v>
      </c>
      <c r="V140" s="25">
        <v>27.727333333333334</v>
      </c>
      <c r="W140" s="25">
        <v>92.17733333333332</v>
      </c>
      <c r="X140" s="25">
        <v>5.772307692307693</v>
      </c>
      <c r="Y140" s="25">
        <v>39.89076923076924</v>
      </c>
      <c r="Z140" s="25">
        <v>41.56384615384616</v>
      </c>
      <c r="AA140" s="25">
        <v>21.11625</v>
      </c>
      <c r="AB140" s="25">
        <v>78.83125</v>
      </c>
      <c r="AC140" s="25">
        <v>5.192727272727272</v>
      </c>
      <c r="AD140" s="25">
        <v>33.17</v>
      </c>
      <c r="AE140" s="25">
        <v>38.899090909090894</v>
      </c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</row>
    <row r="141" ht="15.75" hidden="1" customHeight="1">
      <c r="A141" s="25" t="s">
        <v>48</v>
      </c>
      <c r="B141" s="25" t="s">
        <v>61</v>
      </c>
      <c r="C141" s="30">
        <v>44414.0</v>
      </c>
      <c r="D141" s="25" t="s">
        <v>76</v>
      </c>
      <c r="E141" s="25" t="s">
        <v>84</v>
      </c>
      <c r="F141" s="12" t="str">
        <f>IFERROR(__xludf.DUMMYFUNCTION("FILTER(Stadium!$A$2:$A$61,E141=Stadium!$B$2:$B$61)"),"Bangladesh")</f>
        <v>Bangladesh</v>
      </c>
      <c r="G141" s="30" t="str">
        <f t="shared" si="3"/>
        <v>L</v>
      </c>
      <c r="H141" s="30" t="str">
        <f t="shared" si="4"/>
        <v>W</v>
      </c>
      <c r="I141" s="24">
        <f t="shared" si="13"/>
        <v>0.3333333333</v>
      </c>
      <c r="J141" s="24">
        <f t="shared" si="14"/>
        <v>0.6666666667</v>
      </c>
      <c r="K141" s="25" t="s">
        <v>72</v>
      </c>
      <c r="L141" s="25">
        <v>117.0</v>
      </c>
      <c r="M141" s="25">
        <v>127.0</v>
      </c>
      <c r="N141" s="25" t="s">
        <v>61</v>
      </c>
      <c r="O141" s="27">
        <f>(10/127)*100</f>
        <v>7.874015748</v>
      </c>
      <c r="P141" s="25">
        <v>-164.0</v>
      </c>
      <c r="Q141" s="25">
        <v>125.0</v>
      </c>
      <c r="R141" s="25">
        <f t="shared" si="1"/>
        <v>-19.5</v>
      </c>
      <c r="S141" s="28">
        <f>IFERROR(__xludf.DUMMYFUNCTION("IF(F141=""India"", FILTER(Weather!D:D,D141=Weather!C:C,E141=Weather!B:B), FILTER(Weather!D:D,D141=Weather!C:C,F141=Weather!A:A))"),32.2)</f>
        <v>32.2</v>
      </c>
      <c r="T141" s="28">
        <f>IFERROR(__xludf.DUMMYFUNCTION("IF(F141=""India"", FILTER(Weather!E:E,D141=Weather!C:C,E141=Weather!B:B),FILTER(Weather!E:E,D141=Weather!C:C,F141=Weather!A:A))"),24.0)</f>
        <v>24</v>
      </c>
      <c r="U141" s="28">
        <f>IFERROR(__xludf.DUMMYFUNCTION("IF(F141=""India"", FILTER(Weather!F:F,D141=Weather!C:C,E141=Weather!B:B),FILTER(Weather!F:F,D141=Weather!C:C,F141=Weather!A:A))"),285.8)</f>
        <v>285.8</v>
      </c>
      <c r="V141" s="25">
        <v>27.727333333333334</v>
      </c>
      <c r="W141" s="25">
        <v>92.17733333333332</v>
      </c>
      <c r="X141" s="25">
        <v>5.772307692307693</v>
      </c>
      <c r="Y141" s="25">
        <v>39.89076923076924</v>
      </c>
      <c r="Z141" s="25">
        <v>41.56384615384616</v>
      </c>
      <c r="AA141" s="25">
        <v>21.11625</v>
      </c>
      <c r="AB141" s="25">
        <v>78.83125</v>
      </c>
      <c r="AC141" s="25">
        <v>5.192727272727272</v>
      </c>
      <c r="AD141" s="25">
        <v>33.17</v>
      </c>
      <c r="AE141" s="25">
        <v>38.899090909090894</v>
      </c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</row>
    <row r="142" ht="15.75" hidden="1" customHeight="1">
      <c r="A142" s="25" t="s">
        <v>48</v>
      </c>
      <c r="B142" s="25" t="s">
        <v>61</v>
      </c>
      <c r="C142" s="30">
        <v>44412.0</v>
      </c>
      <c r="D142" s="25" t="s">
        <v>76</v>
      </c>
      <c r="E142" s="25" t="s">
        <v>84</v>
      </c>
      <c r="F142" s="12" t="str">
        <f>IFERROR(__xludf.DUMMYFUNCTION("FILTER(Stadium!$A$2:$A$61,E142=Stadium!$B$2:$B$61)"),"Bangladesh")</f>
        <v>Bangladesh</v>
      </c>
      <c r="G142" s="30" t="str">
        <f t="shared" si="3"/>
        <v>L</v>
      </c>
      <c r="H142" s="30" t="str">
        <f t="shared" si="4"/>
        <v>W</v>
      </c>
      <c r="I142" s="24">
        <f t="shared" si="13"/>
        <v>0.3333333333</v>
      </c>
      <c r="J142" s="24">
        <f t="shared" si="14"/>
        <v>0.6666666667</v>
      </c>
      <c r="K142" s="25" t="s">
        <v>72</v>
      </c>
      <c r="L142" s="25">
        <v>121.0</v>
      </c>
      <c r="M142" s="25">
        <v>131.0</v>
      </c>
      <c r="N142" s="25" t="s">
        <v>61</v>
      </c>
      <c r="O142" s="27">
        <v>50.0</v>
      </c>
      <c r="P142" s="25">
        <v>-189.0</v>
      </c>
      <c r="Q142" s="25">
        <v>146.0</v>
      </c>
      <c r="R142" s="25">
        <f t="shared" si="1"/>
        <v>-21.5</v>
      </c>
      <c r="S142" s="28">
        <f>IFERROR(__xludf.DUMMYFUNCTION("IF(F142=""India"", FILTER(Weather!D:D,D142=Weather!C:C,E142=Weather!B:B), FILTER(Weather!D:D,D142=Weather!C:C,F142=Weather!A:A))"),32.2)</f>
        <v>32.2</v>
      </c>
      <c r="T142" s="28">
        <f>IFERROR(__xludf.DUMMYFUNCTION("IF(F142=""India"", FILTER(Weather!E:E,D142=Weather!C:C,E142=Weather!B:B),FILTER(Weather!E:E,D142=Weather!C:C,F142=Weather!A:A))"),24.0)</f>
        <v>24</v>
      </c>
      <c r="U142" s="28">
        <f>IFERROR(__xludf.DUMMYFUNCTION("IF(F142=""India"", FILTER(Weather!F:F,D142=Weather!C:C,E142=Weather!B:B),FILTER(Weather!F:F,D142=Weather!C:C,F142=Weather!A:A))"),285.8)</f>
        <v>285.8</v>
      </c>
      <c r="V142" s="25">
        <v>27.727333333333334</v>
      </c>
      <c r="W142" s="25">
        <v>92.17733333333332</v>
      </c>
      <c r="X142" s="25">
        <v>5.772307692307693</v>
      </c>
      <c r="Y142" s="25">
        <v>39.89076923076924</v>
      </c>
      <c r="Z142" s="25">
        <v>41.56384615384616</v>
      </c>
      <c r="AA142" s="25">
        <v>21.11625</v>
      </c>
      <c r="AB142" s="25">
        <v>78.83125</v>
      </c>
      <c r="AC142" s="25">
        <v>5.192727272727272</v>
      </c>
      <c r="AD142" s="25">
        <v>33.17</v>
      </c>
      <c r="AE142" s="25">
        <v>38.899090909090894</v>
      </c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</row>
    <row r="143" ht="15.75" hidden="1" customHeight="1">
      <c r="A143" s="25" t="s">
        <v>48</v>
      </c>
      <c r="B143" s="25" t="s">
        <v>61</v>
      </c>
      <c r="C143" s="30">
        <v>44411.0</v>
      </c>
      <c r="D143" s="25" t="s">
        <v>76</v>
      </c>
      <c r="E143" s="25" t="s">
        <v>84</v>
      </c>
      <c r="F143" s="12" t="str">
        <f>IFERROR(__xludf.DUMMYFUNCTION("FILTER(Stadium!$A$2:$A$61,E143=Stadium!$B$2:$B$61)"),"Bangladesh")</f>
        <v>Bangladesh</v>
      </c>
      <c r="G143" s="30" t="str">
        <f t="shared" si="3"/>
        <v>L</v>
      </c>
      <c r="H143" s="30" t="str">
        <f t="shared" si="4"/>
        <v>W</v>
      </c>
      <c r="I143" s="24">
        <f t="shared" si="13"/>
        <v>0.3333333333</v>
      </c>
      <c r="J143" s="24">
        <f t="shared" si="14"/>
        <v>0.6666666667</v>
      </c>
      <c r="K143" s="25" t="s">
        <v>72</v>
      </c>
      <c r="L143" s="25">
        <v>108.0</v>
      </c>
      <c r="M143" s="25">
        <v>131.0</v>
      </c>
      <c r="N143" s="25" t="s">
        <v>61</v>
      </c>
      <c r="O143" s="27">
        <f>(23/131)*100</f>
        <v>17.55725191</v>
      </c>
      <c r="P143" s="25">
        <v>-303.0</v>
      </c>
      <c r="Q143" s="25">
        <v>227.0</v>
      </c>
      <c r="R143" s="25">
        <f t="shared" si="1"/>
        <v>-38</v>
      </c>
      <c r="S143" s="28">
        <f>IFERROR(__xludf.DUMMYFUNCTION("IF(F143=""India"", FILTER(Weather!D:D,D143=Weather!C:C,E143=Weather!B:B), FILTER(Weather!D:D,D143=Weather!C:C,F143=Weather!A:A))"),32.2)</f>
        <v>32.2</v>
      </c>
      <c r="T143" s="28">
        <f>IFERROR(__xludf.DUMMYFUNCTION("IF(F143=""India"", FILTER(Weather!E:E,D143=Weather!C:C,E143=Weather!B:B),FILTER(Weather!E:E,D143=Weather!C:C,F143=Weather!A:A))"),24.0)</f>
        <v>24</v>
      </c>
      <c r="U143" s="28">
        <f>IFERROR(__xludf.DUMMYFUNCTION("IF(F143=""India"", FILTER(Weather!F:F,D143=Weather!C:C,E143=Weather!B:B),FILTER(Weather!F:F,D143=Weather!C:C,F143=Weather!A:A))"),285.8)</f>
        <v>285.8</v>
      </c>
      <c r="V143" s="25">
        <v>27.727333333333334</v>
      </c>
      <c r="W143" s="25">
        <v>92.17733333333332</v>
      </c>
      <c r="X143" s="25">
        <v>5.772307692307693</v>
      </c>
      <c r="Y143" s="25">
        <v>39.89076923076924</v>
      </c>
      <c r="Z143" s="25">
        <v>41.56384615384616</v>
      </c>
      <c r="AA143" s="25">
        <v>21.11625</v>
      </c>
      <c r="AB143" s="25">
        <v>78.83125</v>
      </c>
      <c r="AC143" s="25">
        <v>5.192727272727272</v>
      </c>
      <c r="AD143" s="25">
        <v>33.17</v>
      </c>
      <c r="AE143" s="25">
        <v>38.899090909090894</v>
      </c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</row>
    <row r="144" ht="15.75" hidden="1" customHeight="1">
      <c r="A144" s="25" t="s">
        <v>47</v>
      </c>
      <c r="B144" s="25" t="s">
        <v>62</v>
      </c>
      <c r="C144" s="30">
        <v>44406.0</v>
      </c>
      <c r="D144" s="25" t="s">
        <v>102</v>
      </c>
      <c r="E144" s="25" t="s">
        <v>110</v>
      </c>
      <c r="F144" s="12" t="str">
        <f>IFERROR(__xludf.DUMMYFUNCTION("FILTER(Stadium!$A$2:$A$61,E144=Stadium!$B$2:$B$61)"),"Sri Lanka")</f>
        <v>Sri Lanka</v>
      </c>
      <c r="G144" s="30" t="str">
        <f t="shared" si="3"/>
        <v>L</v>
      </c>
      <c r="H144" s="30" t="str">
        <f t="shared" si="4"/>
        <v>W</v>
      </c>
      <c r="I144" s="24">
        <v>2.8125</v>
      </c>
      <c r="J144" s="24">
        <f>VLOOKUP(B144, 'WL Ratio Table'!$A$6:$D$9, 4, FALSE)</f>
        <v>0.21875</v>
      </c>
      <c r="K144" s="25" t="s">
        <v>72</v>
      </c>
      <c r="L144" s="25">
        <v>81.0</v>
      </c>
      <c r="M144" s="25">
        <v>82.0</v>
      </c>
      <c r="N144" s="25" t="s">
        <v>62</v>
      </c>
      <c r="O144" s="27">
        <v>70.0</v>
      </c>
      <c r="P144" s="25">
        <v>-156.0</v>
      </c>
      <c r="Q144" s="25">
        <v>-172.0</v>
      </c>
      <c r="R144" s="25">
        <f t="shared" si="1"/>
        <v>-164</v>
      </c>
      <c r="S144" s="28">
        <f>IFERROR(__xludf.DUMMYFUNCTION("IF(F144=""India"", FILTER(Weather!D:D,D144=Weather!C:C,E144=Weather!B:B), FILTER(Weather!D:D,D144=Weather!C:C,F144=Weather!A:A))"),30.4)</f>
        <v>30.4</v>
      </c>
      <c r="T144" s="28">
        <f>IFERROR(__xludf.DUMMYFUNCTION("IF(F144=""India"", FILTER(Weather!E:E,D144=Weather!C:C,E144=Weather!B:B),FILTER(Weather!E:E,D144=Weather!C:C,F144=Weather!A:A))"),25.0)</f>
        <v>25</v>
      </c>
      <c r="U144" s="28">
        <f>IFERROR(__xludf.DUMMYFUNCTION("IF(F144=""India"", FILTER(Weather!F:F,D144=Weather!C:C,E144=Weather!B:B),FILTER(Weather!F:F,D144=Weather!C:C,F144=Weather!A:A))"),285.8)</f>
        <v>285.8</v>
      </c>
      <c r="V144" s="15">
        <v>29.216249999999995</v>
      </c>
      <c r="W144" s="15">
        <v>82.43625</v>
      </c>
      <c r="X144" s="25">
        <v>5.422499999999999</v>
      </c>
      <c r="Y144" s="25">
        <v>40.535</v>
      </c>
      <c r="Z144" s="25">
        <v>43.995000000000005</v>
      </c>
      <c r="AA144" s="25">
        <v>24.878750000000004</v>
      </c>
      <c r="AB144" s="25">
        <v>76.75124999999998</v>
      </c>
      <c r="AC144" s="25">
        <v>5.679166666666667</v>
      </c>
      <c r="AD144" s="25">
        <v>34.49333333333333</v>
      </c>
      <c r="AE144" s="25">
        <v>38.29833333333333</v>
      </c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</row>
    <row r="145" ht="15.75" hidden="1" customHeight="1">
      <c r="A145" s="25" t="s">
        <v>47</v>
      </c>
      <c r="B145" s="25" t="s">
        <v>62</v>
      </c>
      <c r="C145" s="30">
        <v>44405.0</v>
      </c>
      <c r="D145" s="25" t="s">
        <v>102</v>
      </c>
      <c r="E145" s="25" t="s">
        <v>110</v>
      </c>
      <c r="F145" s="12" t="str">
        <f>IFERROR(__xludf.DUMMYFUNCTION("FILTER(Stadium!$A$2:$A$61,E145=Stadium!$B$2:$B$61)"),"Sri Lanka")</f>
        <v>Sri Lanka</v>
      </c>
      <c r="G145" s="30" t="str">
        <f t="shared" si="3"/>
        <v>L</v>
      </c>
      <c r="H145" s="30" t="str">
        <f t="shared" si="4"/>
        <v>W</v>
      </c>
      <c r="I145" s="24">
        <v>2.8125</v>
      </c>
      <c r="J145" s="24">
        <f>VLOOKUP(B145, 'WL Ratio Table'!$A$6:$D$9, 4, FALSE)</f>
        <v>0.21875</v>
      </c>
      <c r="K145" s="25" t="s">
        <v>72</v>
      </c>
      <c r="L145" s="25">
        <v>132.0</v>
      </c>
      <c r="M145" s="25">
        <v>133.0</v>
      </c>
      <c r="N145" s="25" t="s">
        <v>62</v>
      </c>
      <c r="O145" s="27">
        <v>40.0</v>
      </c>
      <c r="P145" s="25">
        <v>-127.0</v>
      </c>
      <c r="Q145" s="25">
        <v>-103.0</v>
      </c>
      <c r="R145" s="25">
        <f t="shared" si="1"/>
        <v>-115</v>
      </c>
      <c r="S145" s="28">
        <f>IFERROR(__xludf.DUMMYFUNCTION("IF(F145=""India"", FILTER(Weather!D:D,D145=Weather!C:C,E145=Weather!B:B), FILTER(Weather!D:D,D145=Weather!C:C,F145=Weather!A:A))"),30.4)</f>
        <v>30.4</v>
      </c>
      <c r="T145" s="28">
        <f>IFERROR(__xludf.DUMMYFUNCTION("IF(F145=""India"", FILTER(Weather!E:E,D145=Weather!C:C,E145=Weather!B:B),FILTER(Weather!E:E,D145=Weather!C:C,F145=Weather!A:A))"),25.0)</f>
        <v>25</v>
      </c>
      <c r="U145" s="28">
        <f>IFERROR(__xludf.DUMMYFUNCTION("IF(F145=""India"", FILTER(Weather!F:F,D145=Weather!C:C,E145=Weather!B:B),FILTER(Weather!F:F,D145=Weather!C:C,F145=Weather!A:A))"),285.8)</f>
        <v>285.8</v>
      </c>
      <c r="V145" s="15">
        <v>29.216249999999995</v>
      </c>
      <c r="W145" s="15">
        <v>82.43625</v>
      </c>
      <c r="X145" s="25">
        <v>5.422499999999999</v>
      </c>
      <c r="Y145" s="25">
        <v>40.535</v>
      </c>
      <c r="Z145" s="25">
        <v>43.995000000000005</v>
      </c>
      <c r="AA145" s="25">
        <v>24.878750000000004</v>
      </c>
      <c r="AB145" s="25">
        <v>76.75124999999998</v>
      </c>
      <c r="AC145" s="25">
        <v>5.679166666666667</v>
      </c>
      <c r="AD145" s="25">
        <v>34.49333333333333</v>
      </c>
      <c r="AE145" s="25">
        <v>38.29833333333333</v>
      </c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</row>
    <row r="146" ht="15.75" hidden="1" customHeight="1">
      <c r="A146" s="25" t="s">
        <v>47</v>
      </c>
      <c r="B146" s="25" t="s">
        <v>62</v>
      </c>
      <c r="C146" s="30">
        <v>44402.0</v>
      </c>
      <c r="D146" s="25" t="s">
        <v>102</v>
      </c>
      <c r="E146" s="25" t="s">
        <v>110</v>
      </c>
      <c r="F146" s="12" t="str">
        <f>IFERROR(__xludf.DUMMYFUNCTION("FILTER(Stadium!$A$2:$A$61,E146=Stadium!$B$2:$B$61)"),"Sri Lanka")</f>
        <v>Sri Lanka</v>
      </c>
      <c r="G146" s="30" t="str">
        <f t="shared" si="3"/>
        <v>W</v>
      </c>
      <c r="H146" s="30" t="str">
        <f t="shared" si="4"/>
        <v>L</v>
      </c>
      <c r="I146" s="24">
        <v>2.8125</v>
      </c>
      <c r="J146" s="24">
        <f>VLOOKUP(B146, 'WL Ratio Table'!$A$6:$D$9, 4, FALSE)</f>
        <v>0.21875</v>
      </c>
      <c r="K146" s="25" t="s">
        <v>72</v>
      </c>
      <c r="L146" s="25">
        <v>164.0</v>
      </c>
      <c r="M146" s="25">
        <v>126.0</v>
      </c>
      <c r="N146" s="25" t="s">
        <v>47</v>
      </c>
      <c r="O146" s="27">
        <f>(38/164)*100</f>
        <v>23.17073171</v>
      </c>
      <c r="P146" s="25">
        <v>-333.0</v>
      </c>
      <c r="Q146" s="25">
        <v>245.0</v>
      </c>
      <c r="R146" s="25">
        <f t="shared" si="1"/>
        <v>-44</v>
      </c>
      <c r="S146" s="28">
        <f>IFERROR(__xludf.DUMMYFUNCTION("IF(F146=""India"", FILTER(Weather!D:D,D146=Weather!C:C,E146=Weather!B:B), FILTER(Weather!D:D,D146=Weather!C:C,F146=Weather!A:A))"),30.4)</f>
        <v>30.4</v>
      </c>
      <c r="T146" s="28">
        <f>IFERROR(__xludf.DUMMYFUNCTION("IF(F146=""India"", FILTER(Weather!E:E,D146=Weather!C:C,E146=Weather!B:B),FILTER(Weather!E:E,D146=Weather!C:C,F146=Weather!A:A))"),25.0)</f>
        <v>25</v>
      </c>
      <c r="U146" s="28">
        <f>IFERROR(__xludf.DUMMYFUNCTION("IF(F146=""India"", FILTER(Weather!F:F,D146=Weather!C:C,E146=Weather!B:B),FILTER(Weather!F:F,D146=Weather!C:C,F146=Weather!A:A))"),285.8)</f>
        <v>285.8</v>
      </c>
      <c r="V146" s="15">
        <v>29.216249999999995</v>
      </c>
      <c r="W146" s="15">
        <v>82.43625</v>
      </c>
      <c r="X146" s="25">
        <v>5.422499999999999</v>
      </c>
      <c r="Y146" s="25">
        <v>40.535</v>
      </c>
      <c r="Z146" s="25">
        <v>43.995000000000005</v>
      </c>
      <c r="AA146" s="25">
        <v>24.878750000000004</v>
      </c>
      <c r="AB146" s="25">
        <v>76.75124999999998</v>
      </c>
      <c r="AC146" s="25">
        <v>5.679166666666667</v>
      </c>
      <c r="AD146" s="25">
        <v>34.49333333333333</v>
      </c>
      <c r="AE146" s="25">
        <v>38.29833333333333</v>
      </c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</row>
    <row r="147" ht="15.75" hidden="1" customHeight="1">
      <c r="A147" s="25" t="s">
        <v>58</v>
      </c>
      <c r="B147" s="25" t="s">
        <v>59</v>
      </c>
      <c r="C147" s="30">
        <v>44397.0</v>
      </c>
      <c r="D147" s="25" t="s">
        <v>102</v>
      </c>
      <c r="E147" s="25" t="s">
        <v>75</v>
      </c>
      <c r="F147" s="12" t="str">
        <f>IFERROR(__xludf.DUMMYFUNCTION("FILTER(Stadium!$A$2:$A$61,E147=Stadium!$B$2:$B$61)"),"England")</f>
        <v>England</v>
      </c>
      <c r="G147" s="30" t="str">
        <f t="shared" si="3"/>
        <v>W</v>
      </c>
      <c r="H147" s="30" t="str">
        <f t="shared" si="4"/>
        <v>L</v>
      </c>
      <c r="I147" s="24">
        <f t="shared" ref="I147:I149" si="15">9/14</f>
        <v>0.6428571429</v>
      </c>
      <c r="J147" s="24">
        <f t="shared" ref="J147:J149" si="16">5/14</f>
        <v>0.3571428571</v>
      </c>
      <c r="K147" s="25" t="s">
        <v>72</v>
      </c>
      <c r="L147" s="25">
        <v>155.0</v>
      </c>
      <c r="M147" s="25">
        <v>154.0</v>
      </c>
      <c r="N147" s="25" t="s">
        <v>58</v>
      </c>
      <c r="O147" s="27">
        <v>30.0</v>
      </c>
      <c r="P147" s="25">
        <v>-213.0</v>
      </c>
      <c r="Q147" s="25">
        <v>162.0</v>
      </c>
      <c r="R147" s="25">
        <f t="shared" si="1"/>
        <v>-25.5</v>
      </c>
      <c r="S147" s="28">
        <f>IFERROR(__xludf.DUMMYFUNCTION("IF(F147=""India"", FILTER(Weather!D:D,D147=Weather!C:C,E147=Weather!B:B), FILTER(Weather!D:D,D147=Weather!C:C,F147=Weather!A:A))"),22.5)</f>
        <v>22.5</v>
      </c>
      <c r="T147" s="28">
        <f>IFERROR(__xludf.DUMMYFUNCTION("IF(F147=""India"", FILTER(Weather!E:E,D147=Weather!C:C,E147=Weather!B:B),FILTER(Weather!E:E,D147=Weather!C:C,F147=Weather!A:A))"),12.0)</f>
        <v>12</v>
      </c>
      <c r="U147" s="28">
        <f>IFERROR(__xludf.DUMMYFUNCTION("IF(F147=""India"", FILTER(Weather!F:F,D147=Weather!C:C,E147=Weather!B:B),FILTER(Weather!F:F,D147=Weather!C:C,F147=Weather!A:A))"),45.8)</f>
        <v>45.8</v>
      </c>
      <c r="V147" s="25">
        <v>30.137999999999998</v>
      </c>
      <c r="W147" s="25">
        <v>100.968</v>
      </c>
      <c r="X147" s="25">
        <v>5.778333333333333</v>
      </c>
      <c r="Y147" s="25">
        <v>37.89333333333334</v>
      </c>
      <c r="Z147" s="25">
        <v>39.69166666666667</v>
      </c>
      <c r="AA147" s="25">
        <v>28.993333333333332</v>
      </c>
      <c r="AB147" s="25">
        <v>91.364</v>
      </c>
      <c r="AC147" s="25">
        <v>5.425454545454545</v>
      </c>
      <c r="AD147" s="25">
        <v>46.032727272727264</v>
      </c>
      <c r="AE147" s="25">
        <v>51.62</v>
      </c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</row>
    <row r="148" ht="15.75" hidden="1" customHeight="1">
      <c r="A148" s="25" t="s">
        <v>58</v>
      </c>
      <c r="B148" s="25" t="s">
        <v>59</v>
      </c>
      <c r="C148" s="30">
        <v>44395.0</v>
      </c>
      <c r="D148" s="25" t="s">
        <v>102</v>
      </c>
      <c r="E148" s="25" t="s">
        <v>115</v>
      </c>
      <c r="F148" s="12" t="str">
        <f>IFERROR(__xludf.DUMMYFUNCTION("FILTER(Stadium!$A$2:$A$61,E148=Stadium!$B$2:$B$61)"),"England")</f>
        <v>England</v>
      </c>
      <c r="G148" s="30" t="str">
        <f t="shared" si="3"/>
        <v>W</v>
      </c>
      <c r="H148" s="30" t="str">
        <f t="shared" si="4"/>
        <v>L</v>
      </c>
      <c r="I148" s="24">
        <f t="shared" si="15"/>
        <v>0.6428571429</v>
      </c>
      <c r="J148" s="24">
        <f t="shared" si="16"/>
        <v>0.3571428571</v>
      </c>
      <c r="K148" s="25" t="s">
        <v>72</v>
      </c>
      <c r="L148" s="25">
        <v>200.0</v>
      </c>
      <c r="M148" s="25">
        <v>155.0</v>
      </c>
      <c r="N148" s="25" t="s">
        <v>58</v>
      </c>
      <c r="O148" s="27">
        <f>(45/200)*100</f>
        <v>22.5</v>
      </c>
      <c r="P148" s="25">
        <v>-196.0</v>
      </c>
      <c r="Q148" s="25">
        <v>150.0</v>
      </c>
      <c r="R148" s="25">
        <f t="shared" si="1"/>
        <v>-23</v>
      </c>
      <c r="S148" s="28">
        <f>IFERROR(__xludf.DUMMYFUNCTION("IF(F148=""India"", FILTER(Weather!D:D,D148=Weather!C:C,E148=Weather!B:B), FILTER(Weather!D:D,D148=Weather!C:C,F148=Weather!A:A))"),22.5)</f>
        <v>22.5</v>
      </c>
      <c r="T148" s="28">
        <f>IFERROR(__xludf.DUMMYFUNCTION("IF(F148=""India"", FILTER(Weather!E:E,D148=Weather!C:C,E148=Weather!B:B),FILTER(Weather!E:E,D148=Weather!C:C,F148=Weather!A:A))"),12.0)</f>
        <v>12</v>
      </c>
      <c r="U148" s="28">
        <f>IFERROR(__xludf.DUMMYFUNCTION("IF(F148=""India"", FILTER(Weather!F:F,D148=Weather!C:C,E148=Weather!B:B),FILTER(Weather!F:F,D148=Weather!C:C,F148=Weather!A:A))"),45.8)</f>
        <v>45.8</v>
      </c>
      <c r="V148" s="25">
        <v>30.137999999999998</v>
      </c>
      <c r="W148" s="25">
        <v>100.968</v>
      </c>
      <c r="X148" s="25">
        <v>5.778333333333333</v>
      </c>
      <c r="Y148" s="25">
        <v>37.89333333333334</v>
      </c>
      <c r="Z148" s="25">
        <v>39.69166666666667</v>
      </c>
      <c r="AA148" s="25">
        <v>28.993333333333332</v>
      </c>
      <c r="AB148" s="25">
        <v>91.364</v>
      </c>
      <c r="AC148" s="25">
        <v>5.425454545454545</v>
      </c>
      <c r="AD148" s="25">
        <v>46.032727272727264</v>
      </c>
      <c r="AE148" s="25">
        <v>51.62</v>
      </c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</row>
    <row r="149" ht="15.75" hidden="1" customHeight="1">
      <c r="A149" s="25" t="s">
        <v>58</v>
      </c>
      <c r="B149" s="25" t="s">
        <v>59</v>
      </c>
      <c r="C149" s="30">
        <v>44393.0</v>
      </c>
      <c r="D149" s="25" t="s">
        <v>102</v>
      </c>
      <c r="E149" s="25" t="s">
        <v>71</v>
      </c>
      <c r="F149" s="12" t="str">
        <f>IFERROR(__xludf.DUMMYFUNCTION("FILTER(Stadium!$A$2:$A$61,E149=Stadium!$B$2:$B$61)"),"England")</f>
        <v>England</v>
      </c>
      <c r="G149" s="30" t="str">
        <f t="shared" si="3"/>
        <v>L</v>
      </c>
      <c r="H149" s="30" t="str">
        <f t="shared" si="4"/>
        <v>W</v>
      </c>
      <c r="I149" s="24">
        <f t="shared" si="15"/>
        <v>0.6428571429</v>
      </c>
      <c r="J149" s="24">
        <f t="shared" si="16"/>
        <v>0.3571428571</v>
      </c>
      <c r="K149" s="25" t="s">
        <v>72</v>
      </c>
      <c r="L149" s="25">
        <v>201.0</v>
      </c>
      <c r="M149" s="25">
        <v>232.0</v>
      </c>
      <c r="N149" s="25" t="s">
        <v>59</v>
      </c>
      <c r="O149" s="27">
        <f>(31/232)*100</f>
        <v>13.36206897</v>
      </c>
      <c r="P149" s="25">
        <v>-192.0</v>
      </c>
      <c r="Q149" s="25">
        <v>145.0</v>
      </c>
      <c r="R149" s="25">
        <f t="shared" si="1"/>
        <v>-23.5</v>
      </c>
      <c r="S149" s="28">
        <f>IFERROR(__xludf.DUMMYFUNCTION("IF(F149=""India"", FILTER(Weather!D:D,D149=Weather!C:C,E149=Weather!B:B), FILTER(Weather!D:D,D149=Weather!C:C,F149=Weather!A:A))"),22.5)</f>
        <v>22.5</v>
      </c>
      <c r="T149" s="28">
        <f>IFERROR(__xludf.DUMMYFUNCTION("IF(F149=""India"", FILTER(Weather!E:E,D149=Weather!C:C,E149=Weather!B:B),FILTER(Weather!E:E,D149=Weather!C:C,F149=Weather!A:A))"),12.0)</f>
        <v>12</v>
      </c>
      <c r="U149" s="28">
        <f>IFERROR(__xludf.DUMMYFUNCTION("IF(F149=""India"", FILTER(Weather!F:F,D149=Weather!C:C,E149=Weather!B:B),FILTER(Weather!F:F,D149=Weather!C:C,F149=Weather!A:A))"),45.8)</f>
        <v>45.8</v>
      </c>
      <c r="V149" s="25">
        <v>30.137999999999998</v>
      </c>
      <c r="W149" s="25">
        <v>100.968</v>
      </c>
      <c r="X149" s="25">
        <v>5.778333333333333</v>
      </c>
      <c r="Y149" s="25">
        <v>37.89333333333334</v>
      </c>
      <c r="Z149" s="25">
        <v>39.69166666666667</v>
      </c>
      <c r="AA149" s="25">
        <v>28.993333333333332</v>
      </c>
      <c r="AB149" s="25">
        <v>91.364</v>
      </c>
      <c r="AC149" s="25">
        <v>5.425454545454545</v>
      </c>
      <c r="AD149" s="25">
        <v>46.032727272727264</v>
      </c>
      <c r="AE149" s="25">
        <v>51.62</v>
      </c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</row>
    <row r="150" ht="15.75" hidden="1" customHeight="1">
      <c r="A150" s="25" t="s">
        <v>58</v>
      </c>
      <c r="B150" s="25" t="s">
        <v>62</v>
      </c>
      <c r="C150" s="30">
        <v>44373.0</v>
      </c>
      <c r="D150" s="25" t="s">
        <v>106</v>
      </c>
      <c r="E150" s="25" t="s">
        <v>116</v>
      </c>
      <c r="F150" s="12" t="str">
        <f>IFERROR(__xludf.DUMMYFUNCTION("FILTER(Stadium!$A$2:$A$61,E150=Stadium!$B$2:$B$61)"),"England")</f>
        <v>England</v>
      </c>
      <c r="G150" s="30" t="str">
        <f t="shared" si="3"/>
        <v>W</v>
      </c>
      <c r="H150" s="30" t="str">
        <f t="shared" si="4"/>
        <v>L</v>
      </c>
      <c r="I150" s="24">
        <f>VLOOKUP(A150, 'WL Ratio Table'!$A$6:$D$8, 4, FALSE)</f>
        <v>1.384615385</v>
      </c>
      <c r="J150" s="24">
        <f>VLOOKUP(B150, 'WL Ratio Table'!$A$6:$D$9, 4, FALSE)</f>
        <v>0.21875</v>
      </c>
      <c r="K150" s="25" t="s">
        <v>72</v>
      </c>
      <c r="L150" s="25">
        <v>180.0</v>
      </c>
      <c r="M150" s="25">
        <v>91.0</v>
      </c>
      <c r="N150" s="25" t="s">
        <v>58</v>
      </c>
      <c r="O150" s="27">
        <f>(89/180)*100</f>
        <v>49.44444444</v>
      </c>
      <c r="P150" s="25">
        <v>-588.0</v>
      </c>
      <c r="Q150" s="25">
        <v>383.0</v>
      </c>
      <c r="R150" s="25">
        <f t="shared" si="1"/>
        <v>-102.5</v>
      </c>
      <c r="S150" s="28">
        <f>IFERROR(__xludf.DUMMYFUNCTION("IF(F150=""India"", FILTER(Weather!D:D,D150=Weather!C:C,E150=Weather!B:B), FILTER(Weather!D:D,D150=Weather!C:C,F150=Weather!A:A))"),20.0)</f>
        <v>20</v>
      </c>
      <c r="T150" s="28">
        <f>IFERROR(__xludf.DUMMYFUNCTION("IF(F150=""India"", FILTER(Weather!E:E,D150=Weather!C:C,E150=Weather!B:B),FILTER(Weather!E:E,D150=Weather!C:C,F150=Weather!A:A))"),10.3)</f>
        <v>10.3</v>
      </c>
      <c r="U150" s="28">
        <f>IFERROR(__xludf.DUMMYFUNCTION("IF(F150=""India"", FILTER(Weather!F:F,D150=Weather!C:C,E150=Weather!B:B),FILTER(Weather!F:F,D150=Weather!C:C,F150=Weather!A:A))"),52.5)</f>
        <v>52.5</v>
      </c>
      <c r="V150" s="25">
        <v>30.137999999999998</v>
      </c>
      <c r="W150" s="25">
        <v>100.968</v>
      </c>
      <c r="X150" s="25">
        <v>5.778333333333333</v>
      </c>
      <c r="Y150" s="25">
        <v>37.89333333333334</v>
      </c>
      <c r="Z150" s="25">
        <v>39.69166666666667</v>
      </c>
      <c r="AA150" s="25">
        <v>24.878750000000004</v>
      </c>
      <c r="AB150" s="25">
        <v>76.75124999999998</v>
      </c>
      <c r="AC150" s="25">
        <v>5.679166666666667</v>
      </c>
      <c r="AD150" s="25">
        <v>34.49333333333333</v>
      </c>
      <c r="AE150" s="25">
        <v>38.29833333333333</v>
      </c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</row>
    <row r="151" ht="15.75" hidden="1" customHeight="1">
      <c r="A151" s="25" t="s">
        <v>58</v>
      </c>
      <c r="B151" s="25" t="s">
        <v>62</v>
      </c>
      <c r="C151" s="30">
        <v>44370.0</v>
      </c>
      <c r="D151" s="25" t="s">
        <v>106</v>
      </c>
      <c r="E151" s="25" t="s">
        <v>104</v>
      </c>
      <c r="F151" s="12" t="str">
        <f>IFERROR(__xludf.DUMMYFUNCTION("FILTER(Stadium!$A$2:$A$61,E151=Stadium!$B$2:$B$61)"),"Wales")</f>
        <v>Wales</v>
      </c>
      <c r="G151" s="30" t="str">
        <f t="shared" si="3"/>
        <v>W</v>
      </c>
      <c r="H151" s="30" t="str">
        <f t="shared" si="4"/>
        <v>L</v>
      </c>
      <c r="I151" s="24">
        <f>VLOOKUP(A151, 'WL Ratio Table'!$A$6:$D$8, 4, FALSE)</f>
        <v>1.384615385</v>
      </c>
      <c r="J151" s="24">
        <f>VLOOKUP(B151, 'WL Ratio Table'!$A$6:$D$9, 4, FALSE)</f>
        <v>0.21875</v>
      </c>
      <c r="K151" s="25" t="s">
        <v>72</v>
      </c>
      <c r="L151" s="25">
        <v>130.0</v>
      </c>
      <c r="M151" s="25">
        <v>129.0</v>
      </c>
      <c r="N151" s="25" t="s">
        <v>58</v>
      </c>
      <c r="O151" s="27">
        <v>80.0</v>
      </c>
      <c r="P151" s="25">
        <v>-714.0</v>
      </c>
      <c r="Q151" s="25">
        <v>450.0</v>
      </c>
      <c r="R151" s="25">
        <f t="shared" si="1"/>
        <v>-132</v>
      </c>
      <c r="S151" s="28">
        <f>IFERROR(__xludf.DUMMYFUNCTION("IF(F151=""India"", FILTER(Weather!D:D,D151=Weather!C:C,E151=Weather!B:B), FILTER(Weather!D:D,D151=Weather!C:C,F151=Weather!A:A))"),18.4)</f>
        <v>18.4</v>
      </c>
      <c r="T151" s="28">
        <f>IFERROR(__xludf.DUMMYFUNCTION("IF(F151=""India"", FILTER(Weather!E:E,D151=Weather!C:C,E151=Weather!B:B),FILTER(Weather!E:E,D151=Weather!C:C,F151=Weather!A:A))"),9.9)</f>
        <v>9.9</v>
      </c>
      <c r="U151" s="28">
        <f>IFERROR(__xludf.DUMMYFUNCTION("IF(F151=""India"", FILTER(Weather!F:F,D151=Weather!C:C,E151=Weather!B:B),FILTER(Weather!F:F,D151=Weather!C:C,F151=Weather!A:A))"),73.5)</f>
        <v>73.5</v>
      </c>
      <c r="V151" s="25">
        <v>30.137999999999998</v>
      </c>
      <c r="W151" s="25">
        <v>100.968</v>
      </c>
      <c r="X151" s="25">
        <v>5.778333333333333</v>
      </c>
      <c r="Y151" s="25">
        <v>37.89333333333334</v>
      </c>
      <c r="Z151" s="25">
        <v>39.69166666666667</v>
      </c>
      <c r="AA151" s="25">
        <v>24.878750000000004</v>
      </c>
      <c r="AB151" s="25">
        <v>76.75124999999998</v>
      </c>
      <c r="AC151" s="25">
        <v>5.679166666666667</v>
      </c>
      <c r="AD151" s="25">
        <v>34.49333333333333</v>
      </c>
      <c r="AE151" s="25">
        <v>38.29833333333333</v>
      </c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</row>
    <row r="152" ht="15.75" hidden="1" customHeight="1">
      <c r="A152" s="25" t="s">
        <v>54</v>
      </c>
      <c r="B152" s="25" t="s">
        <v>59</v>
      </c>
      <c r="C152" s="30">
        <v>44302.0</v>
      </c>
      <c r="D152" s="25" t="s">
        <v>78</v>
      </c>
      <c r="E152" s="25" t="s">
        <v>117</v>
      </c>
      <c r="F152" s="12" t="str">
        <f>IFERROR(__xludf.DUMMYFUNCTION("FILTER(Stadium!$A$2:$A$61,E152=Stadium!$B$2:$B$61)"),"South Africa")</f>
        <v>South Africa</v>
      </c>
      <c r="G152" s="30" t="str">
        <f t="shared" si="3"/>
        <v>L</v>
      </c>
      <c r="H152" s="30" t="str">
        <f t="shared" si="4"/>
        <v>W</v>
      </c>
      <c r="I152" s="24">
        <v>1.0909090909090908</v>
      </c>
      <c r="J152" s="24">
        <f>VLOOKUP(B152, 'WL Ratio Table'!$A$6:$D$9, 4, FALSE)</f>
        <v>1</v>
      </c>
      <c r="K152" s="25" t="s">
        <v>72</v>
      </c>
      <c r="L152" s="25">
        <v>144.0</v>
      </c>
      <c r="M152" s="25">
        <v>149.0</v>
      </c>
      <c r="N152" s="25" t="s">
        <v>59</v>
      </c>
      <c r="O152" s="27">
        <v>30.0</v>
      </c>
      <c r="P152" s="25">
        <v>124.0</v>
      </c>
      <c r="Q152" s="25">
        <v>-159.0</v>
      </c>
      <c r="R152" s="25">
        <f t="shared" si="1"/>
        <v>-17.5</v>
      </c>
      <c r="S152" s="28">
        <f>IFERROR(__xludf.DUMMYFUNCTION("IF(F152=""India"", FILTER(Weather!D:D,D152=Weather!C:C,E152=Weather!B:B), FILTER(Weather!D:D,D152=Weather!C:C,F152=Weather!A:A))"),23.6)</f>
        <v>23.6</v>
      </c>
      <c r="T152" s="28">
        <f>IFERROR(__xludf.DUMMYFUNCTION("IF(F152=""India"", FILTER(Weather!E:E,D152=Weather!C:C,E152=Weather!B:B),FILTER(Weather!E:E,D152=Weather!C:C,F152=Weather!A:A))"),13.2)</f>
        <v>13.2</v>
      </c>
      <c r="U152" s="28">
        <f>IFERROR(__xludf.DUMMYFUNCTION("IF(F152=""India"", FILTER(Weather!F:F,D152=Weather!C:C,E152=Weather!B:B),FILTER(Weather!F:F,D152=Weather!C:C,F152=Weather!A:A))"),96.7)</f>
        <v>96.7</v>
      </c>
      <c r="V152" s="25">
        <v>29.26</v>
      </c>
      <c r="W152" s="25">
        <v>86.99071428571429</v>
      </c>
      <c r="X152" s="25">
        <v>5.596923076923077</v>
      </c>
      <c r="Y152" s="25">
        <v>26.36384615384615</v>
      </c>
      <c r="Z152" s="25">
        <v>26.93846153846153</v>
      </c>
      <c r="AA152" s="25">
        <v>28.993333333333332</v>
      </c>
      <c r="AB152" s="25">
        <v>91.364</v>
      </c>
      <c r="AC152" s="25">
        <v>5.425454545454545</v>
      </c>
      <c r="AD152" s="25">
        <v>46.032727272727264</v>
      </c>
      <c r="AE152" s="25">
        <v>51.62</v>
      </c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</row>
    <row r="153" ht="15.75" hidden="1" customHeight="1">
      <c r="A153" s="25" t="s">
        <v>54</v>
      </c>
      <c r="B153" s="25" t="s">
        <v>59</v>
      </c>
      <c r="C153" s="30">
        <v>44300.0</v>
      </c>
      <c r="D153" s="25" t="s">
        <v>78</v>
      </c>
      <c r="E153" s="25" t="s">
        <v>117</v>
      </c>
      <c r="F153" s="12" t="str">
        <f>IFERROR(__xludf.DUMMYFUNCTION("FILTER(Stadium!$A$2:$A$61,E153=Stadium!$B$2:$B$61)"),"South Africa")</f>
        <v>South Africa</v>
      </c>
      <c r="G153" s="30" t="str">
        <f t="shared" si="3"/>
        <v>L</v>
      </c>
      <c r="H153" s="30" t="str">
        <f t="shared" si="4"/>
        <v>W</v>
      </c>
      <c r="I153" s="24">
        <v>1.0909090909090908</v>
      </c>
      <c r="J153" s="24">
        <f>VLOOKUP(B153, 'WL Ratio Table'!$A$6:$D$9, 4, FALSE)</f>
        <v>1</v>
      </c>
      <c r="K153" s="25" t="s">
        <v>72</v>
      </c>
      <c r="L153" s="25">
        <v>203.0</v>
      </c>
      <c r="M153" s="25">
        <v>205.0</v>
      </c>
      <c r="N153" s="25" t="s">
        <v>59</v>
      </c>
      <c r="O153" s="27">
        <v>30.0</v>
      </c>
      <c r="P153" s="25">
        <v>124.0</v>
      </c>
      <c r="Q153" s="25">
        <v>-161.0</v>
      </c>
      <c r="R153" s="25">
        <f t="shared" si="1"/>
        <v>-18.5</v>
      </c>
      <c r="S153" s="28">
        <f>IFERROR(__xludf.DUMMYFUNCTION("IF(F153=""India"", FILTER(Weather!D:D,D153=Weather!C:C,E153=Weather!B:B), FILTER(Weather!D:D,D153=Weather!C:C,F153=Weather!A:A))"),23.6)</f>
        <v>23.6</v>
      </c>
      <c r="T153" s="28">
        <f>IFERROR(__xludf.DUMMYFUNCTION("IF(F153=""India"", FILTER(Weather!E:E,D153=Weather!C:C,E153=Weather!B:B),FILTER(Weather!E:E,D153=Weather!C:C,F153=Weather!A:A))"),13.2)</f>
        <v>13.2</v>
      </c>
      <c r="U153" s="28">
        <f>IFERROR(__xludf.DUMMYFUNCTION("IF(F153=""India"", FILTER(Weather!F:F,D153=Weather!C:C,E153=Weather!B:B),FILTER(Weather!F:F,D153=Weather!C:C,F153=Weather!A:A))"),96.7)</f>
        <v>96.7</v>
      </c>
      <c r="V153" s="25">
        <v>29.26</v>
      </c>
      <c r="W153" s="25">
        <v>86.99071428571429</v>
      </c>
      <c r="X153" s="25">
        <v>5.596923076923077</v>
      </c>
      <c r="Y153" s="25">
        <v>26.36384615384615</v>
      </c>
      <c r="Z153" s="25">
        <v>26.93846153846153</v>
      </c>
      <c r="AA153" s="25">
        <v>28.993333333333332</v>
      </c>
      <c r="AB153" s="25">
        <v>91.364</v>
      </c>
      <c r="AC153" s="25">
        <v>5.425454545454545</v>
      </c>
      <c r="AD153" s="25">
        <v>46.032727272727264</v>
      </c>
      <c r="AE153" s="25">
        <v>51.62</v>
      </c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</row>
    <row r="154" ht="15.75" hidden="1" customHeight="1">
      <c r="A154" s="25" t="s">
        <v>54</v>
      </c>
      <c r="B154" s="25" t="s">
        <v>59</v>
      </c>
      <c r="C154" s="30">
        <v>44298.0</v>
      </c>
      <c r="D154" s="25" t="s">
        <v>78</v>
      </c>
      <c r="E154" s="25" t="s">
        <v>118</v>
      </c>
      <c r="F154" s="12" t="str">
        <f>IFERROR(__xludf.DUMMYFUNCTION("FILTER(Stadium!$A$2:$A$61,E154=Stadium!$B$2:$B$61)"),"South Africa")</f>
        <v>South Africa</v>
      </c>
      <c r="G154" s="30" t="str">
        <f t="shared" si="3"/>
        <v>W</v>
      </c>
      <c r="H154" s="30" t="str">
        <f t="shared" si="4"/>
        <v>L</v>
      </c>
      <c r="I154" s="24">
        <v>1.0909090909090908</v>
      </c>
      <c r="J154" s="24">
        <f>VLOOKUP(B154, 'WL Ratio Table'!$A$6:$D$9, 4, FALSE)</f>
        <v>1</v>
      </c>
      <c r="K154" s="25" t="s">
        <v>72</v>
      </c>
      <c r="L154" s="25">
        <v>141.0</v>
      </c>
      <c r="M154" s="25">
        <v>140.0</v>
      </c>
      <c r="N154" s="25" t="s">
        <v>54</v>
      </c>
      <c r="O154" s="27">
        <v>60.0</v>
      </c>
      <c r="P154" s="25">
        <v>123.0</v>
      </c>
      <c r="Q154" s="25">
        <v>-156.0</v>
      </c>
      <c r="R154" s="25">
        <f t="shared" si="1"/>
        <v>-16.5</v>
      </c>
      <c r="S154" s="28">
        <f>IFERROR(__xludf.DUMMYFUNCTION("IF(F154=""India"", FILTER(Weather!D:D,D154=Weather!C:C,E154=Weather!B:B), FILTER(Weather!D:D,D154=Weather!C:C,F154=Weather!A:A))"),23.6)</f>
        <v>23.6</v>
      </c>
      <c r="T154" s="28">
        <f>IFERROR(__xludf.DUMMYFUNCTION("IF(F154=""India"", FILTER(Weather!E:E,D154=Weather!C:C,E154=Weather!B:B),FILTER(Weather!E:E,D154=Weather!C:C,F154=Weather!A:A))"),13.2)</f>
        <v>13.2</v>
      </c>
      <c r="U154" s="28">
        <f>IFERROR(__xludf.DUMMYFUNCTION("IF(F154=""India"", FILTER(Weather!F:F,D154=Weather!C:C,E154=Weather!B:B),FILTER(Weather!F:F,D154=Weather!C:C,F154=Weather!A:A))"),96.7)</f>
        <v>96.7</v>
      </c>
      <c r="V154" s="25">
        <v>29.26</v>
      </c>
      <c r="W154" s="25">
        <v>86.99071428571429</v>
      </c>
      <c r="X154" s="25">
        <v>5.596923076923077</v>
      </c>
      <c r="Y154" s="25">
        <v>26.36384615384615</v>
      </c>
      <c r="Z154" s="25">
        <v>26.93846153846153</v>
      </c>
      <c r="AA154" s="25">
        <v>28.993333333333332</v>
      </c>
      <c r="AB154" s="25">
        <v>91.364</v>
      </c>
      <c r="AC154" s="25">
        <v>5.425454545454545</v>
      </c>
      <c r="AD154" s="25">
        <v>46.032727272727264</v>
      </c>
      <c r="AE154" s="25">
        <v>51.62</v>
      </c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</row>
    <row r="155" ht="15.75" hidden="1" customHeight="1">
      <c r="A155" s="25" t="s">
        <v>54</v>
      </c>
      <c r="B155" s="25" t="s">
        <v>59</v>
      </c>
      <c r="C155" s="30">
        <v>44296.0</v>
      </c>
      <c r="D155" s="25" t="s">
        <v>78</v>
      </c>
      <c r="E155" s="25" t="s">
        <v>118</v>
      </c>
      <c r="F155" s="12" t="str">
        <f>IFERROR(__xludf.DUMMYFUNCTION("FILTER(Stadium!$A$2:$A$61,E155=Stadium!$B$2:$B$61)"),"South Africa")</f>
        <v>South Africa</v>
      </c>
      <c r="G155" s="30" t="str">
        <f t="shared" si="3"/>
        <v>L</v>
      </c>
      <c r="H155" s="30" t="str">
        <f t="shared" si="4"/>
        <v>W</v>
      </c>
      <c r="I155" s="24">
        <v>1.0909090909090908</v>
      </c>
      <c r="J155" s="24">
        <f>VLOOKUP(B155, 'WL Ratio Table'!$A$6:$D$9, 4, FALSE)</f>
        <v>1</v>
      </c>
      <c r="K155" s="25" t="s">
        <v>72</v>
      </c>
      <c r="L155" s="25">
        <v>188.0</v>
      </c>
      <c r="M155" s="25">
        <v>189.0</v>
      </c>
      <c r="N155" s="25" t="s">
        <v>59</v>
      </c>
      <c r="O155" s="27">
        <v>40.0</v>
      </c>
      <c r="P155" s="25">
        <v>143.0</v>
      </c>
      <c r="Q155" s="25">
        <v>-185.0</v>
      </c>
      <c r="R155" s="25">
        <f t="shared" si="1"/>
        <v>-21</v>
      </c>
      <c r="S155" s="28">
        <f>IFERROR(__xludf.DUMMYFUNCTION("IF(F155=""India"", FILTER(Weather!D:D,D155=Weather!C:C,E155=Weather!B:B), FILTER(Weather!D:D,D155=Weather!C:C,F155=Weather!A:A))"),23.6)</f>
        <v>23.6</v>
      </c>
      <c r="T155" s="28">
        <f>IFERROR(__xludf.DUMMYFUNCTION("IF(F155=""India"", FILTER(Weather!E:E,D155=Weather!C:C,E155=Weather!B:B),FILTER(Weather!E:E,D155=Weather!C:C,F155=Weather!A:A))"),13.2)</f>
        <v>13.2</v>
      </c>
      <c r="U155" s="28">
        <f>IFERROR(__xludf.DUMMYFUNCTION("IF(F155=""India"", FILTER(Weather!F:F,D155=Weather!C:C,E155=Weather!B:B),FILTER(Weather!F:F,D155=Weather!C:C,F155=Weather!A:A))"),96.7)</f>
        <v>96.7</v>
      </c>
      <c r="V155" s="25">
        <v>29.26</v>
      </c>
      <c r="W155" s="25">
        <v>86.99071428571429</v>
      </c>
      <c r="X155" s="25">
        <v>5.596923076923077</v>
      </c>
      <c r="Y155" s="25">
        <v>26.36384615384615</v>
      </c>
      <c r="Z155" s="25">
        <v>26.93846153846153</v>
      </c>
      <c r="AA155" s="25">
        <v>28.993333333333332</v>
      </c>
      <c r="AB155" s="25">
        <v>91.364</v>
      </c>
      <c r="AC155" s="25">
        <v>5.425454545454545</v>
      </c>
      <c r="AD155" s="25">
        <v>46.032727272727264</v>
      </c>
      <c r="AE155" s="25">
        <v>51.62</v>
      </c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</row>
    <row r="156" ht="15.75" hidden="1" customHeight="1">
      <c r="A156" s="25" t="s">
        <v>56</v>
      </c>
      <c r="B156" s="25" t="s">
        <v>61</v>
      </c>
      <c r="C156" s="30">
        <v>44286.0</v>
      </c>
      <c r="D156" s="25" t="s">
        <v>83</v>
      </c>
      <c r="E156" s="25" t="s">
        <v>119</v>
      </c>
      <c r="F156" s="12" t="str">
        <f>IFERROR(__xludf.DUMMYFUNCTION("FILTER(Stadium!$A$2:$A$61,E156=Stadium!$B$2:$B$61)"),"New Zealand")</f>
        <v>New Zealand</v>
      </c>
      <c r="G156" s="30" t="str">
        <f t="shared" si="3"/>
        <v>W</v>
      </c>
      <c r="H156" s="30" t="str">
        <f t="shared" si="4"/>
        <v>L</v>
      </c>
      <c r="I156" s="24">
        <v>0.75</v>
      </c>
      <c r="J156" s="24">
        <f>VLOOKUP(B156, 'WL Ratio Table'!$A$6:$D$9, 4, FALSE)</f>
        <v>0.5416666667</v>
      </c>
      <c r="K156" s="25" t="s">
        <v>72</v>
      </c>
      <c r="L156" s="25">
        <v>141.0</v>
      </c>
      <c r="M156" s="25">
        <v>76.0</v>
      </c>
      <c r="N156" s="25" t="s">
        <v>56</v>
      </c>
      <c r="O156" s="27">
        <f>(65/141)*100</f>
        <v>46.09929078</v>
      </c>
      <c r="P156" s="25">
        <v>-714.0</v>
      </c>
      <c r="Q156" s="25">
        <v>473.0</v>
      </c>
      <c r="R156" s="25">
        <f t="shared" si="1"/>
        <v>-120.5</v>
      </c>
      <c r="S156" s="28">
        <f>IFERROR(__xludf.DUMMYFUNCTION("IF(F156=""India"", FILTER(Weather!D:D,D156=Weather!C:C,E156=Weather!B:B), FILTER(Weather!D:D,D156=Weather!C:C,F156=Weather!A:A))"),16.6)</f>
        <v>16.6</v>
      </c>
      <c r="T156" s="28">
        <f>IFERROR(__xludf.DUMMYFUNCTION("IF(F156=""India"", FILTER(Weather!E:E,D156=Weather!C:C,E156=Weather!B:B),FILTER(Weather!E:E,D156=Weather!C:C,F156=Weather!A:A))"),9.9)</f>
        <v>9.9</v>
      </c>
      <c r="U156" s="28">
        <f>IFERROR(__xludf.DUMMYFUNCTION("IF(F156=""India"", FILTER(Weather!F:F,D156=Weather!C:C,E156=Weather!B:B),FILTER(Weather!F:F,D156=Weather!C:C,F156=Weather!A:A))"),72.8)</f>
        <v>72.8</v>
      </c>
      <c r="V156" s="25">
        <v>29.453333333333333</v>
      </c>
      <c r="W156" s="25">
        <v>88.70466666666665</v>
      </c>
      <c r="X156" s="25">
        <v>5.574545454545454</v>
      </c>
      <c r="Y156" s="25">
        <v>33.232727272727274</v>
      </c>
      <c r="Z156" s="25">
        <v>35.72636363636363</v>
      </c>
      <c r="AA156" s="25">
        <v>21.11625</v>
      </c>
      <c r="AB156" s="25">
        <v>78.83125</v>
      </c>
      <c r="AC156" s="25">
        <v>5.192727272727272</v>
      </c>
      <c r="AD156" s="25">
        <v>33.17</v>
      </c>
      <c r="AE156" s="25">
        <v>38.899090909090894</v>
      </c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</row>
    <row r="157" ht="15.75" hidden="1" customHeight="1">
      <c r="A157" s="25" t="s">
        <v>56</v>
      </c>
      <c r="B157" s="25" t="s">
        <v>61</v>
      </c>
      <c r="C157" s="30">
        <v>44284.0</v>
      </c>
      <c r="D157" s="25" t="s">
        <v>83</v>
      </c>
      <c r="E157" s="25" t="s">
        <v>120</v>
      </c>
      <c r="F157" s="12" t="str">
        <f>IFERROR(__xludf.DUMMYFUNCTION("FILTER(Stadium!$A$2:$A$61,E157=Stadium!$B$2:$B$61)"),"New Zealand")</f>
        <v>New Zealand</v>
      </c>
      <c r="G157" s="30" t="str">
        <f t="shared" si="3"/>
        <v>W</v>
      </c>
      <c r="H157" s="30" t="str">
        <f t="shared" si="4"/>
        <v>L</v>
      </c>
      <c r="I157" s="24">
        <v>0.75</v>
      </c>
      <c r="J157" s="24">
        <f>VLOOKUP(B157, 'WL Ratio Table'!$A$6:$D$9, 4, FALSE)</f>
        <v>0.5416666667</v>
      </c>
      <c r="K157" s="25" t="s">
        <v>72</v>
      </c>
      <c r="L157" s="25">
        <v>173.0</v>
      </c>
      <c r="M157" s="25">
        <v>142.0</v>
      </c>
      <c r="N157" s="25" t="s">
        <v>56</v>
      </c>
      <c r="O157" s="27">
        <f>(28/173)*100</f>
        <v>16.1849711</v>
      </c>
      <c r="P157" s="25">
        <v>-714.0</v>
      </c>
      <c r="Q157" s="25">
        <v>483.0</v>
      </c>
      <c r="R157" s="25">
        <f t="shared" si="1"/>
        <v>-115.5</v>
      </c>
      <c r="S157" s="28">
        <f>IFERROR(__xludf.DUMMYFUNCTION("IF(F157=""India"", FILTER(Weather!D:D,D157=Weather!C:C,E157=Weather!B:B), FILTER(Weather!D:D,D157=Weather!C:C,F157=Weather!A:A))"),16.6)</f>
        <v>16.6</v>
      </c>
      <c r="T157" s="28">
        <f>IFERROR(__xludf.DUMMYFUNCTION("IF(F157=""India"", FILTER(Weather!E:E,D157=Weather!C:C,E157=Weather!B:B),FILTER(Weather!E:E,D157=Weather!C:C,F157=Weather!A:A))"),9.9)</f>
        <v>9.9</v>
      </c>
      <c r="U157" s="28">
        <f>IFERROR(__xludf.DUMMYFUNCTION("IF(F157=""India"", FILTER(Weather!F:F,D157=Weather!C:C,E157=Weather!B:B),FILTER(Weather!F:F,D157=Weather!C:C,F157=Weather!A:A))"),72.8)</f>
        <v>72.8</v>
      </c>
      <c r="V157" s="25">
        <v>29.453333333333333</v>
      </c>
      <c r="W157" s="25">
        <v>88.70466666666665</v>
      </c>
      <c r="X157" s="25">
        <v>5.574545454545454</v>
      </c>
      <c r="Y157" s="25">
        <v>33.232727272727274</v>
      </c>
      <c r="Z157" s="25">
        <v>35.72636363636363</v>
      </c>
      <c r="AA157" s="25">
        <v>21.11625</v>
      </c>
      <c r="AB157" s="25">
        <v>78.83125</v>
      </c>
      <c r="AC157" s="25">
        <v>5.192727272727272</v>
      </c>
      <c r="AD157" s="25">
        <v>33.17</v>
      </c>
      <c r="AE157" s="25">
        <v>38.899090909090894</v>
      </c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</row>
    <row r="158" ht="15.75" hidden="1" customHeight="1">
      <c r="A158" s="25" t="s">
        <v>56</v>
      </c>
      <c r="B158" s="25" t="s">
        <v>61</v>
      </c>
      <c r="C158" s="30">
        <v>44282.0</v>
      </c>
      <c r="D158" s="25" t="s">
        <v>83</v>
      </c>
      <c r="E158" s="25" t="s">
        <v>121</v>
      </c>
      <c r="F158" s="12" t="str">
        <f>IFERROR(__xludf.DUMMYFUNCTION("FILTER(Stadium!$A$2:$A$61,E158=Stadium!$B$2:$B$61)"),"New Zealand")</f>
        <v>New Zealand</v>
      </c>
      <c r="G158" s="30" t="str">
        <f t="shared" si="3"/>
        <v>W</v>
      </c>
      <c r="H158" s="30" t="str">
        <f t="shared" si="4"/>
        <v>L</v>
      </c>
      <c r="I158" s="24">
        <v>0.75</v>
      </c>
      <c r="J158" s="24">
        <f>VLOOKUP(B158, 'WL Ratio Table'!$A$6:$D$9, 4, FALSE)</f>
        <v>0.5416666667</v>
      </c>
      <c r="K158" s="25" t="s">
        <v>72</v>
      </c>
      <c r="L158" s="25">
        <v>210.0</v>
      </c>
      <c r="M158" s="25">
        <v>144.0</v>
      </c>
      <c r="N158" s="25" t="s">
        <v>56</v>
      </c>
      <c r="O158" s="27">
        <f>(66/210)*100</f>
        <v>31.42857143</v>
      </c>
      <c r="P158" s="25">
        <v>-769.0</v>
      </c>
      <c r="Q158" s="25">
        <v>498.0</v>
      </c>
      <c r="R158" s="25">
        <f t="shared" si="1"/>
        <v>-135.5</v>
      </c>
      <c r="S158" s="28">
        <f>IFERROR(__xludf.DUMMYFUNCTION("IF(F158=""India"", FILTER(Weather!D:D,D158=Weather!C:C,E158=Weather!B:B), FILTER(Weather!D:D,D158=Weather!C:C,F158=Weather!A:A))"),16.6)</f>
        <v>16.6</v>
      </c>
      <c r="T158" s="28">
        <f>IFERROR(__xludf.DUMMYFUNCTION("IF(F158=""India"", FILTER(Weather!E:E,D158=Weather!C:C,E158=Weather!B:B),FILTER(Weather!E:E,D158=Weather!C:C,F158=Weather!A:A))"),9.9)</f>
        <v>9.9</v>
      </c>
      <c r="U158" s="28">
        <f>IFERROR(__xludf.DUMMYFUNCTION("IF(F158=""India"", FILTER(Weather!F:F,D158=Weather!C:C,E158=Weather!B:B),FILTER(Weather!F:F,D158=Weather!C:C,F158=Weather!A:A))"),72.8)</f>
        <v>72.8</v>
      </c>
      <c r="V158" s="25">
        <v>29.453333333333333</v>
      </c>
      <c r="W158" s="25">
        <v>88.70466666666665</v>
      </c>
      <c r="X158" s="25">
        <v>5.574545454545454</v>
      </c>
      <c r="Y158" s="25">
        <v>33.232727272727274</v>
      </c>
      <c r="Z158" s="25">
        <v>35.72636363636363</v>
      </c>
      <c r="AA158" s="25">
        <v>21.11625</v>
      </c>
      <c r="AB158" s="25">
        <v>78.83125</v>
      </c>
      <c r="AC158" s="25">
        <v>5.192727272727272</v>
      </c>
      <c r="AD158" s="25">
        <v>33.17</v>
      </c>
      <c r="AE158" s="25">
        <v>38.899090909090894</v>
      </c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</row>
    <row r="159" ht="15.75" hidden="1" customHeight="1">
      <c r="A159" s="25" t="s">
        <v>47</v>
      </c>
      <c r="B159" s="25" t="s">
        <v>58</v>
      </c>
      <c r="C159" s="30">
        <v>44275.0</v>
      </c>
      <c r="D159" s="25" t="s">
        <v>83</v>
      </c>
      <c r="E159" s="25" t="s">
        <v>50</v>
      </c>
      <c r="F159" s="12" t="str">
        <f>IFERROR(__xludf.DUMMYFUNCTION("FILTER(Stadium!$A$2:$A$61,E159=Stadium!$B$2:$B$61)"),"India")</f>
        <v>India</v>
      </c>
      <c r="G159" s="30" t="str">
        <f t="shared" si="3"/>
        <v>W</v>
      </c>
      <c r="H159" s="30" t="str">
        <f t="shared" si="4"/>
        <v>L</v>
      </c>
      <c r="I159" s="24">
        <v>2.8125</v>
      </c>
      <c r="J159" s="24">
        <f>VLOOKUP(B159, 'WL Ratio Table'!$A$6:$D$9, 4, FALSE)</f>
        <v>1.384615385</v>
      </c>
      <c r="K159" s="25" t="s">
        <v>72</v>
      </c>
      <c r="L159" s="25">
        <v>224.0</v>
      </c>
      <c r="M159" s="25">
        <v>188.0</v>
      </c>
      <c r="N159" s="25" t="s">
        <v>47</v>
      </c>
      <c r="O159" s="27">
        <f>(36/224)*100</f>
        <v>16.07142857</v>
      </c>
      <c r="P159" s="25">
        <v>-101.0</v>
      </c>
      <c r="Q159" s="25">
        <v>-127.0</v>
      </c>
      <c r="R159" s="25">
        <f t="shared" si="1"/>
        <v>-114</v>
      </c>
      <c r="S159" s="28">
        <f>IFERROR(__xludf.DUMMYFUNCTION("IF(F159=""India"", FILTER(Weather!D:D,D159=Weather!C:C,E159=Weather!B:B), FILTER(Weather!D:D,D159=Weather!C:C,F159=Weather!A:A))"),27.6)</f>
        <v>27.6</v>
      </c>
      <c r="T159" s="28">
        <f>IFERROR(__xludf.DUMMYFUNCTION("IF(F159=""India"", FILTER(Weather!E:E,D159=Weather!C:C,E159=Weather!B:B),FILTER(Weather!E:E,D159=Weather!C:C,F159=Weather!A:A))"),19.6)</f>
        <v>19.6</v>
      </c>
      <c r="U159" s="28">
        <f>IFERROR(__xludf.DUMMYFUNCTION("IF(F159=""India"", FILTER(Weather!F:F,D159=Weather!C:C,E159=Weather!B:B),FILTER(Weather!F:F,D159=Weather!C:C,F159=Weather!A:A))"),0.2)</f>
        <v>0.2</v>
      </c>
      <c r="V159" s="15">
        <v>29.216249999999995</v>
      </c>
      <c r="W159" s="15">
        <v>82.43625</v>
      </c>
      <c r="X159" s="25">
        <v>5.422499999999999</v>
      </c>
      <c r="Y159" s="25">
        <v>40.535</v>
      </c>
      <c r="Z159" s="25">
        <v>43.995000000000005</v>
      </c>
      <c r="AA159" s="25">
        <v>30.137999999999998</v>
      </c>
      <c r="AB159" s="25">
        <v>100.968</v>
      </c>
      <c r="AC159" s="25">
        <v>5.778333333333333</v>
      </c>
      <c r="AD159" s="25">
        <v>37.89333333333334</v>
      </c>
      <c r="AE159" s="25">
        <v>39.69166666666667</v>
      </c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</row>
    <row r="160" ht="15.75" hidden="1" customHeight="1">
      <c r="A160" s="25" t="s">
        <v>47</v>
      </c>
      <c r="B160" s="25" t="s">
        <v>58</v>
      </c>
      <c r="C160" s="30">
        <v>44273.0</v>
      </c>
      <c r="D160" s="25" t="s">
        <v>83</v>
      </c>
      <c r="E160" s="25" t="s">
        <v>50</v>
      </c>
      <c r="F160" s="12" t="str">
        <f>IFERROR(__xludf.DUMMYFUNCTION("FILTER(Stadium!$A$2:$A$61,E160=Stadium!$B$2:$B$61)"),"India")</f>
        <v>India</v>
      </c>
      <c r="G160" s="30" t="str">
        <f t="shared" si="3"/>
        <v>W</v>
      </c>
      <c r="H160" s="30" t="str">
        <f t="shared" si="4"/>
        <v>L</v>
      </c>
      <c r="I160" s="24">
        <v>2.8125</v>
      </c>
      <c r="J160" s="24">
        <f>VLOOKUP(B160, 'WL Ratio Table'!$A$6:$D$9, 4, FALSE)</f>
        <v>1.384615385</v>
      </c>
      <c r="K160" s="25" t="s">
        <v>72</v>
      </c>
      <c r="L160" s="25">
        <v>185.0</v>
      </c>
      <c r="M160" s="25">
        <v>177.0</v>
      </c>
      <c r="N160" s="25" t="s">
        <v>47</v>
      </c>
      <c r="O160" s="27">
        <f>(8/177)*100</f>
        <v>4.519774011</v>
      </c>
      <c r="P160" s="25">
        <v>-435.0</v>
      </c>
      <c r="Q160" s="25">
        <v>326.0</v>
      </c>
      <c r="R160" s="25">
        <f t="shared" si="1"/>
        <v>-54.5</v>
      </c>
      <c r="S160" s="28">
        <f>IFERROR(__xludf.DUMMYFUNCTION("IF(F160=""India"", FILTER(Weather!D:D,D160=Weather!C:C,E160=Weather!B:B), FILTER(Weather!D:D,D160=Weather!C:C,F160=Weather!A:A))"),27.6)</f>
        <v>27.6</v>
      </c>
      <c r="T160" s="28">
        <f>IFERROR(__xludf.DUMMYFUNCTION("IF(F160=""India"", FILTER(Weather!E:E,D160=Weather!C:C,E160=Weather!B:B),FILTER(Weather!E:E,D160=Weather!C:C,F160=Weather!A:A))"),19.6)</f>
        <v>19.6</v>
      </c>
      <c r="U160" s="28">
        <f>IFERROR(__xludf.DUMMYFUNCTION("IF(F160=""India"", FILTER(Weather!F:F,D160=Weather!C:C,E160=Weather!B:B),FILTER(Weather!F:F,D160=Weather!C:C,F160=Weather!A:A))"),0.2)</f>
        <v>0.2</v>
      </c>
      <c r="V160" s="15">
        <v>29.216249999999995</v>
      </c>
      <c r="W160" s="15">
        <v>82.43625</v>
      </c>
      <c r="X160" s="25">
        <v>5.422499999999999</v>
      </c>
      <c r="Y160" s="25">
        <v>40.535</v>
      </c>
      <c r="Z160" s="25">
        <v>43.995000000000005</v>
      </c>
      <c r="AA160" s="25">
        <v>30.137999999999998</v>
      </c>
      <c r="AB160" s="25">
        <v>100.968</v>
      </c>
      <c r="AC160" s="25">
        <v>5.778333333333333</v>
      </c>
      <c r="AD160" s="25">
        <v>37.89333333333334</v>
      </c>
      <c r="AE160" s="25">
        <v>39.69166666666667</v>
      </c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</row>
    <row r="161" ht="15.75" hidden="1" customHeight="1">
      <c r="A161" s="25" t="s">
        <v>47</v>
      </c>
      <c r="B161" s="25" t="s">
        <v>58</v>
      </c>
      <c r="C161" s="30">
        <v>44271.0</v>
      </c>
      <c r="D161" s="25" t="s">
        <v>83</v>
      </c>
      <c r="E161" s="25" t="s">
        <v>50</v>
      </c>
      <c r="F161" s="12" t="str">
        <f>IFERROR(__xludf.DUMMYFUNCTION("FILTER(Stadium!$A$2:$A$61,E161=Stadium!$B$2:$B$61)"),"India")</f>
        <v>India</v>
      </c>
      <c r="G161" s="30" t="str">
        <f t="shared" si="3"/>
        <v>L</v>
      </c>
      <c r="H161" s="30" t="str">
        <f t="shared" si="4"/>
        <v>W</v>
      </c>
      <c r="I161" s="24">
        <v>2.8125</v>
      </c>
      <c r="J161" s="24">
        <f>VLOOKUP(B161, 'WL Ratio Table'!$A$6:$D$9, 4, FALSE)</f>
        <v>1.384615385</v>
      </c>
      <c r="K161" s="25" t="s">
        <v>72</v>
      </c>
      <c r="L161" s="25">
        <v>156.0</v>
      </c>
      <c r="M161" s="25">
        <v>158.0</v>
      </c>
      <c r="N161" s="25" t="s">
        <v>58</v>
      </c>
      <c r="O161" s="27">
        <v>80.0</v>
      </c>
      <c r="P161" s="25">
        <v>-119.0</v>
      </c>
      <c r="Q161" s="25">
        <v>-108.0</v>
      </c>
      <c r="R161" s="25">
        <f t="shared" si="1"/>
        <v>-113.5</v>
      </c>
      <c r="S161" s="28">
        <f>IFERROR(__xludf.DUMMYFUNCTION("IF(F161=""India"", FILTER(Weather!D:D,D161=Weather!C:C,E161=Weather!B:B), FILTER(Weather!D:D,D161=Weather!C:C,F161=Weather!A:A))"),27.6)</f>
        <v>27.6</v>
      </c>
      <c r="T161" s="28">
        <f>IFERROR(__xludf.DUMMYFUNCTION("IF(F161=""India"", FILTER(Weather!E:E,D161=Weather!C:C,E161=Weather!B:B),FILTER(Weather!E:E,D161=Weather!C:C,F161=Weather!A:A))"),19.6)</f>
        <v>19.6</v>
      </c>
      <c r="U161" s="28">
        <f>IFERROR(__xludf.DUMMYFUNCTION("IF(F161=""India"", FILTER(Weather!F:F,D161=Weather!C:C,E161=Weather!B:B),FILTER(Weather!F:F,D161=Weather!C:C,F161=Weather!A:A))"),0.2)</f>
        <v>0.2</v>
      </c>
      <c r="V161" s="15">
        <v>29.216249999999995</v>
      </c>
      <c r="W161" s="15">
        <v>82.43625</v>
      </c>
      <c r="X161" s="25">
        <v>5.422499999999999</v>
      </c>
      <c r="Y161" s="25">
        <v>40.535</v>
      </c>
      <c r="Z161" s="25">
        <v>43.995000000000005</v>
      </c>
      <c r="AA161" s="25">
        <v>30.137999999999998</v>
      </c>
      <c r="AB161" s="25">
        <v>100.968</v>
      </c>
      <c r="AC161" s="25">
        <v>5.778333333333333</v>
      </c>
      <c r="AD161" s="25">
        <v>37.89333333333334</v>
      </c>
      <c r="AE161" s="25">
        <v>39.69166666666667</v>
      </c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</row>
    <row r="162" ht="15.75" hidden="1" customHeight="1">
      <c r="A162" s="25" t="s">
        <v>47</v>
      </c>
      <c r="B162" s="25" t="s">
        <v>58</v>
      </c>
      <c r="C162" s="30">
        <v>44269.0</v>
      </c>
      <c r="D162" s="25" t="s">
        <v>83</v>
      </c>
      <c r="E162" s="25" t="s">
        <v>50</v>
      </c>
      <c r="F162" s="12" t="str">
        <f>IFERROR(__xludf.DUMMYFUNCTION("FILTER(Stadium!$A$2:$A$61,E162=Stadium!$B$2:$B$61)"),"India")</f>
        <v>India</v>
      </c>
      <c r="G162" s="30" t="str">
        <f t="shared" si="3"/>
        <v>W</v>
      </c>
      <c r="H162" s="30" t="str">
        <f t="shared" si="4"/>
        <v>L</v>
      </c>
      <c r="I162" s="24">
        <v>2.8125</v>
      </c>
      <c r="J162" s="24">
        <f>VLOOKUP(B162, 'WL Ratio Table'!$A$6:$D$9, 4, FALSE)</f>
        <v>1.384615385</v>
      </c>
      <c r="K162" s="25" t="s">
        <v>72</v>
      </c>
      <c r="L162" s="25">
        <v>166.0</v>
      </c>
      <c r="M162" s="25">
        <v>164.0</v>
      </c>
      <c r="N162" s="25" t="s">
        <v>47</v>
      </c>
      <c r="O162" s="27">
        <v>70.0</v>
      </c>
      <c r="P162" s="25">
        <v>-145.0</v>
      </c>
      <c r="Q162" s="25">
        <v>110.0</v>
      </c>
      <c r="R162" s="25">
        <f t="shared" si="1"/>
        <v>-17.5</v>
      </c>
      <c r="S162" s="28">
        <f>IFERROR(__xludf.DUMMYFUNCTION("IF(F162=""India"", FILTER(Weather!D:D,D162=Weather!C:C,E162=Weather!B:B), FILTER(Weather!D:D,D162=Weather!C:C,F162=Weather!A:A))"),27.6)</f>
        <v>27.6</v>
      </c>
      <c r="T162" s="28">
        <f>IFERROR(__xludf.DUMMYFUNCTION("IF(F162=""India"", FILTER(Weather!E:E,D162=Weather!C:C,E162=Weather!B:B),FILTER(Weather!E:E,D162=Weather!C:C,F162=Weather!A:A))"),19.6)</f>
        <v>19.6</v>
      </c>
      <c r="U162" s="28">
        <f>IFERROR(__xludf.DUMMYFUNCTION("IF(F162=""India"", FILTER(Weather!F:F,D162=Weather!C:C,E162=Weather!B:B),FILTER(Weather!F:F,D162=Weather!C:C,F162=Weather!A:A))"),0.2)</f>
        <v>0.2</v>
      </c>
      <c r="V162" s="15">
        <v>29.216249999999995</v>
      </c>
      <c r="W162" s="15">
        <v>82.43625</v>
      </c>
      <c r="X162" s="25">
        <v>5.422499999999999</v>
      </c>
      <c r="Y162" s="25">
        <v>40.535</v>
      </c>
      <c r="Z162" s="25">
        <v>43.995000000000005</v>
      </c>
      <c r="AA162" s="25">
        <v>30.137999999999998</v>
      </c>
      <c r="AB162" s="25">
        <v>100.968</v>
      </c>
      <c r="AC162" s="25">
        <v>5.778333333333333</v>
      </c>
      <c r="AD162" s="25">
        <v>37.89333333333334</v>
      </c>
      <c r="AE162" s="25">
        <v>39.69166666666667</v>
      </c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</row>
    <row r="163" ht="15.75" hidden="1" customHeight="1">
      <c r="A163" s="25" t="s">
        <v>47</v>
      </c>
      <c r="B163" s="25" t="s">
        <v>58</v>
      </c>
      <c r="C163" s="30">
        <v>44267.0</v>
      </c>
      <c r="D163" s="25" t="s">
        <v>83</v>
      </c>
      <c r="E163" s="25" t="s">
        <v>50</v>
      </c>
      <c r="F163" s="12" t="str">
        <f>IFERROR(__xludf.DUMMYFUNCTION("FILTER(Stadium!$A$2:$A$61,E163=Stadium!$B$2:$B$61)"),"India")</f>
        <v>India</v>
      </c>
      <c r="G163" s="30" t="str">
        <f t="shared" si="3"/>
        <v>L</v>
      </c>
      <c r="H163" s="30" t="str">
        <f t="shared" si="4"/>
        <v>W</v>
      </c>
      <c r="I163" s="24">
        <v>2.8125</v>
      </c>
      <c r="J163" s="24">
        <f>VLOOKUP(B163, 'WL Ratio Table'!$A$6:$D$9, 4, FALSE)</f>
        <v>1.384615385</v>
      </c>
      <c r="K163" s="25" t="s">
        <v>72</v>
      </c>
      <c r="L163" s="25">
        <v>124.0</v>
      </c>
      <c r="M163" s="25">
        <v>130.0</v>
      </c>
      <c r="N163" s="25" t="s">
        <v>58</v>
      </c>
      <c r="O163" s="27">
        <v>80.0</v>
      </c>
      <c r="P163" s="25">
        <v>-130.0</v>
      </c>
      <c r="Q163" s="25">
        <v>100.0</v>
      </c>
      <c r="R163" s="25">
        <f t="shared" si="1"/>
        <v>-15</v>
      </c>
      <c r="S163" s="28">
        <f>IFERROR(__xludf.DUMMYFUNCTION("IF(F163=""India"", FILTER(Weather!D:D,D163=Weather!C:C,E163=Weather!B:B), FILTER(Weather!D:D,D163=Weather!C:C,F163=Weather!A:A))"),27.6)</f>
        <v>27.6</v>
      </c>
      <c r="T163" s="28">
        <f>IFERROR(__xludf.DUMMYFUNCTION("IF(F163=""India"", FILTER(Weather!E:E,D163=Weather!C:C,E163=Weather!B:B),FILTER(Weather!E:E,D163=Weather!C:C,F163=Weather!A:A))"),19.6)</f>
        <v>19.6</v>
      </c>
      <c r="U163" s="28">
        <f>IFERROR(__xludf.DUMMYFUNCTION("IF(F163=""India"", FILTER(Weather!F:F,D163=Weather!C:C,E163=Weather!B:B),FILTER(Weather!F:F,D163=Weather!C:C,F163=Weather!A:A))"),0.2)</f>
        <v>0.2</v>
      </c>
      <c r="V163" s="15">
        <v>29.216249999999995</v>
      </c>
      <c r="W163" s="15">
        <v>82.43625</v>
      </c>
      <c r="X163" s="25">
        <v>5.422499999999999</v>
      </c>
      <c r="Y163" s="25">
        <v>40.535</v>
      </c>
      <c r="Z163" s="25">
        <v>43.995000000000005</v>
      </c>
      <c r="AA163" s="25">
        <v>30.137999999999998</v>
      </c>
      <c r="AB163" s="25">
        <v>100.968</v>
      </c>
      <c r="AC163" s="25">
        <v>5.778333333333333</v>
      </c>
      <c r="AD163" s="25">
        <v>37.89333333333334</v>
      </c>
      <c r="AE163" s="25">
        <v>39.69166666666667</v>
      </c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</row>
    <row r="164" ht="15.75" hidden="1" customHeight="1">
      <c r="A164" s="25" t="s">
        <v>48</v>
      </c>
      <c r="B164" s="25" t="s">
        <v>56</v>
      </c>
      <c r="C164" s="30">
        <v>44261.0</v>
      </c>
      <c r="D164" s="25" t="s">
        <v>83</v>
      </c>
      <c r="E164" s="25" t="s">
        <v>122</v>
      </c>
      <c r="F164" s="12" t="str">
        <f>IFERROR(__xludf.DUMMYFUNCTION("FILTER(Stadium!$A$2:$A$61,E164=Stadium!$B$2:$B$61)"),"New Zealand")</f>
        <v>New Zealand</v>
      </c>
      <c r="G164" s="30" t="str">
        <f t="shared" si="3"/>
        <v>L</v>
      </c>
      <c r="H164" s="30" t="str">
        <f t="shared" si="4"/>
        <v>W</v>
      </c>
      <c r="I164" s="24">
        <v>1.125</v>
      </c>
      <c r="J164" s="24">
        <v>0.75</v>
      </c>
      <c r="K164" s="25" t="s">
        <v>72</v>
      </c>
      <c r="L164" s="25">
        <v>142.0</v>
      </c>
      <c r="M164" s="25">
        <v>143.0</v>
      </c>
      <c r="N164" s="25" t="s">
        <v>56</v>
      </c>
      <c r="O164" s="27">
        <v>70.0</v>
      </c>
      <c r="P164" s="25">
        <v>-141.0</v>
      </c>
      <c r="Q164" s="25">
        <v>106.0</v>
      </c>
      <c r="R164" s="25">
        <f t="shared" si="1"/>
        <v>-17.5</v>
      </c>
      <c r="S164" s="28">
        <f>IFERROR(__xludf.DUMMYFUNCTION("IF(F164=""India"", FILTER(Weather!D:D,D164=Weather!C:C,E164=Weather!B:B), FILTER(Weather!D:D,D164=Weather!C:C,F164=Weather!A:A))"),16.6)</f>
        <v>16.6</v>
      </c>
      <c r="T164" s="28">
        <f>IFERROR(__xludf.DUMMYFUNCTION("IF(F164=""India"", FILTER(Weather!E:E,D164=Weather!C:C,E164=Weather!B:B),FILTER(Weather!E:E,D164=Weather!C:C,F164=Weather!A:A))"),9.9)</f>
        <v>9.9</v>
      </c>
      <c r="U164" s="28">
        <f>IFERROR(__xludf.DUMMYFUNCTION("IF(F164=""India"", FILTER(Weather!F:F,D164=Weather!C:C,E164=Weather!B:B),FILTER(Weather!F:F,D164=Weather!C:C,F164=Weather!A:A))"),72.8)</f>
        <v>72.8</v>
      </c>
      <c r="V164" s="25">
        <v>27.727333333333334</v>
      </c>
      <c r="W164" s="25">
        <v>92.17733333333332</v>
      </c>
      <c r="X164" s="25">
        <v>5.772307692307693</v>
      </c>
      <c r="Y164" s="25">
        <v>39.89076923076924</v>
      </c>
      <c r="Z164" s="25">
        <v>41.56384615384616</v>
      </c>
      <c r="AA164" s="25">
        <v>29.453333333333333</v>
      </c>
      <c r="AB164" s="25">
        <v>88.70466666666665</v>
      </c>
      <c r="AC164" s="25">
        <v>5.574545454545454</v>
      </c>
      <c r="AD164" s="25">
        <v>33.232727272727274</v>
      </c>
      <c r="AE164" s="25">
        <v>35.72636363636363</v>
      </c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</row>
    <row r="165" ht="15.75" hidden="1" customHeight="1">
      <c r="A165" s="25" t="s">
        <v>48</v>
      </c>
      <c r="B165" s="25" t="s">
        <v>56</v>
      </c>
      <c r="C165" s="30">
        <v>44259.0</v>
      </c>
      <c r="D165" s="25" t="s">
        <v>83</v>
      </c>
      <c r="E165" s="25" t="s">
        <v>122</v>
      </c>
      <c r="F165" s="12" t="str">
        <f>IFERROR(__xludf.DUMMYFUNCTION("FILTER(Stadium!$A$2:$A$61,E165=Stadium!$B$2:$B$61)"),"New Zealand")</f>
        <v>New Zealand</v>
      </c>
      <c r="G165" s="30" t="str">
        <f t="shared" si="3"/>
        <v>W</v>
      </c>
      <c r="H165" s="30" t="str">
        <f t="shared" si="4"/>
        <v>L</v>
      </c>
      <c r="I165" s="24">
        <v>1.125</v>
      </c>
      <c r="J165" s="24">
        <v>0.75</v>
      </c>
      <c r="K165" s="25" t="s">
        <v>72</v>
      </c>
      <c r="L165" s="25">
        <v>156.0</v>
      </c>
      <c r="M165" s="25">
        <v>106.0</v>
      </c>
      <c r="N165" s="25" t="s">
        <v>48</v>
      </c>
      <c r="O165" s="27">
        <f>(50/156)*100</f>
        <v>32.05128205</v>
      </c>
      <c r="P165" s="25">
        <v>-128.0</v>
      </c>
      <c r="Q165" s="25">
        <v>100.0</v>
      </c>
      <c r="R165" s="25">
        <f t="shared" si="1"/>
        <v>-14</v>
      </c>
      <c r="S165" s="28">
        <f>IFERROR(__xludf.DUMMYFUNCTION("IF(F165=""India"", FILTER(Weather!D:D,D165=Weather!C:C,E165=Weather!B:B), FILTER(Weather!D:D,D165=Weather!C:C,F165=Weather!A:A))"),16.6)</f>
        <v>16.6</v>
      </c>
      <c r="T165" s="28">
        <f>IFERROR(__xludf.DUMMYFUNCTION("IF(F165=""India"", FILTER(Weather!E:E,D165=Weather!C:C,E165=Weather!B:B),FILTER(Weather!E:E,D165=Weather!C:C,F165=Weather!A:A))"),9.9)</f>
        <v>9.9</v>
      </c>
      <c r="U165" s="28">
        <f>IFERROR(__xludf.DUMMYFUNCTION("IF(F165=""India"", FILTER(Weather!F:F,D165=Weather!C:C,E165=Weather!B:B),FILTER(Weather!F:F,D165=Weather!C:C,F165=Weather!A:A))"),72.8)</f>
        <v>72.8</v>
      </c>
      <c r="V165" s="25">
        <v>27.727333333333334</v>
      </c>
      <c r="W165" s="25">
        <v>92.17733333333332</v>
      </c>
      <c r="X165" s="25">
        <v>5.772307692307693</v>
      </c>
      <c r="Y165" s="25">
        <v>39.89076923076924</v>
      </c>
      <c r="Z165" s="25">
        <v>41.56384615384616</v>
      </c>
      <c r="AA165" s="25">
        <v>29.453333333333333</v>
      </c>
      <c r="AB165" s="25">
        <v>88.70466666666665</v>
      </c>
      <c r="AC165" s="25">
        <v>5.574545454545454</v>
      </c>
      <c r="AD165" s="25">
        <v>33.232727272727274</v>
      </c>
      <c r="AE165" s="25">
        <v>35.72636363636363</v>
      </c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</row>
    <row r="166" ht="15.75" hidden="1" customHeight="1">
      <c r="A166" s="25" t="s">
        <v>48</v>
      </c>
      <c r="B166" s="25" t="s">
        <v>56</v>
      </c>
      <c r="C166" s="30">
        <v>44257.0</v>
      </c>
      <c r="D166" s="25" t="s">
        <v>83</v>
      </c>
      <c r="E166" s="25" t="s">
        <v>122</v>
      </c>
      <c r="F166" s="12" t="str">
        <f>IFERROR(__xludf.DUMMYFUNCTION("FILTER(Stadium!$A$2:$A$61,E166=Stadium!$B$2:$B$61)"),"New Zealand")</f>
        <v>New Zealand</v>
      </c>
      <c r="G166" s="30" t="str">
        <f t="shared" si="3"/>
        <v>W</v>
      </c>
      <c r="H166" s="30" t="str">
        <f t="shared" si="4"/>
        <v>L</v>
      </c>
      <c r="I166" s="24">
        <v>1.125</v>
      </c>
      <c r="J166" s="24">
        <v>0.75</v>
      </c>
      <c r="K166" s="25" t="s">
        <v>72</v>
      </c>
      <c r="L166" s="25">
        <v>208.0</v>
      </c>
      <c r="M166" s="25">
        <v>144.0</v>
      </c>
      <c r="N166" s="25" t="s">
        <v>48</v>
      </c>
      <c r="O166" s="27">
        <f>(64/208)*100</f>
        <v>30.76923077</v>
      </c>
      <c r="P166" s="25">
        <v>-111.0</v>
      </c>
      <c r="Q166" s="25">
        <v>-116.0</v>
      </c>
      <c r="R166" s="25">
        <f t="shared" si="1"/>
        <v>-113.5</v>
      </c>
      <c r="S166" s="28">
        <f>IFERROR(__xludf.DUMMYFUNCTION("IF(F166=""India"", FILTER(Weather!D:D,D166=Weather!C:C,E166=Weather!B:B), FILTER(Weather!D:D,D166=Weather!C:C,F166=Weather!A:A))"),16.6)</f>
        <v>16.6</v>
      </c>
      <c r="T166" s="28">
        <f>IFERROR(__xludf.DUMMYFUNCTION("IF(F166=""India"", FILTER(Weather!E:E,D166=Weather!C:C,E166=Weather!B:B),FILTER(Weather!E:E,D166=Weather!C:C,F166=Weather!A:A))"),9.9)</f>
        <v>9.9</v>
      </c>
      <c r="U166" s="28">
        <f>IFERROR(__xludf.DUMMYFUNCTION("IF(F166=""India"", FILTER(Weather!F:F,D166=Weather!C:C,E166=Weather!B:B),FILTER(Weather!F:F,D166=Weather!C:C,F166=Weather!A:A))"),72.8)</f>
        <v>72.8</v>
      </c>
      <c r="V166" s="25">
        <v>27.727333333333334</v>
      </c>
      <c r="W166" s="25">
        <v>92.17733333333332</v>
      </c>
      <c r="X166" s="25">
        <v>5.772307692307693</v>
      </c>
      <c r="Y166" s="25">
        <v>39.89076923076924</v>
      </c>
      <c r="Z166" s="25">
        <v>41.56384615384616</v>
      </c>
      <c r="AA166" s="25">
        <v>29.453333333333333</v>
      </c>
      <c r="AB166" s="25">
        <v>88.70466666666665</v>
      </c>
      <c r="AC166" s="25">
        <v>5.574545454545454</v>
      </c>
      <c r="AD166" s="25">
        <v>33.232727272727274</v>
      </c>
      <c r="AE166" s="25">
        <v>35.72636363636363</v>
      </c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</row>
    <row r="167" ht="15.75" hidden="1" customHeight="1">
      <c r="A167" s="25" t="s">
        <v>48</v>
      </c>
      <c r="B167" s="25" t="s">
        <v>56</v>
      </c>
      <c r="C167" s="30">
        <v>44251.0</v>
      </c>
      <c r="D167" s="25" t="s">
        <v>86</v>
      </c>
      <c r="E167" s="25" t="s">
        <v>122</v>
      </c>
      <c r="F167" s="12" t="str">
        <f>IFERROR(__xludf.DUMMYFUNCTION("FILTER(Stadium!$A$2:$A$61,E167=Stadium!$B$2:$B$61)"),"New Zealand")</f>
        <v>New Zealand</v>
      </c>
      <c r="G167" s="30" t="str">
        <f t="shared" si="3"/>
        <v>L</v>
      </c>
      <c r="H167" s="30" t="str">
        <f t="shared" si="4"/>
        <v>W</v>
      </c>
      <c r="I167" s="24">
        <v>1.125</v>
      </c>
      <c r="J167" s="24">
        <v>0.75</v>
      </c>
      <c r="K167" s="25" t="s">
        <v>72</v>
      </c>
      <c r="L167" s="25">
        <v>215.0</v>
      </c>
      <c r="M167" s="25">
        <v>219.0</v>
      </c>
      <c r="N167" s="25" t="s">
        <v>56</v>
      </c>
      <c r="O167" s="27">
        <f>(4/219)*100</f>
        <v>1.826484018</v>
      </c>
      <c r="P167" s="25">
        <v>-118.0</v>
      </c>
      <c r="Q167" s="25">
        <v>-106.0</v>
      </c>
      <c r="R167" s="25">
        <f t="shared" si="1"/>
        <v>-112</v>
      </c>
      <c r="S167" s="28">
        <f>IFERROR(__xludf.DUMMYFUNCTION("IF(F167=""India"", FILTER(Weather!D:D,D167=Weather!C:C,E167=Weather!B:B), FILTER(Weather!D:D,D167=Weather!C:C,F167=Weather!A:A))"),17.9)</f>
        <v>17.9</v>
      </c>
      <c r="T167" s="28">
        <f>IFERROR(__xludf.DUMMYFUNCTION("IF(F167=""India"", FILTER(Weather!E:E,D167=Weather!C:C,E167=Weather!B:B),FILTER(Weather!E:E,D167=Weather!C:C,F167=Weather!A:A))"),11.3)</f>
        <v>11.3</v>
      </c>
      <c r="U167" s="28">
        <f>IFERROR(__xludf.DUMMYFUNCTION("IF(F167=""India"", FILTER(Weather!F:F,D167=Weather!C:C,E167=Weather!B:B),FILTER(Weather!F:F,D167=Weather!C:C,F167=Weather!A:A))"),78.4)</f>
        <v>78.4</v>
      </c>
      <c r="V167" s="25">
        <v>27.727333333333334</v>
      </c>
      <c r="W167" s="25">
        <v>92.17733333333332</v>
      </c>
      <c r="X167" s="25">
        <v>5.772307692307693</v>
      </c>
      <c r="Y167" s="25">
        <v>39.89076923076924</v>
      </c>
      <c r="Z167" s="25">
        <v>41.56384615384616</v>
      </c>
      <c r="AA167" s="25">
        <v>29.453333333333333</v>
      </c>
      <c r="AB167" s="25">
        <v>88.70466666666665</v>
      </c>
      <c r="AC167" s="25">
        <v>5.574545454545454</v>
      </c>
      <c r="AD167" s="25">
        <v>33.232727272727274</v>
      </c>
      <c r="AE167" s="25">
        <v>35.72636363636363</v>
      </c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</row>
    <row r="168" ht="15.75" hidden="1" customHeight="1">
      <c r="A168" s="25" t="s">
        <v>48</v>
      </c>
      <c r="B168" s="25" t="s">
        <v>56</v>
      </c>
      <c r="C168" s="30">
        <v>44248.0</v>
      </c>
      <c r="D168" s="25" t="s">
        <v>86</v>
      </c>
      <c r="E168" s="25" t="s">
        <v>122</v>
      </c>
      <c r="F168" s="12" t="str">
        <f>IFERROR(__xludf.DUMMYFUNCTION("FILTER(Stadium!$A$2:$A$61,E168=Stadium!$B$2:$B$61)"),"New Zealand")</f>
        <v>New Zealand</v>
      </c>
      <c r="G168" s="30" t="str">
        <f t="shared" si="3"/>
        <v>L</v>
      </c>
      <c r="H168" s="30" t="str">
        <f t="shared" si="4"/>
        <v>W</v>
      </c>
      <c r="I168" s="24">
        <v>1.125</v>
      </c>
      <c r="J168" s="24">
        <v>0.75</v>
      </c>
      <c r="K168" s="25" t="s">
        <v>72</v>
      </c>
      <c r="L168" s="25">
        <v>131.0</v>
      </c>
      <c r="M168" s="25">
        <v>184.0</v>
      </c>
      <c r="N168" s="25" t="s">
        <v>56</v>
      </c>
      <c r="O168" s="27">
        <f>(53/184)*100</f>
        <v>28.80434783</v>
      </c>
      <c r="P168" s="25">
        <v>-137.0</v>
      </c>
      <c r="Q168" s="25">
        <v>106.0</v>
      </c>
      <c r="R168" s="25">
        <f t="shared" si="1"/>
        <v>-15.5</v>
      </c>
      <c r="S168" s="28">
        <f>IFERROR(__xludf.DUMMYFUNCTION("IF(F168=""India"", FILTER(Weather!D:D,D168=Weather!C:C,E168=Weather!B:B), FILTER(Weather!D:D,D168=Weather!C:C,F168=Weather!A:A))"),17.9)</f>
        <v>17.9</v>
      </c>
      <c r="T168" s="28">
        <f>IFERROR(__xludf.DUMMYFUNCTION("IF(F168=""India"", FILTER(Weather!E:E,D168=Weather!C:C,E168=Weather!B:B),FILTER(Weather!E:E,D168=Weather!C:C,F168=Weather!A:A))"),11.3)</f>
        <v>11.3</v>
      </c>
      <c r="U168" s="28">
        <f>IFERROR(__xludf.DUMMYFUNCTION("IF(F168=""India"", FILTER(Weather!F:F,D168=Weather!C:C,E168=Weather!B:B),FILTER(Weather!F:F,D168=Weather!C:C,F168=Weather!A:A))"),78.4)</f>
        <v>78.4</v>
      </c>
      <c r="V168" s="25">
        <v>27.727333333333334</v>
      </c>
      <c r="W168" s="25">
        <v>92.17733333333332</v>
      </c>
      <c r="X168" s="25">
        <v>5.772307692307693</v>
      </c>
      <c r="Y168" s="25">
        <v>39.89076923076924</v>
      </c>
      <c r="Z168" s="25">
        <v>41.56384615384616</v>
      </c>
      <c r="AA168" s="25">
        <v>29.453333333333333</v>
      </c>
      <c r="AB168" s="25">
        <v>88.70466666666665</v>
      </c>
      <c r="AC168" s="25">
        <v>5.574545454545454</v>
      </c>
      <c r="AD168" s="25">
        <v>33.232727272727274</v>
      </c>
      <c r="AE168" s="25">
        <v>35.72636363636363</v>
      </c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</row>
    <row r="169" ht="15.75" hidden="1" customHeight="1">
      <c r="A169" s="25" t="s">
        <v>54</v>
      </c>
      <c r="B169" s="25" t="s">
        <v>59</v>
      </c>
      <c r="C169" s="30">
        <v>44241.0</v>
      </c>
      <c r="D169" s="25" t="s">
        <v>86</v>
      </c>
      <c r="E169" s="25" t="s">
        <v>80</v>
      </c>
      <c r="F169" s="12" t="str">
        <f>IFERROR(__xludf.DUMMYFUNCTION("FILTER(Stadium!$A$2:$A$61,E169=Stadium!$B$2:$B$61)"),"Pakistan")</f>
        <v>Pakistan</v>
      </c>
      <c r="G169" s="30" t="str">
        <f t="shared" si="3"/>
        <v>L</v>
      </c>
      <c r="H169" s="30" t="str">
        <f t="shared" si="4"/>
        <v>W</v>
      </c>
      <c r="I169" s="24">
        <v>1.0909090909090908</v>
      </c>
      <c r="J169" s="24">
        <f>VLOOKUP(B169, 'WL Ratio Table'!$A$6:$D$9, 4, FALSE)</f>
        <v>1</v>
      </c>
      <c r="K169" s="25" t="s">
        <v>72</v>
      </c>
      <c r="L169" s="25">
        <v>164.0</v>
      </c>
      <c r="M169" s="25">
        <v>169.0</v>
      </c>
      <c r="N169" s="25" t="s">
        <v>59</v>
      </c>
      <c r="O169" s="27">
        <v>40.0</v>
      </c>
      <c r="P169" s="25">
        <v>150.0</v>
      </c>
      <c r="Q169" s="25">
        <v>-196.0</v>
      </c>
      <c r="R169" s="25">
        <f t="shared" si="1"/>
        <v>-23</v>
      </c>
      <c r="S169" s="28">
        <f>IFERROR(__xludf.DUMMYFUNCTION("IF(F169=""India"", FILTER(Weather!D:D,D169=Weather!C:C,E169=Weather!B:B), FILTER(Weather!D:D,D169=Weather!C:C,F169=Weather!A:A))"),19.5)</f>
        <v>19.5</v>
      </c>
      <c r="T169" s="28">
        <f>IFERROR(__xludf.DUMMYFUNCTION("IF(F169=""India"", FILTER(Weather!E:E,D169=Weather!C:C,E169=Weather!B:B),FILTER(Weather!E:E,D169=Weather!C:C,F169=Weather!A:A))"),7.6)</f>
        <v>7.6</v>
      </c>
      <c r="U169" s="28">
        <f>IFERROR(__xludf.DUMMYFUNCTION("IF(F169=""India"", FILTER(Weather!F:F,D169=Weather!C:C,E169=Weather!B:B),FILTER(Weather!F:F,D169=Weather!C:C,F169=Weather!A:A))"),25.8)</f>
        <v>25.8</v>
      </c>
      <c r="V169" s="25">
        <v>29.26</v>
      </c>
      <c r="W169" s="25">
        <v>86.99071428571429</v>
      </c>
      <c r="X169" s="25">
        <v>5.596923076923077</v>
      </c>
      <c r="Y169" s="25">
        <v>26.36384615384615</v>
      </c>
      <c r="Z169" s="25">
        <v>26.93846153846153</v>
      </c>
      <c r="AA169" s="25">
        <v>28.993333333333332</v>
      </c>
      <c r="AB169" s="25">
        <v>91.364</v>
      </c>
      <c r="AC169" s="25">
        <v>5.425454545454545</v>
      </c>
      <c r="AD169" s="25">
        <v>46.032727272727264</v>
      </c>
      <c r="AE169" s="25">
        <v>51.62</v>
      </c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</row>
    <row r="170" ht="15.75" hidden="1" customHeight="1">
      <c r="A170" s="25" t="s">
        <v>54</v>
      </c>
      <c r="B170" s="25" t="s">
        <v>59</v>
      </c>
      <c r="C170" s="30">
        <v>44240.0</v>
      </c>
      <c r="D170" s="25" t="s">
        <v>86</v>
      </c>
      <c r="E170" s="25" t="s">
        <v>80</v>
      </c>
      <c r="F170" s="12" t="str">
        <f>IFERROR(__xludf.DUMMYFUNCTION("FILTER(Stadium!$A$2:$A$61,E170=Stadium!$B$2:$B$61)"),"Pakistan")</f>
        <v>Pakistan</v>
      </c>
      <c r="G170" s="30" t="str">
        <f t="shared" si="3"/>
        <v>W</v>
      </c>
      <c r="H170" s="30" t="str">
        <f t="shared" si="4"/>
        <v>L</v>
      </c>
      <c r="I170" s="24">
        <v>1.0909090909090908</v>
      </c>
      <c r="J170" s="24">
        <f>VLOOKUP(B170, 'WL Ratio Table'!$A$6:$D$9, 4, FALSE)</f>
        <v>1</v>
      </c>
      <c r="K170" s="25" t="s">
        <v>72</v>
      </c>
      <c r="L170" s="25">
        <v>145.0</v>
      </c>
      <c r="M170" s="25">
        <v>144.0</v>
      </c>
      <c r="N170" s="25" t="s">
        <v>54</v>
      </c>
      <c r="O170" s="27">
        <v>60.0</v>
      </c>
      <c r="P170" s="25">
        <v>146.0</v>
      </c>
      <c r="Q170" s="25">
        <v>-189.0</v>
      </c>
      <c r="R170" s="25">
        <f t="shared" si="1"/>
        <v>-21.5</v>
      </c>
      <c r="S170" s="28">
        <f>IFERROR(__xludf.DUMMYFUNCTION("IF(F170=""India"", FILTER(Weather!D:D,D170=Weather!C:C,E170=Weather!B:B), FILTER(Weather!D:D,D170=Weather!C:C,F170=Weather!A:A))"),19.5)</f>
        <v>19.5</v>
      </c>
      <c r="T170" s="28">
        <f>IFERROR(__xludf.DUMMYFUNCTION("IF(F170=""India"", FILTER(Weather!E:E,D170=Weather!C:C,E170=Weather!B:B),FILTER(Weather!E:E,D170=Weather!C:C,F170=Weather!A:A))"),7.6)</f>
        <v>7.6</v>
      </c>
      <c r="U170" s="28">
        <f>IFERROR(__xludf.DUMMYFUNCTION("IF(F170=""India"", FILTER(Weather!F:F,D170=Weather!C:C,E170=Weather!B:B),FILTER(Weather!F:F,D170=Weather!C:C,F170=Weather!A:A))"),25.8)</f>
        <v>25.8</v>
      </c>
      <c r="V170" s="25">
        <v>29.26</v>
      </c>
      <c r="W170" s="25">
        <v>86.99071428571429</v>
      </c>
      <c r="X170" s="25">
        <v>5.596923076923077</v>
      </c>
      <c r="Y170" s="25">
        <v>26.36384615384615</v>
      </c>
      <c r="Z170" s="25">
        <v>26.93846153846153</v>
      </c>
      <c r="AA170" s="25">
        <v>28.993333333333332</v>
      </c>
      <c r="AB170" s="25">
        <v>91.364</v>
      </c>
      <c r="AC170" s="25">
        <v>5.425454545454545</v>
      </c>
      <c r="AD170" s="25">
        <v>46.032727272727264</v>
      </c>
      <c r="AE170" s="25">
        <v>51.62</v>
      </c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</row>
    <row r="171" ht="15.75" hidden="1" customHeight="1">
      <c r="A171" s="25" t="s">
        <v>54</v>
      </c>
      <c r="B171" s="25" t="s">
        <v>59</v>
      </c>
      <c r="C171" s="30">
        <v>44238.0</v>
      </c>
      <c r="D171" s="25" t="s">
        <v>86</v>
      </c>
      <c r="E171" s="25" t="s">
        <v>80</v>
      </c>
      <c r="F171" s="12" t="str">
        <f>IFERROR(__xludf.DUMMYFUNCTION("FILTER(Stadium!$A$2:$A$61,E171=Stadium!$B$2:$B$61)"),"Pakistan")</f>
        <v>Pakistan</v>
      </c>
      <c r="G171" s="30" t="str">
        <f t="shared" si="3"/>
        <v>L</v>
      </c>
      <c r="H171" s="30" t="str">
        <f t="shared" si="4"/>
        <v>W</v>
      </c>
      <c r="I171" s="24">
        <v>1.0909090909090908</v>
      </c>
      <c r="J171" s="24">
        <f>VLOOKUP(B171, 'WL Ratio Table'!$A$6:$D$9, 4, FALSE)</f>
        <v>1</v>
      </c>
      <c r="K171" s="25" t="s">
        <v>72</v>
      </c>
      <c r="L171" s="25">
        <v>166.0</v>
      </c>
      <c r="M171" s="25">
        <v>169.0</v>
      </c>
      <c r="N171" s="25" t="s">
        <v>59</v>
      </c>
      <c r="O171" s="27">
        <f>(3/169)*100</f>
        <v>1.775147929</v>
      </c>
      <c r="P171" s="25">
        <v>150.0</v>
      </c>
      <c r="Q171" s="25">
        <v>-196.0</v>
      </c>
      <c r="R171" s="25">
        <f t="shared" si="1"/>
        <v>-23</v>
      </c>
      <c r="S171" s="28">
        <f>IFERROR(__xludf.DUMMYFUNCTION("IF(F171=""India"", FILTER(Weather!D:D,D171=Weather!C:C,E171=Weather!B:B), FILTER(Weather!D:D,D171=Weather!C:C,F171=Weather!A:A))"),19.5)</f>
        <v>19.5</v>
      </c>
      <c r="T171" s="28">
        <f>IFERROR(__xludf.DUMMYFUNCTION("IF(F171=""India"", FILTER(Weather!E:E,D171=Weather!C:C,E171=Weather!B:B),FILTER(Weather!E:E,D171=Weather!C:C,F171=Weather!A:A))"),7.6)</f>
        <v>7.6</v>
      </c>
      <c r="U171" s="28">
        <f>IFERROR(__xludf.DUMMYFUNCTION("IF(F171=""India"", FILTER(Weather!F:F,D171=Weather!C:C,E171=Weather!B:B),FILTER(Weather!F:F,D171=Weather!C:C,F171=Weather!A:A))"),25.8)</f>
        <v>25.8</v>
      </c>
      <c r="V171" s="25">
        <v>29.26</v>
      </c>
      <c r="W171" s="25">
        <v>86.99071428571429</v>
      </c>
      <c r="X171" s="25">
        <v>5.596923076923077</v>
      </c>
      <c r="Y171" s="25">
        <v>26.36384615384615</v>
      </c>
      <c r="Z171" s="25">
        <v>26.93846153846153</v>
      </c>
      <c r="AA171" s="25">
        <v>28.993333333333332</v>
      </c>
      <c r="AB171" s="25">
        <v>91.364</v>
      </c>
      <c r="AC171" s="25">
        <v>5.425454545454545</v>
      </c>
      <c r="AD171" s="25">
        <v>46.032727272727264</v>
      </c>
      <c r="AE171" s="25">
        <v>51.62</v>
      </c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</row>
    <row r="172" ht="15.75" hidden="1" customHeight="1">
      <c r="A172" s="25" t="s">
        <v>56</v>
      </c>
      <c r="B172" s="25" t="s">
        <v>59</v>
      </c>
      <c r="C172" s="30">
        <v>44186.0</v>
      </c>
      <c r="D172" s="25" t="s">
        <v>123</v>
      </c>
      <c r="E172" s="25" t="s">
        <v>120</v>
      </c>
      <c r="F172" s="12" t="str">
        <f>IFERROR(__xludf.DUMMYFUNCTION("FILTER(Stadium!$A$2:$A$61,E172=Stadium!$B$2:$B$61)"),"New Zealand")</f>
        <v>New Zealand</v>
      </c>
      <c r="G172" s="30" t="str">
        <f t="shared" si="3"/>
        <v>L</v>
      </c>
      <c r="H172" s="30" t="str">
        <f t="shared" si="4"/>
        <v>W</v>
      </c>
      <c r="I172" s="24">
        <v>0.75</v>
      </c>
      <c r="J172" s="24">
        <f>VLOOKUP(B172, 'WL Ratio Table'!$A$6:$D$9, 4, FALSE)</f>
        <v>1</v>
      </c>
      <c r="K172" s="25" t="s">
        <v>72</v>
      </c>
      <c r="L172" s="25">
        <v>137.0</v>
      </c>
      <c r="M172" s="25">
        <v>177.0</v>
      </c>
      <c r="N172" s="25" t="s">
        <v>59</v>
      </c>
      <c r="O172" s="27">
        <v>40.0</v>
      </c>
      <c r="P172" s="25">
        <v>-227.0</v>
      </c>
      <c r="Q172" s="25">
        <v>175.0</v>
      </c>
      <c r="R172" s="25">
        <f t="shared" si="1"/>
        <v>-26</v>
      </c>
      <c r="S172" s="28">
        <f>IFERROR(__xludf.DUMMYFUNCTION("IF(F172=""India"", FILTER(Weather!D:D,D172=Weather!C:C,E172=Weather!B:B), FILTER(Weather!D:D,D172=Weather!C:C,F172=Weather!A:A))"),16.4)</f>
        <v>16.4</v>
      </c>
      <c r="T172" s="28">
        <f>IFERROR(__xludf.DUMMYFUNCTION("IF(F172=""India"", FILTER(Weather!E:E,D172=Weather!C:C,E172=Weather!B:B),FILTER(Weather!E:E,D172=Weather!C:C,F172=Weather!A:A))"),11.0)</f>
        <v>11</v>
      </c>
      <c r="U172" s="28">
        <f>IFERROR(__xludf.DUMMYFUNCTION("IF(F172=""India"", FILTER(Weather!F:F,D172=Weather!C:C,E172=Weather!B:B),FILTER(Weather!F:F,D172=Weather!C:C,F172=Weather!A:A))"),79.6)</f>
        <v>79.6</v>
      </c>
      <c r="V172" s="25">
        <v>29.453333333333333</v>
      </c>
      <c r="W172" s="25">
        <v>88.70466666666665</v>
      </c>
      <c r="X172" s="25">
        <v>5.574545454545454</v>
      </c>
      <c r="Y172" s="25">
        <v>33.232727272727274</v>
      </c>
      <c r="Z172" s="25">
        <v>35.72636363636363</v>
      </c>
      <c r="AA172" s="25">
        <v>28.993333333333332</v>
      </c>
      <c r="AB172" s="25">
        <v>91.364</v>
      </c>
      <c r="AC172" s="25">
        <v>5.425454545454545</v>
      </c>
      <c r="AD172" s="25">
        <v>46.032727272727264</v>
      </c>
      <c r="AE172" s="25">
        <v>51.62</v>
      </c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</row>
    <row r="173" ht="15.75" hidden="1" customHeight="1">
      <c r="A173" s="25" t="s">
        <v>56</v>
      </c>
      <c r="B173" s="25" t="s">
        <v>59</v>
      </c>
      <c r="C173" s="30">
        <v>44184.0</v>
      </c>
      <c r="D173" s="25" t="s">
        <v>123</v>
      </c>
      <c r="E173" s="25" t="s">
        <v>121</v>
      </c>
      <c r="F173" s="12" t="str">
        <f>IFERROR(__xludf.DUMMYFUNCTION("FILTER(Stadium!$A$2:$A$61,E173=Stadium!$B$2:$B$61)"),"New Zealand")</f>
        <v>New Zealand</v>
      </c>
      <c r="G173" s="30" t="str">
        <f t="shared" si="3"/>
        <v>W</v>
      </c>
      <c r="H173" s="30" t="str">
        <f t="shared" si="4"/>
        <v>L</v>
      </c>
      <c r="I173" s="24">
        <v>0.75</v>
      </c>
      <c r="J173" s="24">
        <f>VLOOKUP(B173, 'WL Ratio Table'!$A$6:$D$9, 4, FALSE)</f>
        <v>1</v>
      </c>
      <c r="K173" s="25" t="s">
        <v>72</v>
      </c>
      <c r="L173" s="25">
        <v>164.0</v>
      </c>
      <c r="M173" s="25">
        <v>163.0</v>
      </c>
      <c r="N173" s="25" t="s">
        <v>56</v>
      </c>
      <c r="O173" s="27">
        <v>90.0</v>
      </c>
      <c r="P173" s="25">
        <v>-222.0</v>
      </c>
      <c r="Q173" s="25">
        <v>174.0</v>
      </c>
      <c r="R173" s="25">
        <f t="shared" si="1"/>
        <v>-24</v>
      </c>
      <c r="S173" s="28">
        <f>IFERROR(__xludf.DUMMYFUNCTION("IF(F173=""India"", FILTER(Weather!D:D,D173=Weather!C:C,E173=Weather!B:B), FILTER(Weather!D:D,D173=Weather!C:C,F173=Weather!A:A))"),16.4)</f>
        <v>16.4</v>
      </c>
      <c r="T173" s="28">
        <f>IFERROR(__xludf.DUMMYFUNCTION("IF(F173=""India"", FILTER(Weather!E:E,D173=Weather!C:C,E173=Weather!B:B),FILTER(Weather!E:E,D173=Weather!C:C,F173=Weather!A:A))"),11.0)</f>
        <v>11</v>
      </c>
      <c r="U173" s="28">
        <f>IFERROR(__xludf.DUMMYFUNCTION("IF(F173=""India"", FILTER(Weather!F:F,D173=Weather!C:C,E173=Weather!B:B),FILTER(Weather!F:F,D173=Weather!C:C,F173=Weather!A:A))"),79.6)</f>
        <v>79.6</v>
      </c>
      <c r="V173" s="25">
        <v>29.453333333333333</v>
      </c>
      <c r="W173" s="25">
        <v>88.70466666666665</v>
      </c>
      <c r="X173" s="25">
        <v>5.574545454545454</v>
      </c>
      <c r="Y173" s="25">
        <v>33.232727272727274</v>
      </c>
      <c r="Z173" s="25">
        <v>35.72636363636363</v>
      </c>
      <c r="AA173" s="25">
        <v>28.993333333333332</v>
      </c>
      <c r="AB173" s="25">
        <v>91.364</v>
      </c>
      <c r="AC173" s="25">
        <v>5.425454545454545</v>
      </c>
      <c r="AD173" s="25">
        <v>46.032727272727264</v>
      </c>
      <c r="AE173" s="25">
        <v>51.62</v>
      </c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</row>
    <row r="174" ht="15.75" hidden="1" customHeight="1">
      <c r="A174" s="25" t="s">
        <v>56</v>
      </c>
      <c r="B174" s="25" t="s">
        <v>59</v>
      </c>
      <c r="C174" s="30">
        <v>44182.0</v>
      </c>
      <c r="D174" s="25" t="s">
        <v>123</v>
      </c>
      <c r="E174" s="25" t="s">
        <v>119</v>
      </c>
      <c r="F174" s="12" t="str">
        <f>IFERROR(__xludf.DUMMYFUNCTION("FILTER(Stadium!$A$2:$A$61,E174=Stadium!$B$2:$B$61)"),"New Zealand")</f>
        <v>New Zealand</v>
      </c>
      <c r="G174" s="30" t="str">
        <f t="shared" si="3"/>
        <v>W</v>
      </c>
      <c r="H174" s="30" t="str">
        <f t="shared" si="4"/>
        <v>L</v>
      </c>
      <c r="I174" s="24">
        <v>0.75</v>
      </c>
      <c r="J174" s="24">
        <f>VLOOKUP(B174, 'WL Ratio Table'!$A$6:$D$9, 4, FALSE)</f>
        <v>1</v>
      </c>
      <c r="K174" s="25" t="s">
        <v>72</v>
      </c>
      <c r="L174" s="25">
        <v>156.0</v>
      </c>
      <c r="M174" s="25">
        <v>153.0</v>
      </c>
      <c r="N174" s="25" t="s">
        <v>56</v>
      </c>
      <c r="O174" s="27">
        <v>50.0</v>
      </c>
      <c r="P174" s="25">
        <v>-185.0</v>
      </c>
      <c r="Q174" s="25">
        <v>148.0</v>
      </c>
      <c r="R174" s="25">
        <f t="shared" si="1"/>
        <v>-18.5</v>
      </c>
      <c r="S174" s="28">
        <f>IFERROR(__xludf.DUMMYFUNCTION("IF(F174=""India"", FILTER(Weather!D:D,D174=Weather!C:C,E174=Weather!B:B), FILTER(Weather!D:D,D174=Weather!C:C,F174=Weather!A:A))"),16.4)</f>
        <v>16.4</v>
      </c>
      <c r="T174" s="28">
        <f>IFERROR(__xludf.DUMMYFUNCTION("IF(F174=""India"", FILTER(Weather!E:E,D174=Weather!C:C,E174=Weather!B:B),FILTER(Weather!E:E,D174=Weather!C:C,F174=Weather!A:A))"),11.0)</f>
        <v>11</v>
      </c>
      <c r="U174" s="28">
        <f>IFERROR(__xludf.DUMMYFUNCTION("IF(F174=""India"", FILTER(Weather!F:F,D174=Weather!C:C,E174=Weather!B:B),FILTER(Weather!F:F,D174=Weather!C:C,F174=Weather!A:A))"),79.6)</f>
        <v>79.6</v>
      </c>
      <c r="V174" s="25">
        <v>29.453333333333333</v>
      </c>
      <c r="W174" s="25">
        <v>88.70466666666665</v>
      </c>
      <c r="X174" s="25">
        <v>5.574545454545454</v>
      </c>
      <c r="Y174" s="25">
        <v>33.232727272727274</v>
      </c>
      <c r="Z174" s="25">
        <v>35.72636363636363</v>
      </c>
      <c r="AA174" s="25">
        <v>28.993333333333332</v>
      </c>
      <c r="AB174" s="25">
        <v>91.364</v>
      </c>
      <c r="AC174" s="25">
        <v>5.425454545454545</v>
      </c>
      <c r="AD174" s="25">
        <v>46.032727272727264</v>
      </c>
      <c r="AE174" s="25">
        <v>51.62</v>
      </c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</row>
    <row r="175" ht="15.75" hidden="1" customHeight="1">
      <c r="A175" s="25" t="s">
        <v>47</v>
      </c>
      <c r="B175" s="25" t="s">
        <v>48</v>
      </c>
      <c r="C175" s="30">
        <v>44173.0</v>
      </c>
      <c r="D175" s="25" t="s">
        <v>123</v>
      </c>
      <c r="E175" s="25" t="s">
        <v>94</v>
      </c>
      <c r="F175" s="12" t="str">
        <f>IFERROR(__xludf.DUMMYFUNCTION("FILTER(Stadium!$A$2:$A$61,E175=Stadium!$B$2:$B$61)"),"Australia")</f>
        <v>Australia</v>
      </c>
      <c r="G175" s="30" t="str">
        <f t="shared" si="3"/>
        <v>L</v>
      </c>
      <c r="H175" s="30" t="str">
        <f t="shared" si="4"/>
        <v>W</v>
      </c>
      <c r="I175" s="24">
        <f t="shared" ref="I175:I177" si="17">7/9</f>
        <v>0.7777777778</v>
      </c>
      <c r="J175" s="24">
        <f t="shared" ref="J175:J177" si="18">2/9</f>
        <v>0.2222222222</v>
      </c>
      <c r="K175" s="25" t="s">
        <v>72</v>
      </c>
      <c r="L175" s="25">
        <v>174.0</v>
      </c>
      <c r="M175" s="25">
        <v>186.0</v>
      </c>
      <c r="N175" s="25" t="s">
        <v>48</v>
      </c>
      <c r="O175" s="27">
        <f>(12/186)*100</f>
        <v>6.451612903</v>
      </c>
      <c r="P175" s="25">
        <v>-135.0</v>
      </c>
      <c r="Q175" s="25">
        <v>108.0</v>
      </c>
      <c r="R175" s="25">
        <f t="shared" si="1"/>
        <v>-13.5</v>
      </c>
      <c r="S175" s="28">
        <f>IFERROR(__xludf.DUMMYFUNCTION("IF(F175=""India"", FILTER(Weather!D:D,D175=Weather!C:C,E175=Weather!B:B), FILTER(Weather!D:D,D175=Weather!C:C,F175=Weather!A:A))"),28.1)</f>
        <v>28.1</v>
      </c>
      <c r="T175" s="28">
        <f>IFERROR(__xludf.DUMMYFUNCTION("IF(F175=""India"", FILTER(Weather!E:E,D175=Weather!C:C,E175=Weather!B:B),FILTER(Weather!E:E,D175=Weather!C:C,F175=Weather!A:A))"),18.6)</f>
        <v>18.6</v>
      </c>
      <c r="U175" s="28">
        <f>IFERROR(__xludf.DUMMYFUNCTION("IF(F175=""India"", FILTER(Weather!F:F,D175=Weather!C:C,E175=Weather!B:B),FILTER(Weather!F:F,D175=Weather!C:C,F175=Weather!A:A))"),124.8)</f>
        <v>124.8</v>
      </c>
      <c r="V175" s="15">
        <v>29.216249999999995</v>
      </c>
      <c r="W175" s="15">
        <v>82.43625</v>
      </c>
      <c r="X175" s="25">
        <v>5.422499999999999</v>
      </c>
      <c r="Y175" s="25">
        <v>40.535</v>
      </c>
      <c r="Z175" s="25">
        <v>43.995000000000005</v>
      </c>
      <c r="AA175" s="25">
        <v>27.727333333333334</v>
      </c>
      <c r="AB175" s="25">
        <v>92.17733333333332</v>
      </c>
      <c r="AC175" s="25">
        <v>5.772307692307693</v>
      </c>
      <c r="AD175" s="25">
        <v>39.89076923076924</v>
      </c>
      <c r="AE175" s="25">
        <v>41.56384615384616</v>
      </c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</row>
    <row r="176" ht="15.75" hidden="1" customHeight="1">
      <c r="A176" s="25" t="s">
        <v>47</v>
      </c>
      <c r="B176" s="25" t="s">
        <v>48</v>
      </c>
      <c r="C176" s="30">
        <v>44171.0</v>
      </c>
      <c r="D176" s="25" t="s">
        <v>123</v>
      </c>
      <c r="E176" s="25" t="s">
        <v>94</v>
      </c>
      <c r="F176" s="12" t="str">
        <f>IFERROR(__xludf.DUMMYFUNCTION("FILTER(Stadium!$A$2:$A$61,E176=Stadium!$B$2:$B$61)"),"Australia")</f>
        <v>Australia</v>
      </c>
      <c r="G176" s="30" t="str">
        <f t="shared" si="3"/>
        <v>W</v>
      </c>
      <c r="H176" s="30" t="str">
        <f t="shared" si="4"/>
        <v>L</v>
      </c>
      <c r="I176" s="24">
        <f t="shared" si="17"/>
        <v>0.7777777778</v>
      </c>
      <c r="J176" s="24">
        <f t="shared" si="18"/>
        <v>0.2222222222</v>
      </c>
      <c r="K176" s="25" t="s">
        <v>72</v>
      </c>
      <c r="L176" s="25">
        <v>195.0</v>
      </c>
      <c r="M176" s="25">
        <v>195.0</v>
      </c>
      <c r="N176" s="25" t="s">
        <v>47</v>
      </c>
      <c r="O176" s="27">
        <v>60.0</v>
      </c>
      <c r="P176" s="25">
        <v>-159.0</v>
      </c>
      <c r="Q176" s="25">
        <v>125.0</v>
      </c>
      <c r="R176" s="25">
        <f t="shared" si="1"/>
        <v>-17</v>
      </c>
      <c r="S176" s="28">
        <f>IFERROR(__xludf.DUMMYFUNCTION("IF(F176=""India"", FILTER(Weather!D:D,D176=Weather!C:C,E176=Weather!B:B), FILTER(Weather!D:D,D176=Weather!C:C,F176=Weather!A:A))"),28.1)</f>
        <v>28.1</v>
      </c>
      <c r="T176" s="28">
        <f>IFERROR(__xludf.DUMMYFUNCTION("IF(F176=""India"", FILTER(Weather!E:E,D176=Weather!C:C,E176=Weather!B:B),FILTER(Weather!E:E,D176=Weather!C:C,F176=Weather!A:A))"),18.6)</f>
        <v>18.6</v>
      </c>
      <c r="U176" s="28">
        <f>IFERROR(__xludf.DUMMYFUNCTION("IF(F176=""India"", FILTER(Weather!F:F,D176=Weather!C:C,E176=Weather!B:B),FILTER(Weather!F:F,D176=Weather!C:C,F176=Weather!A:A))"),124.8)</f>
        <v>124.8</v>
      </c>
      <c r="V176" s="15">
        <v>29.216249999999995</v>
      </c>
      <c r="W176" s="15">
        <v>82.43625</v>
      </c>
      <c r="X176" s="25">
        <v>5.422499999999999</v>
      </c>
      <c r="Y176" s="25">
        <v>40.535</v>
      </c>
      <c r="Z176" s="25">
        <v>43.995000000000005</v>
      </c>
      <c r="AA176" s="25">
        <v>27.727333333333334</v>
      </c>
      <c r="AB176" s="25">
        <v>92.17733333333332</v>
      </c>
      <c r="AC176" s="25">
        <v>5.772307692307693</v>
      </c>
      <c r="AD176" s="25">
        <v>39.89076923076924</v>
      </c>
      <c r="AE176" s="25">
        <v>41.56384615384616</v>
      </c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</row>
    <row r="177" ht="15.75" hidden="1" customHeight="1">
      <c r="A177" s="25" t="s">
        <v>47</v>
      </c>
      <c r="B177" s="25" t="s">
        <v>48</v>
      </c>
      <c r="C177" s="30">
        <v>44169.0</v>
      </c>
      <c r="D177" s="25" t="s">
        <v>123</v>
      </c>
      <c r="E177" s="25" t="s">
        <v>124</v>
      </c>
      <c r="F177" s="12" t="str">
        <f>IFERROR(__xludf.DUMMYFUNCTION("FILTER(Stadium!$A$2:$A$61,E177=Stadium!$B$2:$B$61)"),"Australia")</f>
        <v>Australia</v>
      </c>
      <c r="G177" s="30" t="str">
        <f t="shared" si="3"/>
        <v>W</v>
      </c>
      <c r="H177" s="30" t="str">
        <f t="shared" si="4"/>
        <v>L</v>
      </c>
      <c r="I177" s="24">
        <f t="shared" si="17"/>
        <v>0.7777777778</v>
      </c>
      <c r="J177" s="24">
        <f t="shared" si="18"/>
        <v>0.2222222222</v>
      </c>
      <c r="K177" s="25" t="s">
        <v>72</v>
      </c>
      <c r="L177" s="25">
        <v>161.0</v>
      </c>
      <c r="M177" s="25">
        <v>150.0</v>
      </c>
      <c r="N177" s="25" t="s">
        <v>47</v>
      </c>
      <c r="O177" s="27">
        <f>(11/161)*100</f>
        <v>6.832298137</v>
      </c>
      <c r="P177" s="25">
        <v>106.0</v>
      </c>
      <c r="Q177" s="25">
        <v>-135.0</v>
      </c>
      <c r="R177" s="25">
        <f t="shared" si="1"/>
        <v>-14.5</v>
      </c>
      <c r="S177" s="28">
        <f>IFERROR(__xludf.DUMMYFUNCTION("IF(F177=""India"", FILTER(Weather!D:D,D177=Weather!C:C,E177=Weather!B:B), FILTER(Weather!D:D,D177=Weather!C:C,F177=Weather!A:A))"),28.1)</f>
        <v>28.1</v>
      </c>
      <c r="T177" s="28">
        <f>IFERROR(__xludf.DUMMYFUNCTION("IF(F177=""India"", FILTER(Weather!E:E,D177=Weather!C:C,E177=Weather!B:B),FILTER(Weather!E:E,D177=Weather!C:C,F177=Weather!A:A))"),18.6)</f>
        <v>18.6</v>
      </c>
      <c r="U177" s="28">
        <f>IFERROR(__xludf.DUMMYFUNCTION("IF(F177=""India"", FILTER(Weather!F:F,D177=Weather!C:C,E177=Weather!B:B),FILTER(Weather!F:F,D177=Weather!C:C,F177=Weather!A:A))"),124.8)</f>
        <v>124.8</v>
      </c>
      <c r="V177" s="15">
        <v>29.216249999999995</v>
      </c>
      <c r="W177" s="15">
        <v>82.43625</v>
      </c>
      <c r="X177" s="25">
        <v>5.422499999999999</v>
      </c>
      <c r="Y177" s="25">
        <v>40.535</v>
      </c>
      <c r="Z177" s="25">
        <v>43.995000000000005</v>
      </c>
      <c r="AA177" s="25">
        <v>27.727333333333334</v>
      </c>
      <c r="AB177" s="25">
        <v>92.17733333333332</v>
      </c>
      <c r="AC177" s="25">
        <v>5.772307692307693</v>
      </c>
      <c r="AD177" s="25">
        <v>39.89076923076924</v>
      </c>
      <c r="AE177" s="25">
        <v>41.56384615384616</v>
      </c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</row>
    <row r="178" ht="15.75" hidden="1" customHeight="1">
      <c r="A178" s="25" t="s">
        <v>58</v>
      </c>
      <c r="B178" s="25" t="s">
        <v>54</v>
      </c>
      <c r="C178" s="30">
        <v>44166.0</v>
      </c>
      <c r="D178" s="25" t="s">
        <v>123</v>
      </c>
      <c r="E178" s="25" t="s">
        <v>125</v>
      </c>
      <c r="F178" s="12" t="str">
        <f>IFERROR(__xludf.DUMMYFUNCTION("FILTER(Stadium!$A$2:$A$61,E178=Stadium!$B$2:$B$61)"),"South Africa")</f>
        <v>South Africa</v>
      </c>
      <c r="G178" s="30" t="str">
        <f t="shared" si="3"/>
        <v>W</v>
      </c>
      <c r="H178" s="30" t="str">
        <f t="shared" si="4"/>
        <v>L</v>
      </c>
      <c r="I178" s="24">
        <f>VLOOKUP(A178, 'WL Ratio Table'!$A$6:$D$8, 4, FALSE)</f>
        <v>1.384615385</v>
      </c>
      <c r="J178" s="24">
        <v>1.0909090909090908</v>
      </c>
      <c r="K178" s="25" t="s">
        <v>72</v>
      </c>
      <c r="L178" s="25">
        <v>192.0</v>
      </c>
      <c r="M178" s="25">
        <v>191.0</v>
      </c>
      <c r="N178" s="25" t="s">
        <v>58</v>
      </c>
      <c r="O178" s="27">
        <v>90.0</v>
      </c>
      <c r="P178" s="25">
        <v>-217.0</v>
      </c>
      <c r="Q178" s="25">
        <v>164.0</v>
      </c>
      <c r="R178" s="25">
        <f t="shared" si="1"/>
        <v>-26.5</v>
      </c>
      <c r="S178" s="28">
        <f>IFERROR(__xludf.DUMMYFUNCTION("IF(F178=""India"", FILTER(Weather!D:D,D178=Weather!C:C,E178=Weather!B:B), FILTER(Weather!D:D,D178=Weather!C:C,F178=Weather!A:A))"),28.1)</f>
        <v>28.1</v>
      </c>
      <c r="T178" s="28">
        <f>IFERROR(__xludf.DUMMYFUNCTION("IF(F178=""India"", FILTER(Weather!E:E,D178=Weather!C:C,E178=Weather!B:B),FILTER(Weather!E:E,D178=Weather!C:C,F178=Weather!A:A))"),16.6)</f>
        <v>16.6</v>
      </c>
      <c r="U178" s="28">
        <f>IFERROR(__xludf.DUMMYFUNCTION("IF(F178=""India"", FILTER(Weather!F:F,D178=Weather!C:C,E178=Weather!B:B),FILTER(Weather!F:F,D178=Weather!C:C,F178=Weather!A:A))"),124.8)</f>
        <v>124.8</v>
      </c>
      <c r="V178" s="25">
        <v>30.137999999999998</v>
      </c>
      <c r="W178" s="25">
        <v>100.968</v>
      </c>
      <c r="X178" s="25">
        <v>5.778333333333333</v>
      </c>
      <c r="Y178" s="25">
        <v>37.89333333333334</v>
      </c>
      <c r="Z178" s="25">
        <v>39.69166666666667</v>
      </c>
      <c r="AA178" s="25">
        <v>29.26</v>
      </c>
      <c r="AB178" s="25">
        <v>86.99071428571429</v>
      </c>
      <c r="AC178" s="25">
        <v>5.596923076923077</v>
      </c>
      <c r="AD178" s="25">
        <v>26.36384615384615</v>
      </c>
      <c r="AE178" s="25">
        <v>26.93846153846153</v>
      </c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</row>
    <row r="179" ht="15.75" hidden="1" customHeight="1">
      <c r="A179" s="25" t="s">
        <v>58</v>
      </c>
      <c r="B179" s="25" t="s">
        <v>54</v>
      </c>
      <c r="C179" s="30">
        <v>44164.0</v>
      </c>
      <c r="D179" s="25" t="s">
        <v>49</v>
      </c>
      <c r="E179" s="25" t="s">
        <v>126</v>
      </c>
      <c r="F179" s="12" t="str">
        <f>IFERROR(__xludf.DUMMYFUNCTION("FILTER(Stadium!$A$2:$A$61,E179=Stadium!$B$2:$B$61)"),"South Africa")</f>
        <v>South Africa</v>
      </c>
      <c r="G179" s="30" t="str">
        <f t="shared" si="3"/>
        <v>W</v>
      </c>
      <c r="H179" s="30" t="str">
        <f t="shared" si="4"/>
        <v>L</v>
      </c>
      <c r="I179" s="24">
        <f>VLOOKUP(A179, 'WL Ratio Table'!$A$6:$D$8, 4, FALSE)</f>
        <v>1.384615385</v>
      </c>
      <c r="J179" s="24">
        <v>1.0909090909090908</v>
      </c>
      <c r="K179" s="25" t="s">
        <v>72</v>
      </c>
      <c r="L179" s="25">
        <v>147.0</v>
      </c>
      <c r="M179" s="25">
        <v>146.0</v>
      </c>
      <c r="N179" s="25" t="s">
        <v>58</v>
      </c>
      <c r="O179" s="27">
        <v>40.0</v>
      </c>
      <c r="P179" s="25">
        <v>-196.0</v>
      </c>
      <c r="Q179" s="25">
        <v>152.0</v>
      </c>
      <c r="R179" s="25">
        <f t="shared" si="1"/>
        <v>-22</v>
      </c>
      <c r="S179" s="28">
        <f>IFERROR(__xludf.DUMMYFUNCTION("IF(F179=""India"", FILTER(Weather!D:D,D179=Weather!C:C,E179=Weather!B:B), FILTER(Weather!D:D,D179=Weather!C:C,F179=Weather!A:A))"),26.2)</f>
        <v>26.2</v>
      </c>
      <c r="T179" s="28">
        <f>IFERROR(__xludf.DUMMYFUNCTION("IF(F179=""India"", FILTER(Weather!E:E,D179=Weather!C:C,E179=Weather!B:B),FILTER(Weather!E:E,D179=Weather!C:C,F179=Weather!A:A))"),15.0)</f>
        <v>15</v>
      </c>
      <c r="U179" s="28">
        <f>IFERROR(__xludf.DUMMYFUNCTION("IF(F179=""India"", FILTER(Weather!F:F,D179=Weather!C:C,E179=Weather!B:B),FILTER(Weather!F:F,D179=Weather!C:C,F179=Weather!A:A))"),114.7)</f>
        <v>114.7</v>
      </c>
      <c r="V179" s="25">
        <v>30.137999999999998</v>
      </c>
      <c r="W179" s="25">
        <v>100.968</v>
      </c>
      <c r="X179" s="25">
        <v>5.778333333333333</v>
      </c>
      <c r="Y179" s="25">
        <v>37.89333333333334</v>
      </c>
      <c r="Z179" s="25">
        <v>39.69166666666667</v>
      </c>
      <c r="AA179" s="25">
        <v>29.26</v>
      </c>
      <c r="AB179" s="25">
        <v>86.99071428571429</v>
      </c>
      <c r="AC179" s="25">
        <v>5.596923076923077</v>
      </c>
      <c r="AD179" s="25">
        <v>26.36384615384615</v>
      </c>
      <c r="AE179" s="25">
        <v>26.93846153846153</v>
      </c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</row>
    <row r="180" ht="15.75" hidden="1" customHeight="1">
      <c r="A180" s="25" t="s">
        <v>58</v>
      </c>
      <c r="B180" s="25" t="s">
        <v>54</v>
      </c>
      <c r="C180" s="30">
        <v>44162.0</v>
      </c>
      <c r="D180" s="25" t="s">
        <v>49</v>
      </c>
      <c r="E180" s="25" t="s">
        <v>125</v>
      </c>
      <c r="F180" s="12" t="str">
        <f>IFERROR(__xludf.DUMMYFUNCTION("FILTER(Stadium!$A$2:$A$61,E180=Stadium!$B$2:$B$61)"),"South Africa")</f>
        <v>South Africa</v>
      </c>
      <c r="G180" s="30" t="str">
        <f t="shared" si="3"/>
        <v>W</v>
      </c>
      <c r="H180" s="30" t="str">
        <f t="shared" si="4"/>
        <v>L</v>
      </c>
      <c r="I180" s="24">
        <f>VLOOKUP(A180, 'WL Ratio Table'!$A$6:$D$8, 4, FALSE)</f>
        <v>1.384615385</v>
      </c>
      <c r="J180" s="24">
        <v>1.0909090909090908</v>
      </c>
      <c r="K180" s="25" t="s">
        <v>72</v>
      </c>
      <c r="L180" s="25">
        <v>183.0</v>
      </c>
      <c r="M180" s="25">
        <v>179.0</v>
      </c>
      <c r="N180" s="25" t="s">
        <v>58</v>
      </c>
      <c r="O180" s="27">
        <v>50.0</v>
      </c>
      <c r="P180" s="25">
        <v>-222.0</v>
      </c>
      <c r="Q180" s="25">
        <v>170.0</v>
      </c>
      <c r="R180" s="25">
        <f t="shared" si="1"/>
        <v>-26</v>
      </c>
      <c r="S180" s="28">
        <f>IFERROR(__xludf.DUMMYFUNCTION("IF(F180=""India"", FILTER(Weather!D:D,D180=Weather!C:C,E180=Weather!B:B), FILTER(Weather!D:D,D180=Weather!C:C,F180=Weather!A:A))"),26.2)</f>
        <v>26.2</v>
      </c>
      <c r="T180" s="28">
        <f>IFERROR(__xludf.DUMMYFUNCTION("IF(F180=""India"", FILTER(Weather!E:E,D180=Weather!C:C,E180=Weather!B:B),FILTER(Weather!E:E,D180=Weather!C:C,F180=Weather!A:A))"),15.0)</f>
        <v>15</v>
      </c>
      <c r="U180" s="28">
        <f>IFERROR(__xludf.DUMMYFUNCTION("IF(F180=""India"", FILTER(Weather!F:F,D180=Weather!C:C,E180=Weather!B:B),FILTER(Weather!F:F,D180=Weather!C:C,F180=Weather!A:A))"),114.7)</f>
        <v>114.7</v>
      </c>
      <c r="V180" s="25">
        <v>30.137999999999998</v>
      </c>
      <c r="W180" s="25">
        <v>100.968</v>
      </c>
      <c r="X180" s="25">
        <v>5.778333333333333</v>
      </c>
      <c r="Y180" s="25">
        <v>37.89333333333334</v>
      </c>
      <c r="Z180" s="25">
        <v>39.69166666666667</v>
      </c>
      <c r="AA180" s="25">
        <v>29.26</v>
      </c>
      <c r="AB180" s="25">
        <v>86.99071428571429</v>
      </c>
      <c r="AC180" s="25">
        <v>5.596923076923077</v>
      </c>
      <c r="AD180" s="25">
        <v>26.36384615384615</v>
      </c>
      <c r="AE180" s="25">
        <v>26.93846153846153</v>
      </c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</row>
    <row r="181" ht="15.75" hidden="1" customHeight="1">
      <c r="A181" s="25" t="s">
        <v>58</v>
      </c>
      <c r="B181" s="25" t="s">
        <v>48</v>
      </c>
      <c r="C181" s="30">
        <v>44082.0</v>
      </c>
      <c r="D181" s="25" t="s">
        <v>70</v>
      </c>
      <c r="E181" s="25" t="s">
        <v>116</v>
      </c>
      <c r="F181" s="12" t="str">
        <f>IFERROR(__xludf.DUMMYFUNCTION("FILTER(Stadium!$A$2:$A$61,E181=Stadium!$B$2:$B$61)"),"England")</f>
        <v>England</v>
      </c>
      <c r="G181" s="30" t="str">
        <f t="shared" si="3"/>
        <v>L</v>
      </c>
      <c r="H181" s="30" t="str">
        <f t="shared" si="4"/>
        <v>W</v>
      </c>
      <c r="I181" s="24">
        <f>VLOOKUP(A181, 'WL Ratio Table'!$A$6:$D$8, 4, FALSE)</f>
        <v>1.384615385</v>
      </c>
      <c r="J181" s="24">
        <v>1.125</v>
      </c>
      <c r="K181" s="25" t="s">
        <v>72</v>
      </c>
      <c r="L181" s="25">
        <v>145.0</v>
      </c>
      <c r="M181" s="25">
        <v>146.0</v>
      </c>
      <c r="N181" s="25" t="s">
        <v>48</v>
      </c>
      <c r="O181" s="27">
        <v>50.0</v>
      </c>
      <c r="P181" s="25">
        <v>119.0</v>
      </c>
      <c r="Q181" s="25">
        <v>-149.0</v>
      </c>
      <c r="R181" s="25">
        <f t="shared" si="1"/>
        <v>-15</v>
      </c>
      <c r="S181" s="28">
        <f>IFERROR(__xludf.DUMMYFUNCTION("IF(F181=""India"", FILTER(Weather!D:D,D181=Weather!C:C,E181=Weather!B:B), FILTER(Weather!D:D,D181=Weather!C:C,F181=Weather!A:A))"),18.3)</f>
        <v>18.3</v>
      </c>
      <c r="T181" s="28">
        <f>IFERROR(__xludf.DUMMYFUNCTION("IF(F181=""India"", FILTER(Weather!E:E,D181=Weather!C:C,E181=Weather!B:B),FILTER(Weather!E:E,D181=Weather!C:C,F181=Weather!A:A))"),10.0)</f>
        <v>10</v>
      </c>
      <c r="U181" s="28">
        <f>IFERROR(__xludf.DUMMYFUNCTION("IF(F181=""India"", FILTER(Weather!F:F,D181=Weather!C:C,E181=Weather!B:B),FILTER(Weather!F:F,D181=Weather!C:C,F181=Weather!A:A))"),49.6)</f>
        <v>49.6</v>
      </c>
      <c r="V181" s="25">
        <v>30.137999999999998</v>
      </c>
      <c r="W181" s="25">
        <v>100.968</v>
      </c>
      <c r="X181" s="25">
        <v>5.778333333333333</v>
      </c>
      <c r="Y181" s="25">
        <v>37.89333333333334</v>
      </c>
      <c r="Z181" s="25">
        <v>39.69166666666667</v>
      </c>
      <c r="AA181" s="25">
        <v>27.727333333333334</v>
      </c>
      <c r="AB181" s="25">
        <v>92.17733333333332</v>
      </c>
      <c r="AC181" s="25">
        <v>5.772307692307693</v>
      </c>
      <c r="AD181" s="25">
        <v>39.89076923076924</v>
      </c>
      <c r="AE181" s="25">
        <v>41.56384615384616</v>
      </c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</row>
    <row r="182" ht="15.75" hidden="1" customHeight="1">
      <c r="A182" s="25" t="s">
        <v>58</v>
      </c>
      <c r="B182" s="25" t="s">
        <v>48</v>
      </c>
      <c r="C182" s="30">
        <v>44080.0</v>
      </c>
      <c r="D182" s="25" t="s">
        <v>70</v>
      </c>
      <c r="E182" s="25" t="s">
        <v>116</v>
      </c>
      <c r="F182" s="12" t="str">
        <f>IFERROR(__xludf.DUMMYFUNCTION("FILTER(Stadium!$A$2:$A$61,E182=Stadium!$B$2:$B$61)"),"England")</f>
        <v>England</v>
      </c>
      <c r="G182" s="30" t="str">
        <f t="shared" si="3"/>
        <v>W</v>
      </c>
      <c r="H182" s="30" t="str">
        <f t="shared" si="4"/>
        <v>L</v>
      </c>
      <c r="I182" s="24">
        <f>VLOOKUP(A182, 'WL Ratio Table'!$A$6:$D$8, 4, FALSE)</f>
        <v>1.384615385</v>
      </c>
      <c r="J182" s="24">
        <v>1.125</v>
      </c>
      <c r="K182" s="25" t="s">
        <v>72</v>
      </c>
      <c r="L182" s="25">
        <v>158.0</v>
      </c>
      <c r="M182" s="25">
        <v>157.0</v>
      </c>
      <c r="N182" s="25" t="s">
        <v>58</v>
      </c>
      <c r="O182" s="27">
        <v>60.0</v>
      </c>
      <c r="P182" s="25">
        <v>-123.0</v>
      </c>
      <c r="Q182" s="25">
        <v>-101.0</v>
      </c>
      <c r="R182" s="25">
        <f t="shared" si="1"/>
        <v>-112</v>
      </c>
      <c r="S182" s="28">
        <f>IFERROR(__xludf.DUMMYFUNCTION("IF(F182=""India"", FILTER(Weather!D:D,D182=Weather!C:C,E182=Weather!B:B), FILTER(Weather!D:D,D182=Weather!C:C,F182=Weather!A:A))"),18.3)</f>
        <v>18.3</v>
      </c>
      <c r="T182" s="28">
        <f>IFERROR(__xludf.DUMMYFUNCTION("IF(F182=""India"", FILTER(Weather!E:E,D182=Weather!C:C,E182=Weather!B:B),FILTER(Weather!E:E,D182=Weather!C:C,F182=Weather!A:A))"),10.0)</f>
        <v>10</v>
      </c>
      <c r="U182" s="28">
        <f>IFERROR(__xludf.DUMMYFUNCTION("IF(F182=""India"", FILTER(Weather!F:F,D182=Weather!C:C,E182=Weather!B:B),FILTER(Weather!F:F,D182=Weather!C:C,F182=Weather!A:A))"),49.6)</f>
        <v>49.6</v>
      </c>
      <c r="V182" s="25">
        <v>30.137999999999998</v>
      </c>
      <c r="W182" s="25">
        <v>100.968</v>
      </c>
      <c r="X182" s="25">
        <v>5.778333333333333</v>
      </c>
      <c r="Y182" s="25">
        <v>37.89333333333334</v>
      </c>
      <c r="Z182" s="25">
        <v>39.69166666666667</v>
      </c>
      <c r="AA182" s="25">
        <v>27.727333333333334</v>
      </c>
      <c r="AB182" s="25">
        <v>92.17733333333332</v>
      </c>
      <c r="AC182" s="25">
        <v>5.772307692307693</v>
      </c>
      <c r="AD182" s="25">
        <v>39.89076923076924</v>
      </c>
      <c r="AE182" s="25">
        <v>41.56384615384616</v>
      </c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</row>
    <row r="183" ht="15.75" hidden="1" customHeight="1">
      <c r="A183" s="25" t="s">
        <v>58</v>
      </c>
      <c r="B183" s="25" t="s">
        <v>48</v>
      </c>
      <c r="C183" s="30">
        <v>44078.0</v>
      </c>
      <c r="D183" s="25" t="s">
        <v>70</v>
      </c>
      <c r="E183" s="25" t="s">
        <v>116</v>
      </c>
      <c r="F183" s="12" t="str">
        <f>IFERROR(__xludf.DUMMYFUNCTION("FILTER(Stadium!$A$2:$A$61,E183=Stadium!$B$2:$B$61)"),"England")</f>
        <v>England</v>
      </c>
      <c r="G183" s="30" t="str">
        <f t="shared" si="3"/>
        <v>W</v>
      </c>
      <c r="H183" s="30" t="str">
        <f t="shared" si="4"/>
        <v>L</v>
      </c>
      <c r="I183" s="24">
        <f>VLOOKUP(A183, 'WL Ratio Table'!$A$6:$D$8, 4, FALSE)</f>
        <v>1.384615385</v>
      </c>
      <c r="J183" s="24">
        <v>1.125</v>
      </c>
      <c r="K183" s="25" t="s">
        <v>72</v>
      </c>
      <c r="L183" s="25">
        <v>162.0</v>
      </c>
      <c r="M183" s="25">
        <v>160.0</v>
      </c>
      <c r="N183" s="25" t="s">
        <v>58</v>
      </c>
      <c r="O183" s="27">
        <f>(2/162)*100</f>
        <v>1.234567901</v>
      </c>
      <c r="P183" s="25">
        <v>-104.0</v>
      </c>
      <c r="Q183" s="25">
        <v>-120.0</v>
      </c>
      <c r="R183" s="25">
        <f t="shared" si="1"/>
        <v>-112</v>
      </c>
      <c r="S183" s="28">
        <f>IFERROR(__xludf.DUMMYFUNCTION("IF(F183=""India"", FILTER(Weather!D:D,D183=Weather!C:C,E183=Weather!B:B), FILTER(Weather!D:D,D183=Weather!C:C,F183=Weather!A:A))"),18.3)</f>
        <v>18.3</v>
      </c>
      <c r="T183" s="28">
        <f>IFERROR(__xludf.DUMMYFUNCTION("IF(F183=""India"", FILTER(Weather!E:E,D183=Weather!C:C,E183=Weather!B:B),FILTER(Weather!E:E,D183=Weather!C:C,F183=Weather!A:A))"),10.0)</f>
        <v>10</v>
      </c>
      <c r="U183" s="28">
        <f>IFERROR(__xludf.DUMMYFUNCTION("IF(F183=""India"", FILTER(Weather!F:F,D183=Weather!C:C,E183=Weather!B:B),FILTER(Weather!F:F,D183=Weather!C:C,F183=Weather!A:A))"),49.6)</f>
        <v>49.6</v>
      </c>
      <c r="V183" s="25">
        <v>30.137999999999998</v>
      </c>
      <c r="W183" s="25">
        <v>100.968</v>
      </c>
      <c r="X183" s="25">
        <v>5.778333333333333</v>
      </c>
      <c r="Y183" s="25">
        <v>37.89333333333334</v>
      </c>
      <c r="Z183" s="25">
        <v>39.69166666666667</v>
      </c>
      <c r="AA183" s="25">
        <v>27.727333333333334</v>
      </c>
      <c r="AB183" s="25">
        <v>92.17733333333332</v>
      </c>
      <c r="AC183" s="25">
        <v>5.772307692307693</v>
      </c>
      <c r="AD183" s="25">
        <v>39.89076923076924</v>
      </c>
      <c r="AE183" s="25">
        <v>41.56384615384616</v>
      </c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</row>
    <row r="184" ht="15.75" hidden="1" customHeight="1">
      <c r="A184" s="25" t="s">
        <v>58</v>
      </c>
      <c r="B184" s="25" t="s">
        <v>59</v>
      </c>
      <c r="C184" s="30">
        <v>44075.0</v>
      </c>
      <c r="D184" s="25" t="s">
        <v>70</v>
      </c>
      <c r="E184" s="25" t="s">
        <v>75</v>
      </c>
      <c r="F184" s="12" t="str">
        <f>IFERROR(__xludf.DUMMYFUNCTION("FILTER(Stadium!$A$2:$A$61,E184=Stadium!$B$2:$B$61)"),"England")</f>
        <v>England</v>
      </c>
      <c r="G184" s="30" t="str">
        <f t="shared" si="3"/>
        <v>L</v>
      </c>
      <c r="H184" s="30" t="str">
        <f t="shared" si="4"/>
        <v>W</v>
      </c>
      <c r="I184" s="24">
        <f t="shared" ref="I184:I185" si="19">9/14</f>
        <v>0.6428571429</v>
      </c>
      <c r="J184" s="24">
        <f t="shared" ref="J184:J185" si="20">5/14</f>
        <v>0.3571428571</v>
      </c>
      <c r="K184" s="25" t="s">
        <v>72</v>
      </c>
      <c r="L184" s="25">
        <v>185.0</v>
      </c>
      <c r="M184" s="25">
        <v>190.0</v>
      </c>
      <c r="N184" s="25" t="s">
        <v>59</v>
      </c>
      <c r="O184" s="27">
        <f>(5/190)*100</f>
        <v>2.631578947</v>
      </c>
      <c r="P184" s="25">
        <v>-185.0</v>
      </c>
      <c r="Q184" s="25">
        <v>146.0</v>
      </c>
      <c r="R184" s="25">
        <f t="shared" si="1"/>
        <v>-19.5</v>
      </c>
      <c r="S184" s="28">
        <f>IFERROR(__xludf.DUMMYFUNCTION("IF(F184=""India"", FILTER(Weather!D:D,D184=Weather!C:C,E184=Weather!B:B), FILTER(Weather!D:D,D184=Weather!C:C,F184=Weather!A:A))"),18.3)</f>
        <v>18.3</v>
      </c>
      <c r="T184" s="28">
        <f>IFERROR(__xludf.DUMMYFUNCTION("IF(F184=""India"", FILTER(Weather!E:E,D184=Weather!C:C,E184=Weather!B:B),FILTER(Weather!E:E,D184=Weather!C:C,F184=Weather!A:A))"),10.0)</f>
        <v>10</v>
      </c>
      <c r="U184" s="28">
        <f>IFERROR(__xludf.DUMMYFUNCTION("IF(F184=""India"", FILTER(Weather!F:F,D184=Weather!C:C,E184=Weather!B:B),FILTER(Weather!F:F,D184=Weather!C:C,F184=Weather!A:A))"),49.6)</f>
        <v>49.6</v>
      </c>
      <c r="V184" s="25">
        <v>30.137999999999998</v>
      </c>
      <c r="W184" s="25">
        <v>100.968</v>
      </c>
      <c r="X184" s="25">
        <v>5.778333333333333</v>
      </c>
      <c r="Y184" s="25">
        <v>37.89333333333334</v>
      </c>
      <c r="Z184" s="25">
        <v>39.69166666666667</v>
      </c>
      <c r="AA184" s="25">
        <v>28.993333333333332</v>
      </c>
      <c r="AB184" s="25">
        <v>91.364</v>
      </c>
      <c r="AC184" s="25">
        <v>5.425454545454545</v>
      </c>
      <c r="AD184" s="25">
        <v>46.032727272727264</v>
      </c>
      <c r="AE184" s="25">
        <v>51.62</v>
      </c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</row>
    <row r="185" ht="15.75" hidden="1" customHeight="1">
      <c r="A185" s="25" t="s">
        <v>58</v>
      </c>
      <c r="B185" s="25" t="s">
        <v>59</v>
      </c>
      <c r="C185" s="30">
        <v>44073.0</v>
      </c>
      <c r="D185" s="25" t="s">
        <v>76</v>
      </c>
      <c r="E185" s="25" t="s">
        <v>75</v>
      </c>
      <c r="F185" s="12" t="str">
        <f>IFERROR(__xludf.DUMMYFUNCTION("FILTER(Stadium!$A$2:$A$61,E185=Stadium!$B$2:$B$61)"),"England")</f>
        <v>England</v>
      </c>
      <c r="G185" s="30" t="str">
        <f t="shared" si="3"/>
        <v>W</v>
      </c>
      <c r="H185" s="30" t="str">
        <f t="shared" si="4"/>
        <v>L</v>
      </c>
      <c r="I185" s="24">
        <f t="shared" si="19"/>
        <v>0.6428571429</v>
      </c>
      <c r="J185" s="24">
        <f t="shared" si="20"/>
        <v>0.3571428571</v>
      </c>
      <c r="K185" s="25" t="s">
        <v>72</v>
      </c>
      <c r="L185" s="25">
        <v>199.0</v>
      </c>
      <c r="M185" s="25">
        <v>195.0</v>
      </c>
      <c r="N185" s="25" t="s">
        <v>58</v>
      </c>
      <c r="O185" s="27">
        <v>50.0</v>
      </c>
      <c r="P185" s="25">
        <v>-185.0</v>
      </c>
      <c r="Q185" s="25">
        <v>146.0</v>
      </c>
      <c r="R185" s="25">
        <f t="shared" si="1"/>
        <v>-19.5</v>
      </c>
      <c r="S185" s="28">
        <f>IFERROR(__xludf.DUMMYFUNCTION("IF(F185=""India"", FILTER(Weather!D:D,D185=Weather!C:C,E185=Weather!B:B), FILTER(Weather!D:D,D185=Weather!C:C,F185=Weather!A:A))"),21.5)</f>
        <v>21.5</v>
      </c>
      <c r="T185" s="28">
        <f>IFERROR(__xludf.DUMMYFUNCTION("IF(F185=""India"", FILTER(Weather!E:E,D185=Weather!C:C,E185=Weather!B:B),FILTER(Weather!E:E,D185=Weather!C:C,F185=Weather!A:A))"),11.6)</f>
        <v>11.6</v>
      </c>
      <c r="U185" s="28">
        <f>IFERROR(__xludf.DUMMYFUNCTION("IF(F185=""India"", FILTER(Weather!F:F,D185=Weather!C:C,E185=Weather!B:B),FILTER(Weather!F:F,D185=Weather!C:C,F185=Weather!A:A))"),52.8)</f>
        <v>52.8</v>
      </c>
      <c r="V185" s="25">
        <v>30.137999999999998</v>
      </c>
      <c r="W185" s="25">
        <v>100.968</v>
      </c>
      <c r="X185" s="25">
        <v>5.778333333333333</v>
      </c>
      <c r="Y185" s="25">
        <v>37.89333333333334</v>
      </c>
      <c r="Z185" s="25">
        <v>39.69166666666667</v>
      </c>
      <c r="AA185" s="25">
        <v>28.993333333333332</v>
      </c>
      <c r="AB185" s="25">
        <v>91.364</v>
      </c>
      <c r="AC185" s="25">
        <v>5.425454545454545</v>
      </c>
      <c r="AD185" s="25">
        <v>46.032727272727264</v>
      </c>
      <c r="AE185" s="25">
        <v>51.62</v>
      </c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</row>
    <row r="186" ht="15.75" hidden="1" customHeight="1">
      <c r="A186" s="25" t="s">
        <v>48</v>
      </c>
      <c r="B186" s="25" t="s">
        <v>54</v>
      </c>
      <c r="C186" s="30">
        <v>43887.0</v>
      </c>
      <c r="D186" s="25" t="s">
        <v>86</v>
      </c>
      <c r="E186" s="25" t="s">
        <v>125</v>
      </c>
      <c r="F186" s="12" t="str">
        <f>IFERROR(__xludf.DUMMYFUNCTION("FILTER(Stadium!$A$2:$A$61,E186=Stadium!$B$2:$B$61)"),"South Africa")</f>
        <v>South Africa</v>
      </c>
      <c r="G186" s="30" t="str">
        <f t="shared" si="3"/>
        <v>W</v>
      </c>
      <c r="H186" s="30" t="str">
        <f t="shared" si="4"/>
        <v>L</v>
      </c>
      <c r="I186" s="21">
        <v>0.7</v>
      </c>
      <c r="J186" s="21">
        <v>0.3</v>
      </c>
      <c r="K186" s="25" t="s">
        <v>72</v>
      </c>
      <c r="L186" s="25">
        <v>193.0</v>
      </c>
      <c r="M186" s="25">
        <v>96.0</v>
      </c>
      <c r="N186" s="25" t="s">
        <v>48</v>
      </c>
      <c r="O186" s="27">
        <f>(97/193)*100</f>
        <v>50.25906736</v>
      </c>
      <c r="P186" s="25">
        <v>-164.0</v>
      </c>
      <c r="Q186" s="25">
        <v>125.0</v>
      </c>
      <c r="R186" s="25">
        <f t="shared" si="1"/>
        <v>-19.5</v>
      </c>
      <c r="S186" s="28">
        <f>IFERROR(__xludf.DUMMYFUNCTION("IF(F186=""India"", FILTER(Weather!D:D,D186=Weather!C:C,E186=Weather!B:B), FILTER(Weather!D:D,D186=Weather!C:C,F186=Weather!A:A))"),26.4)</f>
        <v>26.4</v>
      </c>
      <c r="T186" s="28">
        <f>IFERROR(__xludf.DUMMYFUNCTION("IF(F186=""India"", FILTER(Weather!E:E,D186=Weather!C:C,E186=Weather!B:B),FILTER(Weather!E:E,D186=Weather!C:C,F186=Weather!A:A))"),15.8)</f>
        <v>15.8</v>
      </c>
      <c r="U186" s="28">
        <f>IFERROR(__xludf.DUMMYFUNCTION("IF(F186=""India"", FILTER(Weather!F:F,D186=Weather!C:C,E186=Weather!B:B),FILTER(Weather!F:F,D186=Weather!C:C,F186=Weather!A:A))"),117.7)</f>
        <v>117.7</v>
      </c>
      <c r="V186" s="25">
        <v>27.727333333333334</v>
      </c>
      <c r="W186" s="25">
        <v>92.17733333333332</v>
      </c>
      <c r="X186" s="25">
        <v>5.772307692307693</v>
      </c>
      <c r="Y186" s="25">
        <v>39.89076923076924</v>
      </c>
      <c r="Z186" s="25">
        <v>41.56384615384616</v>
      </c>
      <c r="AA186" s="25">
        <v>29.26</v>
      </c>
      <c r="AB186" s="25">
        <v>86.99071428571429</v>
      </c>
      <c r="AC186" s="25">
        <v>5.596923076923077</v>
      </c>
      <c r="AD186" s="25">
        <v>26.36384615384615</v>
      </c>
      <c r="AE186" s="25">
        <v>26.93846153846153</v>
      </c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</row>
    <row r="187" ht="15.75" hidden="1" customHeight="1">
      <c r="A187" s="25" t="s">
        <v>48</v>
      </c>
      <c r="B187" s="25" t="s">
        <v>54</v>
      </c>
      <c r="C187" s="30">
        <v>43884.0</v>
      </c>
      <c r="D187" s="25" t="s">
        <v>86</v>
      </c>
      <c r="E187" s="25" t="s">
        <v>127</v>
      </c>
      <c r="F187" s="12" t="str">
        <f>IFERROR(__xludf.DUMMYFUNCTION("FILTER(Stadium!$A$2:$A$61,E187=Stadium!$B$2:$B$61)"),"South Africa")</f>
        <v>South Africa</v>
      </c>
      <c r="G187" s="30" t="str">
        <f t="shared" si="3"/>
        <v>L</v>
      </c>
      <c r="H187" s="30" t="str">
        <f t="shared" si="4"/>
        <v>W</v>
      </c>
      <c r="I187" s="21">
        <v>0.7</v>
      </c>
      <c r="J187" s="21">
        <v>0.3</v>
      </c>
      <c r="K187" s="25" t="s">
        <v>72</v>
      </c>
      <c r="L187" s="25">
        <v>146.0</v>
      </c>
      <c r="M187" s="25">
        <v>158.0</v>
      </c>
      <c r="N187" s="25" t="s">
        <v>54</v>
      </c>
      <c r="O187" s="27">
        <f>(12/158)*100</f>
        <v>7.594936709</v>
      </c>
      <c r="P187" s="25">
        <v>-28.0</v>
      </c>
      <c r="Q187" s="25">
        <v>161.0</v>
      </c>
      <c r="R187" s="25">
        <f t="shared" si="1"/>
        <v>66.5</v>
      </c>
      <c r="S187" s="28">
        <f>IFERROR(__xludf.DUMMYFUNCTION("IF(F187=""India"", FILTER(Weather!D:D,D187=Weather!C:C,E187=Weather!B:B), FILTER(Weather!D:D,D187=Weather!C:C,F187=Weather!A:A))"),26.4)</f>
        <v>26.4</v>
      </c>
      <c r="T187" s="28">
        <f>IFERROR(__xludf.DUMMYFUNCTION("IF(F187=""India"", FILTER(Weather!E:E,D187=Weather!C:C,E187=Weather!B:B),FILTER(Weather!E:E,D187=Weather!C:C,F187=Weather!A:A))"),15.8)</f>
        <v>15.8</v>
      </c>
      <c r="U187" s="28">
        <f>IFERROR(__xludf.DUMMYFUNCTION("IF(F187=""India"", FILTER(Weather!F:F,D187=Weather!C:C,E187=Weather!B:B),FILTER(Weather!F:F,D187=Weather!C:C,F187=Weather!A:A))"),117.7)</f>
        <v>117.7</v>
      </c>
      <c r="V187" s="25">
        <v>27.727333333333334</v>
      </c>
      <c r="W187" s="25">
        <v>92.17733333333332</v>
      </c>
      <c r="X187" s="25">
        <v>5.772307692307693</v>
      </c>
      <c r="Y187" s="25">
        <v>39.89076923076924</v>
      </c>
      <c r="Z187" s="25">
        <v>41.56384615384616</v>
      </c>
      <c r="AA187" s="25">
        <v>29.26</v>
      </c>
      <c r="AB187" s="25">
        <v>86.99071428571429</v>
      </c>
      <c r="AC187" s="25">
        <v>5.596923076923077</v>
      </c>
      <c r="AD187" s="25">
        <v>26.36384615384615</v>
      </c>
      <c r="AE187" s="25">
        <v>26.93846153846153</v>
      </c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</row>
    <row r="188" ht="15.75" hidden="1" customHeight="1">
      <c r="A188" s="25" t="s">
        <v>48</v>
      </c>
      <c r="B188" s="25" t="s">
        <v>54</v>
      </c>
      <c r="C188" s="30">
        <v>43882.0</v>
      </c>
      <c r="D188" s="25" t="s">
        <v>86</v>
      </c>
      <c r="E188" s="25" t="s">
        <v>118</v>
      </c>
      <c r="F188" s="12" t="str">
        <f>IFERROR(__xludf.DUMMYFUNCTION("FILTER(Stadium!$A$2:$A$61,E188=Stadium!$B$2:$B$61)"),"South Africa")</f>
        <v>South Africa</v>
      </c>
      <c r="G188" s="30" t="str">
        <f t="shared" si="3"/>
        <v>W</v>
      </c>
      <c r="H188" s="30" t="str">
        <f t="shared" si="4"/>
        <v>L</v>
      </c>
      <c r="I188" s="21">
        <v>0.7</v>
      </c>
      <c r="J188" s="21">
        <v>0.3</v>
      </c>
      <c r="K188" s="25" t="s">
        <v>72</v>
      </c>
      <c r="L188" s="25">
        <v>196.0</v>
      </c>
      <c r="M188" s="25">
        <v>89.0</v>
      </c>
      <c r="N188" s="25" t="s">
        <v>48</v>
      </c>
      <c r="O188" s="27">
        <f>(107/196)*100</f>
        <v>54.59183673</v>
      </c>
      <c r="P188" s="25">
        <v>-156.0</v>
      </c>
      <c r="Q188" s="25">
        <v>122.0</v>
      </c>
      <c r="R188" s="25">
        <f t="shared" si="1"/>
        <v>-17</v>
      </c>
      <c r="S188" s="28">
        <f>IFERROR(__xludf.DUMMYFUNCTION("IF(F188=""India"", FILTER(Weather!D:D,D188=Weather!C:C,E188=Weather!B:B), FILTER(Weather!D:D,D188=Weather!C:C,F188=Weather!A:A))"),26.4)</f>
        <v>26.4</v>
      </c>
      <c r="T188" s="28">
        <f>IFERROR(__xludf.DUMMYFUNCTION("IF(F188=""India"", FILTER(Weather!E:E,D188=Weather!C:C,E188=Weather!B:B),FILTER(Weather!E:E,D188=Weather!C:C,F188=Weather!A:A))"),15.8)</f>
        <v>15.8</v>
      </c>
      <c r="U188" s="28">
        <f>IFERROR(__xludf.DUMMYFUNCTION("IF(F188=""India"", FILTER(Weather!F:F,D188=Weather!C:C,E188=Weather!B:B),FILTER(Weather!F:F,D188=Weather!C:C,F188=Weather!A:A))"),117.7)</f>
        <v>117.7</v>
      </c>
      <c r="V188" s="25">
        <v>27.727333333333334</v>
      </c>
      <c r="W188" s="25">
        <v>92.17733333333332</v>
      </c>
      <c r="X188" s="25">
        <v>5.772307692307693</v>
      </c>
      <c r="Y188" s="25">
        <v>39.89076923076924</v>
      </c>
      <c r="Z188" s="25">
        <v>41.56384615384616</v>
      </c>
      <c r="AA188" s="25">
        <v>29.26</v>
      </c>
      <c r="AB188" s="25">
        <v>86.99071428571429</v>
      </c>
      <c r="AC188" s="25">
        <v>5.596923076923077</v>
      </c>
      <c r="AD188" s="25">
        <v>26.36384615384615</v>
      </c>
      <c r="AE188" s="25">
        <v>26.93846153846153</v>
      </c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</row>
    <row r="189" ht="15.75" hidden="1" customHeight="1">
      <c r="A189" s="25" t="s">
        <v>58</v>
      </c>
      <c r="B189" s="25" t="s">
        <v>54</v>
      </c>
      <c r="C189" s="30">
        <v>43877.0</v>
      </c>
      <c r="D189" s="25" t="s">
        <v>86</v>
      </c>
      <c r="E189" s="25" t="s">
        <v>117</v>
      </c>
      <c r="F189" s="12" t="str">
        <f>IFERROR(__xludf.DUMMYFUNCTION("FILTER(Stadium!$A$2:$A$61,E189=Stadium!$B$2:$B$61)"),"South Africa")</f>
        <v>South Africa</v>
      </c>
      <c r="G189" s="30" t="str">
        <f t="shared" si="3"/>
        <v>W</v>
      </c>
      <c r="H189" s="30" t="str">
        <f t="shared" si="4"/>
        <v>L</v>
      </c>
      <c r="I189" s="24">
        <f>VLOOKUP(A189, 'WL Ratio Table'!$A$6:$D$8, 4, FALSE)</f>
        <v>1.384615385</v>
      </c>
      <c r="J189" s="24">
        <v>1.0909090909090908</v>
      </c>
      <c r="K189" s="25" t="s">
        <v>72</v>
      </c>
      <c r="L189" s="25">
        <v>226.0</v>
      </c>
      <c r="M189" s="25">
        <v>222.0</v>
      </c>
      <c r="N189" s="25" t="s">
        <v>58</v>
      </c>
      <c r="O189" s="27">
        <v>50.0</v>
      </c>
      <c r="P189" s="25">
        <v>-182.0</v>
      </c>
      <c r="Q189" s="25">
        <v>139.0</v>
      </c>
      <c r="R189" s="25">
        <f t="shared" si="1"/>
        <v>-21.5</v>
      </c>
      <c r="S189" s="28">
        <f>IFERROR(__xludf.DUMMYFUNCTION("IF(F189=""India"", FILTER(Weather!D:D,D189=Weather!C:C,E189=Weather!B:B), FILTER(Weather!D:D,D189=Weather!C:C,F189=Weather!A:A))"),26.4)</f>
        <v>26.4</v>
      </c>
      <c r="T189" s="28">
        <f>IFERROR(__xludf.DUMMYFUNCTION("IF(F189=""India"", FILTER(Weather!E:E,D189=Weather!C:C,E189=Weather!B:B),FILTER(Weather!E:E,D189=Weather!C:C,F189=Weather!A:A))"),15.8)</f>
        <v>15.8</v>
      </c>
      <c r="U189" s="28">
        <f>IFERROR(__xludf.DUMMYFUNCTION("IF(F189=""India"", FILTER(Weather!F:F,D189=Weather!C:C,E189=Weather!B:B),FILTER(Weather!F:F,D189=Weather!C:C,F189=Weather!A:A))"),117.7)</f>
        <v>117.7</v>
      </c>
      <c r="V189" s="25">
        <v>30.137999999999998</v>
      </c>
      <c r="W189" s="25">
        <v>100.968</v>
      </c>
      <c r="X189" s="25">
        <v>5.778333333333333</v>
      </c>
      <c r="Y189" s="25">
        <v>37.89333333333334</v>
      </c>
      <c r="Z189" s="25">
        <v>39.69166666666667</v>
      </c>
      <c r="AA189" s="25">
        <v>29.26</v>
      </c>
      <c r="AB189" s="25">
        <v>86.99071428571429</v>
      </c>
      <c r="AC189" s="25">
        <v>5.596923076923077</v>
      </c>
      <c r="AD189" s="25">
        <v>26.36384615384615</v>
      </c>
      <c r="AE189" s="25">
        <v>26.93846153846153</v>
      </c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</row>
    <row r="190" ht="15.75" hidden="1" customHeight="1">
      <c r="A190" s="25" t="s">
        <v>58</v>
      </c>
      <c r="B190" s="25" t="s">
        <v>54</v>
      </c>
      <c r="C190" s="30">
        <v>43875.0</v>
      </c>
      <c r="D190" s="25" t="s">
        <v>86</v>
      </c>
      <c r="E190" s="25" t="s">
        <v>73</v>
      </c>
      <c r="F190" s="12" t="str">
        <f>IFERROR(__xludf.DUMMYFUNCTION("FILTER(Stadium!$A$2:$A$61,E190=Stadium!$B$2:$B$61)"),"South Africa")</f>
        <v>South Africa</v>
      </c>
      <c r="G190" s="30" t="str">
        <f t="shared" si="3"/>
        <v>W</v>
      </c>
      <c r="H190" s="30" t="str">
        <f t="shared" si="4"/>
        <v>L</v>
      </c>
      <c r="I190" s="24">
        <f>VLOOKUP(A190, 'WL Ratio Table'!$A$6:$D$8, 4, FALSE)</f>
        <v>1.384615385</v>
      </c>
      <c r="J190" s="24">
        <v>1.0909090909090908</v>
      </c>
      <c r="K190" s="25" t="s">
        <v>72</v>
      </c>
      <c r="L190" s="25">
        <v>204.0</v>
      </c>
      <c r="M190" s="25">
        <v>202.0</v>
      </c>
      <c r="N190" s="25" t="s">
        <v>58</v>
      </c>
      <c r="O190" s="27">
        <f>(2/204)*100</f>
        <v>0.9803921569</v>
      </c>
      <c r="P190" s="25">
        <v>-185.0</v>
      </c>
      <c r="Q190" s="25">
        <v>140.0</v>
      </c>
      <c r="R190" s="25">
        <f t="shared" si="1"/>
        <v>-22.5</v>
      </c>
      <c r="S190" s="28">
        <f>IFERROR(__xludf.DUMMYFUNCTION("IF(F190=""India"", FILTER(Weather!D:D,D190=Weather!C:C,E190=Weather!B:B), FILTER(Weather!D:D,D190=Weather!C:C,F190=Weather!A:A))"),26.4)</f>
        <v>26.4</v>
      </c>
      <c r="T190" s="28">
        <f>IFERROR(__xludf.DUMMYFUNCTION("IF(F190=""India"", FILTER(Weather!E:E,D190=Weather!C:C,E190=Weather!B:B),FILTER(Weather!E:E,D190=Weather!C:C,F190=Weather!A:A))"),15.8)</f>
        <v>15.8</v>
      </c>
      <c r="U190" s="28">
        <f>IFERROR(__xludf.DUMMYFUNCTION("IF(F190=""India"", FILTER(Weather!F:F,D190=Weather!C:C,E190=Weather!B:B),FILTER(Weather!F:F,D190=Weather!C:C,F190=Weather!A:A))"),117.7)</f>
        <v>117.7</v>
      </c>
      <c r="V190" s="25">
        <v>30.137999999999998</v>
      </c>
      <c r="W190" s="25">
        <v>100.968</v>
      </c>
      <c r="X190" s="25">
        <v>5.778333333333333</v>
      </c>
      <c r="Y190" s="25">
        <v>37.89333333333334</v>
      </c>
      <c r="Z190" s="25">
        <v>39.69166666666667</v>
      </c>
      <c r="AA190" s="25">
        <v>29.26</v>
      </c>
      <c r="AB190" s="25">
        <v>86.99071428571429</v>
      </c>
      <c r="AC190" s="25">
        <v>5.596923076923077</v>
      </c>
      <c r="AD190" s="25">
        <v>26.36384615384615</v>
      </c>
      <c r="AE190" s="25">
        <v>26.93846153846153</v>
      </c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</row>
    <row r="191" ht="15.75" hidden="1" customHeight="1">
      <c r="A191" s="25" t="s">
        <v>58</v>
      </c>
      <c r="B191" s="25" t="s">
        <v>54</v>
      </c>
      <c r="C191" s="30">
        <v>43873.0</v>
      </c>
      <c r="D191" s="25" t="s">
        <v>86</v>
      </c>
      <c r="E191" s="25" t="s">
        <v>128</v>
      </c>
      <c r="F191" s="12" t="str">
        <f>IFERROR(__xludf.DUMMYFUNCTION("FILTER(Stadium!$A$2:$A$61,E191=Stadium!$B$2:$B$61)"),"South Africa")</f>
        <v>South Africa</v>
      </c>
      <c r="G191" s="30" t="str">
        <f t="shared" si="3"/>
        <v>L</v>
      </c>
      <c r="H191" s="30" t="str">
        <f t="shared" si="4"/>
        <v>W</v>
      </c>
      <c r="I191" s="24">
        <f>VLOOKUP(A191, 'WL Ratio Table'!$A$6:$D$8, 4, FALSE)</f>
        <v>1.384615385</v>
      </c>
      <c r="J191" s="24">
        <v>1.0909090909090908</v>
      </c>
      <c r="K191" s="25" t="s">
        <v>72</v>
      </c>
      <c r="L191" s="25">
        <v>176.0</v>
      </c>
      <c r="M191" s="25">
        <v>177.0</v>
      </c>
      <c r="N191" s="25" t="s">
        <v>54</v>
      </c>
      <c r="O191" s="27">
        <f>(1/177)*100</f>
        <v>0.5649717514</v>
      </c>
      <c r="P191" s="25">
        <v>-200.0</v>
      </c>
      <c r="Q191" s="25">
        <v>152.0</v>
      </c>
      <c r="R191" s="25">
        <f t="shared" si="1"/>
        <v>-24</v>
      </c>
      <c r="S191" s="28">
        <f>IFERROR(__xludf.DUMMYFUNCTION("IF(F191=""India"", FILTER(Weather!D:D,D191=Weather!C:C,E191=Weather!B:B), FILTER(Weather!D:D,D191=Weather!C:C,F191=Weather!A:A))"),26.4)</f>
        <v>26.4</v>
      </c>
      <c r="T191" s="28">
        <f>IFERROR(__xludf.DUMMYFUNCTION("IF(F191=""India"", FILTER(Weather!E:E,D191=Weather!C:C,E191=Weather!B:B),FILTER(Weather!E:E,D191=Weather!C:C,F191=Weather!A:A))"),15.8)</f>
        <v>15.8</v>
      </c>
      <c r="U191" s="28">
        <f>IFERROR(__xludf.DUMMYFUNCTION("IF(F191=""India"", FILTER(Weather!F:F,D191=Weather!C:C,E191=Weather!B:B),FILTER(Weather!F:F,D191=Weather!C:C,F191=Weather!A:A))"),117.7)</f>
        <v>117.7</v>
      </c>
      <c r="V191" s="25">
        <v>30.137999999999998</v>
      </c>
      <c r="W191" s="25">
        <v>100.968</v>
      </c>
      <c r="X191" s="25">
        <v>5.778333333333333</v>
      </c>
      <c r="Y191" s="25">
        <v>37.89333333333334</v>
      </c>
      <c r="Z191" s="25">
        <v>39.69166666666667</v>
      </c>
      <c r="AA191" s="25">
        <v>29.26</v>
      </c>
      <c r="AB191" s="25">
        <v>86.99071428571429</v>
      </c>
      <c r="AC191" s="25">
        <v>5.596923076923077</v>
      </c>
      <c r="AD191" s="25">
        <v>26.36384615384615</v>
      </c>
      <c r="AE191" s="25">
        <v>26.93846153846153</v>
      </c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</row>
    <row r="192" ht="15.75" customHeight="1">
      <c r="A192" s="25" t="s">
        <v>47</v>
      </c>
      <c r="B192" s="25" t="s">
        <v>56</v>
      </c>
      <c r="C192" s="30">
        <v>43862.0</v>
      </c>
      <c r="D192" s="25" t="s">
        <v>86</v>
      </c>
      <c r="E192" s="25" t="s">
        <v>129</v>
      </c>
      <c r="F192" s="12" t="str">
        <f>IFERROR(__xludf.DUMMYFUNCTION("FILTER(Stadium!$A$2:$A$61,E192=Stadium!$B$2:$B$61)"),"New Zealand")</f>
        <v>New Zealand</v>
      </c>
      <c r="G192" s="30" t="str">
        <f t="shared" si="3"/>
        <v>W</v>
      </c>
      <c r="H192" s="30" t="str">
        <f t="shared" si="4"/>
        <v>L</v>
      </c>
      <c r="I192" s="22">
        <f t="shared" ref="I192:I195" si="21">12/14</f>
        <v>0.8571428571</v>
      </c>
      <c r="J192" s="22">
        <f t="shared" ref="J192:J195" si="22">2/14</f>
        <v>0.1428571429</v>
      </c>
      <c r="K192" s="25" t="s">
        <v>72</v>
      </c>
      <c r="L192" s="25">
        <v>163.0</v>
      </c>
      <c r="M192" s="25">
        <v>156.0</v>
      </c>
      <c r="N192" s="25" t="s">
        <v>47</v>
      </c>
      <c r="O192" s="27">
        <f>(7/163)*100</f>
        <v>4.294478528</v>
      </c>
      <c r="P192" s="25">
        <v>-141.0</v>
      </c>
      <c r="Q192" s="25">
        <v>108.0</v>
      </c>
      <c r="R192" s="25">
        <f t="shared" si="1"/>
        <v>-16.5</v>
      </c>
      <c r="S192" s="28">
        <f>IFERROR(__xludf.DUMMYFUNCTION("IF(F192=""India"", FILTER(Weather!D:D,D192=Weather!C:C,E192=Weather!B:B), FILTER(Weather!D:D,D192=Weather!C:C,F192=Weather!A:A))"),17.9)</f>
        <v>17.9</v>
      </c>
      <c r="T192" s="28">
        <f>IFERROR(__xludf.DUMMYFUNCTION("IF(F192=""India"", FILTER(Weather!E:E,D192=Weather!C:C,E192=Weather!B:B),FILTER(Weather!E:E,D192=Weather!C:C,F192=Weather!A:A))"),11.3)</f>
        <v>11.3</v>
      </c>
      <c r="U192" s="28">
        <f>IFERROR(__xludf.DUMMYFUNCTION("IF(F192=""India"", FILTER(Weather!F:F,D192=Weather!C:C,E192=Weather!B:B),FILTER(Weather!F:F,D192=Weather!C:C,F192=Weather!A:A))"),78.4)</f>
        <v>78.4</v>
      </c>
      <c r="V192" s="15">
        <v>29.216249999999995</v>
      </c>
      <c r="W192" s="15">
        <v>82.43625</v>
      </c>
      <c r="X192" s="25">
        <v>5.422499999999999</v>
      </c>
      <c r="Y192" s="25">
        <v>40.535</v>
      </c>
      <c r="Z192" s="25">
        <v>43.995000000000005</v>
      </c>
      <c r="AA192" s="25">
        <v>29.453333333333333</v>
      </c>
      <c r="AB192" s="25">
        <v>88.70466666666665</v>
      </c>
      <c r="AC192" s="25">
        <v>5.574545454545454</v>
      </c>
      <c r="AD192" s="25">
        <v>33.232727272727274</v>
      </c>
      <c r="AE192" s="25">
        <v>35.72636363636363</v>
      </c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</row>
    <row r="193" ht="15.75" customHeight="1">
      <c r="A193" s="25" t="s">
        <v>47</v>
      </c>
      <c r="B193" s="25" t="s">
        <v>56</v>
      </c>
      <c r="C193" s="30">
        <v>43860.0</v>
      </c>
      <c r="D193" s="25" t="s">
        <v>87</v>
      </c>
      <c r="E193" s="25" t="s">
        <v>122</v>
      </c>
      <c r="F193" s="12" t="str">
        <f>IFERROR(__xludf.DUMMYFUNCTION("FILTER(Stadium!$A$2:$A$61,E193=Stadium!$B$2:$B$61)"),"New Zealand")</f>
        <v>New Zealand</v>
      </c>
      <c r="G193" s="30" t="str">
        <f t="shared" si="3"/>
        <v>W</v>
      </c>
      <c r="H193" s="30" t="str">
        <f t="shared" si="4"/>
        <v>L</v>
      </c>
      <c r="I193" s="22">
        <f t="shared" si="21"/>
        <v>0.8571428571</v>
      </c>
      <c r="J193" s="22">
        <f t="shared" si="22"/>
        <v>0.1428571429</v>
      </c>
      <c r="K193" s="25" t="s">
        <v>72</v>
      </c>
      <c r="L193" s="25">
        <v>166.0</v>
      </c>
      <c r="M193" s="25">
        <v>165.0</v>
      </c>
      <c r="N193" s="25" t="s">
        <v>47</v>
      </c>
      <c r="O193" s="27">
        <f>(1/166)*100</f>
        <v>0.6024096386</v>
      </c>
      <c r="P193" s="25">
        <v>-141.0</v>
      </c>
      <c r="Q193" s="25">
        <v>108.0</v>
      </c>
      <c r="R193" s="25">
        <f t="shared" si="1"/>
        <v>-16.5</v>
      </c>
      <c r="S193" s="28">
        <f>IFERROR(__xludf.DUMMYFUNCTION("IF(F193=""India"", FILTER(Weather!D:D,D193=Weather!C:C,E193=Weather!B:B), FILTER(Weather!D:D,D193=Weather!C:C,F193=Weather!A:A))"),17.8)</f>
        <v>17.8</v>
      </c>
      <c r="T193" s="28">
        <f>IFERROR(__xludf.DUMMYFUNCTION("IF(F193=""India"", FILTER(Weather!E:E,D193=Weather!C:C,E193=Weather!B:B),FILTER(Weather!E:E,D193=Weather!C:C,F193=Weather!A:A))"),10.8)</f>
        <v>10.8</v>
      </c>
      <c r="U193" s="28">
        <f>IFERROR(__xludf.DUMMYFUNCTION("IF(F193=""India"", FILTER(Weather!F:F,D193=Weather!C:C,E193=Weather!B:B),FILTER(Weather!F:F,D193=Weather!C:C,F193=Weather!A:A))"),79.9)</f>
        <v>79.9</v>
      </c>
      <c r="V193" s="15">
        <v>29.216249999999995</v>
      </c>
      <c r="W193" s="15">
        <v>82.43625</v>
      </c>
      <c r="X193" s="25">
        <v>5.422499999999999</v>
      </c>
      <c r="Y193" s="25">
        <v>40.535</v>
      </c>
      <c r="Z193" s="25">
        <v>43.995000000000005</v>
      </c>
      <c r="AA193" s="25">
        <v>29.453333333333333</v>
      </c>
      <c r="AB193" s="25">
        <v>88.70466666666665</v>
      </c>
      <c r="AC193" s="25">
        <v>5.574545454545454</v>
      </c>
      <c r="AD193" s="25">
        <v>33.232727272727274</v>
      </c>
      <c r="AE193" s="25">
        <v>35.72636363636363</v>
      </c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</row>
    <row r="194" ht="15.75" customHeight="1">
      <c r="A194" s="25" t="s">
        <v>47</v>
      </c>
      <c r="B194" s="25" t="s">
        <v>56</v>
      </c>
      <c r="C194" s="30">
        <v>43858.0</v>
      </c>
      <c r="D194" s="25" t="s">
        <v>87</v>
      </c>
      <c r="E194" s="25" t="s">
        <v>121</v>
      </c>
      <c r="F194" s="12" t="str">
        <f>IFERROR(__xludf.DUMMYFUNCTION("FILTER(Stadium!$A$2:$A$61,E194=Stadium!$B$2:$B$61)"),"New Zealand")</f>
        <v>New Zealand</v>
      </c>
      <c r="G194" s="30" t="str">
        <f t="shared" si="3"/>
        <v>W</v>
      </c>
      <c r="H194" s="30" t="str">
        <f t="shared" si="4"/>
        <v>L</v>
      </c>
      <c r="I194" s="22">
        <f t="shared" si="21"/>
        <v>0.8571428571</v>
      </c>
      <c r="J194" s="22">
        <f t="shared" si="22"/>
        <v>0.1428571429</v>
      </c>
      <c r="K194" s="25" t="s">
        <v>72</v>
      </c>
      <c r="L194" s="25">
        <v>180.0</v>
      </c>
      <c r="M194" s="25">
        <v>179.0</v>
      </c>
      <c r="N194" s="25" t="s">
        <v>47</v>
      </c>
      <c r="O194" s="27">
        <f>(1/180)*100</f>
        <v>0.5555555556</v>
      </c>
      <c r="P194" s="25">
        <v>-154.0</v>
      </c>
      <c r="Q194" s="25">
        <v>118.0</v>
      </c>
      <c r="R194" s="25">
        <f t="shared" si="1"/>
        <v>-18</v>
      </c>
      <c r="S194" s="28">
        <f>IFERROR(__xludf.DUMMYFUNCTION("IF(F194=""India"", FILTER(Weather!D:D,D194=Weather!C:C,E194=Weather!B:B), FILTER(Weather!D:D,D194=Weather!C:C,F194=Weather!A:A))"),17.8)</f>
        <v>17.8</v>
      </c>
      <c r="T194" s="28">
        <f>IFERROR(__xludf.DUMMYFUNCTION("IF(F194=""India"", FILTER(Weather!E:E,D194=Weather!C:C,E194=Weather!B:B),FILTER(Weather!E:E,D194=Weather!C:C,F194=Weather!A:A))"),10.8)</f>
        <v>10.8</v>
      </c>
      <c r="U194" s="28">
        <f>IFERROR(__xludf.DUMMYFUNCTION("IF(F194=""India"", FILTER(Weather!F:F,D194=Weather!C:C,E194=Weather!B:B),FILTER(Weather!F:F,D194=Weather!C:C,F194=Weather!A:A))"),79.9)</f>
        <v>79.9</v>
      </c>
      <c r="V194" s="15">
        <v>29.216249999999995</v>
      </c>
      <c r="W194" s="15">
        <v>82.43625</v>
      </c>
      <c r="X194" s="25">
        <v>5.422499999999999</v>
      </c>
      <c r="Y194" s="25">
        <v>40.535</v>
      </c>
      <c r="Z194" s="25">
        <v>43.995000000000005</v>
      </c>
      <c r="AA194" s="25">
        <v>29.453333333333333</v>
      </c>
      <c r="AB194" s="25">
        <v>88.70466666666665</v>
      </c>
      <c r="AC194" s="25">
        <v>5.574545454545454</v>
      </c>
      <c r="AD194" s="25">
        <v>33.232727272727274</v>
      </c>
      <c r="AE194" s="25">
        <v>35.72636363636363</v>
      </c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</row>
    <row r="195" ht="15.75" customHeight="1">
      <c r="A195" s="25" t="s">
        <v>47</v>
      </c>
      <c r="B195" s="25" t="s">
        <v>56</v>
      </c>
      <c r="C195" s="30">
        <v>43855.0</v>
      </c>
      <c r="D195" s="25" t="s">
        <v>87</v>
      </c>
      <c r="E195" s="25" t="s">
        <v>119</v>
      </c>
      <c r="F195" s="12" t="str">
        <f>IFERROR(__xludf.DUMMYFUNCTION("FILTER(Stadium!$A$2:$A$61,E195=Stadium!$B$2:$B$61)"),"New Zealand")</f>
        <v>New Zealand</v>
      </c>
      <c r="G195" s="30" t="str">
        <f t="shared" si="3"/>
        <v>W</v>
      </c>
      <c r="H195" s="30" t="str">
        <f t="shared" si="4"/>
        <v>L</v>
      </c>
      <c r="I195" s="22">
        <f t="shared" si="21"/>
        <v>0.8571428571</v>
      </c>
      <c r="J195" s="22">
        <f t="shared" si="22"/>
        <v>0.1428571429</v>
      </c>
      <c r="K195" s="25" t="s">
        <v>72</v>
      </c>
      <c r="L195" s="25">
        <v>135.0</v>
      </c>
      <c r="M195" s="25">
        <v>132.0</v>
      </c>
      <c r="N195" s="25" t="s">
        <v>47</v>
      </c>
      <c r="O195" s="27">
        <v>70.0</v>
      </c>
      <c r="P195" s="25">
        <v>-156.0</v>
      </c>
      <c r="Q195" s="25">
        <v>117.0</v>
      </c>
      <c r="R195" s="25">
        <f t="shared" si="1"/>
        <v>-19.5</v>
      </c>
      <c r="S195" s="28">
        <f>IFERROR(__xludf.DUMMYFUNCTION("IF(F195=""India"", FILTER(Weather!D:D,D195=Weather!C:C,E195=Weather!B:B), FILTER(Weather!D:D,D195=Weather!C:C,F195=Weather!A:A))"),17.8)</f>
        <v>17.8</v>
      </c>
      <c r="T195" s="28">
        <f>IFERROR(__xludf.DUMMYFUNCTION("IF(F195=""India"", FILTER(Weather!E:E,D195=Weather!C:C,E195=Weather!B:B),FILTER(Weather!E:E,D195=Weather!C:C,F195=Weather!A:A))"),10.8)</f>
        <v>10.8</v>
      </c>
      <c r="U195" s="28">
        <f>IFERROR(__xludf.DUMMYFUNCTION("IF(F195=""India"", FILTER(Weather!F:F,D195=Weather!C:C,E195=Weather!B:B),FILTER(Weather!F:F,D195=Weather!C:C,F195=Weather!A:A))"),79.9)</f>
        <v>79.9</v>
      </c>
      <c r="V195" s="15">
        <v>29.216249999999995</v>
      </c>
      <c r="W195" s="15">
        <v>82.43625</v>
      </c>
      <c r="X195" s="25">
        <v>5.422499999999999</v>
      </c>
      <c r="Y195" s="25">
        <v>40.535</v>
      </c>
      <c r="Z195" s="25">
        <v>43.995000000000005</v>
      </c>
      <c r="AA195" s="25">
        <v>29.453333333333333</v>
      </c>
      <c r="AB195" s="25">
        <v>88.70466666666665</v>
      </c>
      <c r="AC195" s="25">
        <v>5.574545454545454</v>
      </c>
      <c r="AD195" s="25">
        <v>33.232727272727274</v>
      </c>
      <c r="AE195" s="25">
        <v>35.72636363636363</v>
      </c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</row>
    <row r="196" ht="15.75" hidden="1" customHeight="1">
      <c r="A196" s="25" t="s">
        <v>59</v>
      </c>
      <c r="B196" s="25" t="s">
        <v>61</v>
      </c>
      <c r="C196" s="30">
        <v>43855.0</v>
      </c>
      <c r="D196" s="25" t="s">
        <v>87</v>
      </c>
      <c r="E196" s="25" t="s">
        <v>80</v>
      </c>
      <c r="F196" s="12" t="str">
        <f>IFERROR(__xludf.DUMMYFUNCTION("FILTER(Stadium!$A$2:$A$61,E196=Stadium!$B$2:$B$61)"),"Pakistan")</f>
        <v>Pakistan</v>
      </c>
      <c r="G196" s="30" t="str">
        <f t="shared" si="3"/>
        <v>W</v>
      </c>
      <c r="H196" s="30" t="str">
        <f t="shared" si="4"/>
        <v>L</v>
      </c>
      <c r="I196" s="24">
        <f>VLOOKUP(A196, 'WL Ratio Table'!$A$6:$D$8, 4, FALSE)</f>
        <v>1</v>
      </c>
      <c r="J196" s="24">
        <f>VLOOKUP(B196, 'WL Ratio Table'!$A$6:$D$9, 4, FALSE)</f>
        <v>0.5416666667</v>
      </c>
      <c r="K196" s="25" t="s">
        <v>72</v>
      </c>
      <c r="L196" s="25">
        <v>137.0</v>
      </c>
      <c r="M196" s="25">
        <v>136.0</v>
      </c>
      <c r="N196" s="25" t="s">
        <v>59</v>
      </c>
      <c r="O196" s="27">
        <v>90.0</v>
      </c>
      <c r="P196" s="25">
        <v>-323.0</v>
      </c>
      <c r="Q196" s="25">
        <v>234.0</v>
      </c>
      <c r="R196" s="25">
        <f t="shared" si="1"/>
        <v>-44.5</v>
      </c>
      <c r="S196" s="28">
        <f>IFERROR(__xludf.DUMMYFUNCTION("IF(F196=""India"", FILTER(Weather!D:D,D196=Weather!C:C,E196=Weather!B:B), FILTER(Weather!D:D,D196=Weather!C:C,F196=Weather!A:A))"),16.4)</f>
        <v>16.4</v>
      </c>
      <c r="T196" s="28">
        <f>IFERROR(__xludf.DUMMYFUNCTION("IF(F196=""India"", FILTER(Weather!E:E,D196=Weather!C:C,E196=Weather!B:B),FILTER(Weather!E:E,D196=Weather!C:C,F196=Weather!A:A))"),5.3)</f>
        <v>5.3</v>
      </c>
      <c r="U196" s="28">
        <f>IFERROR(__xludf.DUMMYFUNCTION("IF(F196=""India"", FILTER(Weather!F:F,D196=Weather!C:C,E196=Weather!B:B),FILTER(Weather!F:F,D196=Weather!C:C,F196=Weather!A:A))"),20.0)</f>
        <v>20</v>
      </c>
      <c r="V196" s="25">
        <v>28.993333333333332</v>
      </c>
      <c r="W196" s="25">
        <v>91.364</v>
      </c>
      <c r="X196" s="25">
        <v>5.425454545454545</v>
      </c>
      <c r="Y196" s="25">
        <v>46.032727272727264</v>
      </c>
      <c r="Z196" s="25">
        <v>51.62</v>
      </c>
      <c r="AA196" s="25">
        <v>21.11625</v>
      </c>
      <c r="AB196" s="25">
        <v>78.83125</v>
      </c>
      <c r="AC196" s="25">
        <v>5.192727272727272</v>
      </c>
      <c r="AD196" s="25">
        <v>33.17</v>
      </c>
      <c r="AE196" s="25">
        <v>38.899090909090894</v>
      </c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</row>
    <row r="197" ht="15.75" hidden="1" customHeight="1">
      <c r="A197" s="25" t="s">
        <v>59</v>
      </c>
      <c r="B197" s="25" t="s">
        <v>61</v>
      </c>
      <c r="C197" s="30">
        <v>43854.0</v>
      </c>
      <c r="D197" s="25" t="s">
        <v>87</v>
      </c>
      <c r="E197" s="25" t="s">
        <v>80</v>
      </c>
      <c r="F197" s="12" t="str">
        <f>IFERROR(__xludf.DUMMYFUNCTION("FILTER(Stadium!$A$2:$A$61,E197=Stadium!$B$2:$B$61)"),"Pakistan")</f>
        <v>Pakistan</v>
      </c>
      <c r="G197" s="30" t="str">
        <f t="shared" si="3"/>
        <v>W</v>
      </c>
      <c r="H197" s="30" t="str">
        <f t="shared" si="4"/>
        <v>L</v>
      </c>
      <c r="I197" s="24">
        <f>VLOOKUP(A197, 'WL Ratio Table'!$A$6:$D$8, 4, FALSE)</f>
        <v>1</v>
      </c>
      <c r="J197" s="24">
        <f>VLOOKUP(B197, 'WL Ratio Table'!$A$6:$D$9, 4, FALSE)</f>
        <v>0.5416666667</v>
      </c>
      <c r="K197" s="25" t="s">
        <v>72</v>
      </c>
      <c r="L197" s="25">
        <v>142.0</v>
      </c>
      <c r="M197" s="25">
        <v>141.0</v>
      </c>
      <c r="N197" s="25" t="s">
        <v>59</v>
      </c>
      <c r="O197" s="27">
        <v>50.0</v>
      </c>
      <c r="P197" s="25">
        <v>-286.0</v>
      </c>
      <c r="Q197" s="25">
        <v>214.0</v>
      </c>
      <c r="R197" s="25">
        <f t="shared" si="1"/>
        <v>-36</v>
      </c>
      <c r="S197" s="28">
        <f>IFERROR(__xludf.DUMMYFUNCTION("IF(F197=""India"", FILTER(Weather!D:D,D197=Weather!C:C,E197=Weather!B:B), FILTER(Weather!D:D,D197=Weather!C:C,F197=Weather!A:A))"),16.4)</f>
        <v>16.4</v>
      </c>
      <c r="T197" s="28">
        <f>IFERROR(__xludf.DUMMYFUNCTION("IF(F197=""India"", FILTER(Weather!E:E,D197=Weather!C:C,E197=Weather!B:B),FILTER(Weather!E:E,D197=Weather!C:C,F197=Weather!A:A))"),5.3)</f>
        <v>5.3</v>
      </c>
      <c r="U197" s="28">
        <f>IFERROR(__xludf.DUMMYFUNCTION("IF(F197=""India"", FILTER(Weather!F:F,D197=Weather!C:C,E197=Weather!B:B),FILTER(Weather!F:F,D197=Weather!C:C,F197=Weather!A:A))"),20.0)</f>
        <v>20</v>
      </c>
      <c r="V197" s="25">
        <v>28.993333333333332</v>
      </c>
      <c r="W197" s="25">
        <v>91.364</v>
      </c>
      <c r="X197" s="25">
        <v>5.425454545454545</v>
      </c>
      <c r="Y197" s="25">
        <v>46.032727272727264</v>
      </c>
      <c r="Z197" s="25">
        <v>51.62</v>
      </c>
      <c r="AA197" s="25">
        <v>21.11625</v>
      </c>
      <c r="AB197" s="25">
        <v>78.83125</v>
      </c>
      <c r="AC197" s="25">
        <v>5.192727272727272</v>
      </c>
      <c r="AD197" s="25">
        <v>33.17</v>
      </c>
      <c r="AE197" s="25">
        <v>38.899090909090894</v>
      </c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</row>
    <row r="198" ht="15.75" customHeight="1">
      <c r="A198" s="25" t="s">
        <v>47</v>
      </c>
      <c r="B198" s="25" t="s">
        <v>56</v>
      </c>
      <c r="C198" s="30">
        <v>43853.0</v>
      </c>
      <c r="D198" s="25" t="s">
        <v>87</v>
      </c>
      <c r="E198" s="25" t="s">
        <v>119</v>
      </c>
      <c r="F198" s="12" t="str">
        <f>IFERROR(__xludf.DUMMYFUNCTION("FILTER(Stadium!$A$2:$A$61,E198=Stadium!$B$2:$B$61)"),"New Zealand")</f>
        <v>New Zealand</v>
      </c>
      <c r="G198" s="30" t="str">
        <f t="shared" si="3"/>
        <v>W</v>
      </c>
      <c r="H198" s="30" t="str">
        <f t="shared" si="4"/>
        <v>L</v>
      </c>
      <c r="I198" s="22">
        <f>12/14</f>
        <v>0.8571428571</v>
      </c>
      <c r="J198" s="22">
        <f>2/14</f>
        <v>0.1428571429</v>
      </c>
      <c r="K198" s="25" t="s">
        <v>72</v>
      </c>
      <c r="L198" s="25">
        <v>204.0</v>
      </c>
      <c r="M198" s="25">
        <v>203.0</v>
      </c>
      <c r="N198" s="25" t="s">
        <v>47</v>
      </c>
      <c r="O198" s="27">
        <v>60.0</v>
      </c>
      <c r="P198" s="25">
        <v>-167.0</v>
      </c>
      <c r="Q198" s="25">
        <v>129.0</v>
      </c>
      <c r="R198" s="25">
        <f t="shared" si="1"/>
        <v>-19</v>
      </c>
      <c r="S198" s="28">
        <f>IFERROR(__xludf.DUMMYFUNCTION("IF(F198=""India"", FILTER(Weather!D:D,D198=Weather!C:C,E198=Weather!B:B), FILTER(Weather!D:D,D198=Weather!C:C,F198=Weather!A:A))"),17.8)</f>
        <v>17.8</v>
      </c>
      <c r="T198" s="28">
        <f>IFERROR(__xludf.DUMMYFUNCTION("IF(F198=""India"", FILTER(Weather!E:E,D198=Weather!C:C,E198=Weather!B:B),FILTER(Weather!E:E,D198=Weather!C:C,F198=Weather!A:A))"),10.8)</f>
        <v>10.8</v>
      </c>
      <c r="U198" s="28">
        <f>IFERROR(__xludf.DUMMYFUNCTION("IF(F198=""India"", FILTER(Weather!F:F,D198=Weather!C:C,E198=Weather!B:B),FILTER(Weather!F:F,D198=Weather!C:C,F198=Weather!A:A))"),79.9)</f>
        <v>79.9</v>
      </c>
      <c r="V198" s="15">
        <v>29.216249999999995</v>
      </c>
      <c r="W198" s="15">
        <v>82.43625</v>
      </c>
      <c r="X198" s="25">
        <v>5.422499999999999</v>
      </c>
      <c r="Y198" s="25">
        <v>40.535</v>
      </c>
      <c r="Z198" s="25">
        <v>43.995000000000005</v>
      </c>
      <c r="AA198" s="25">
        <v>29.453333333333333</v>
      </c>
      <c r="AB198" s="25">
        <v>88.70466666666665</v>
      </c>
      <c r="AC198" s="25">
        <v>5.574545454545454</v>
      </c>
      <c r="AD198" s="25">
        <v>33.232727272727274</v>
      </c>
      <c r="AE198" s="25">
        <v>35.72636363636363</v>
      </c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</row>
    <row r="199" ht="15.75" hidden="1" customHeight="1">
      <c r="A199" s="25" t="s">
        <v>47</v>
      </c>
      <c r="B199" s="25" t="s">
        <v>62</v>
      </c>
      <c r="C199" s="30">
        <v>43840.0</v>
      </c>
      <c r="D199" s="25" t="s">
        <v>87</v>
      </c>
      <c r="E199" s="25" t="s">
        <v>90</v>
      </c>
      <c r="F199" s="12" t="str">
        <f>IFERROR(__xludf.DUMMYFUNCTION("FILTER(Stadium!$A$2:$A$61,E199=Stadium!$B$2:$B$61)"),"India")</f>
        <v>India</v>
      </c>
      <c r="G199" s="30" t="str">
        <f t="shared" si="3"/>
        <v>W</v>
      </c>
      <c r="H199" s="30" t="str">
        <f t="shared" si="4"/>
        <v>L</v>
      </c>
      <c r="I199" s="24">
        <v>2.8125</v>
      </c>
      <c r="J199" s="24">
        <f>VLOOKUP(B199, 'WL Ratio Table'!$A$6:$D$9, 4, FALSE)</f>
        <v>0.21875</v>
      </c>
      <c r="K199" s="25" t="s">
        <v>72</v>
      </c>
      <c r="L199" s="25">
        <v>201.0</v>
      </c>
      <c r="M199" s="25">
        <v>123.0</v>
      </c>
      <c r="N199" s="25" t="s">
        <v>47</v>
      </c>
      <c r="O199" s="27">
        <f>(78/201)*100</f>
        <v>38.80597015</v>
      </c>
      <c r="P199" s="25">
        <v>-435.0</v>
      </c>
      <c r="Q199" s="25">
        <v>298.0</v>
      </c>
      <c r="R199" s="25">
        <f t="shared" si="1"/>
        <v>-68.5</v>
      </c>
      <c r="S199" s="28">
        <f>IFERROR(__xludf.DUMMYFUNCTION("IF(F199=""India"", FILTER(Weather!D:D,D199=Weather!C:C,E199=Weather!B:B), FILTER(Weather!D:D,D199=Weather!C:C,F199=Weather!A:A))"),11.2)</f>
        <v>11.2</v>
      </c>
      <c r="T199" s="28">
        <f>IFERROR(__xludf.DUMMYFUNCTION("IF(F199=""India"", FILTER(Weather!E:E,D199=Weather!C:C,E199=Weather!B:B),FILTER(Weather!E:E,D199=Weather!C:C,F199=Weather!A:A))"),1.7)</f>
        <v>1.7</v>
      </c>
      <c r="U199" s="28">
        <f>IFERROR(__xludf.DUMMYFUNCTION("IF(F199=""India"", FILTER(Weather!F:F,D199=Weather!C:C,E199=Weather!B:B),FILTER(Weather!F:F,D199=Weather!C:C,F199=Weather!A:A))"),34.0)</f>
        <v>34</v>
      </c>
      <c r="V199" s="15">
        <v>29.216249999999995</v>
      </c>
      <c r="W199" s="15">
        <v>82.43625</v>
      </c>
      <c r="X199" s="25">
        <v>5.422499999999999</v>
      </c>
      <c r="Y199" s="25">
        <v>40.535</v>
      </c>
      <c r="Z199" s="25">
        <v>43.995000000000005</v>
      </c>
      <c r="AA199" s="25">
        <v>24.878750000000004</v>
      </c>
      <c r="AB199" s="25">
        <v>76.75124999999998</v>
      </c>
      <c r="AC199" s="25">
        <v>5.679166666666667</v>
      </c>
      <c r="AD199" s="25">
        <v>34.49333333333333</v>
      </c>
      <c r="AE199" s="25">
        <v>38.29833333333333</v>
      </c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</row>
    <row r="200" ht="15.75" hidden="1" customHeight="1">
      <c r="A200" s="25" t="s">
        <v>47</v>
      </c>
      <c r="B200" s="25" t="s">
        <v>62</v>
      </c>
      <c r="C200" s="30">
        <v>43837.0</v>
      </c>
      <c r="D200" s="25" t="s">
        <v>87</v>
      </c>
      <c r="E200" s="25" t="s">
        <v>98</v>
      </c>
      <c r="F200" s="12" t="str">
        <f>IFERROR(__xludf.DUMMYFUNCTION("FILTER(Stadium!$A$2:$A$61,E200=Stadium!$B$2:$B$61)"),"India")</f>
        <v>India</v>
      </c>
      <c r="G200" s="30" t="str">
        <f t="shared" si="3"/>
        <v>W</v>
      </c>
      <c r="H200" s="30" t="str">
        <f t="shared" si="4"/>
        <v>L</v>
      </c>
      <c r="I200" s="24">
        <v>2.8125</v>
      </c>
      <c r="J200" s="24">
        <f>VLOOKUP(B200, 'WL Ratio Table'!$A$6:$D$9, 4, FALSE)</f>
        <v>0.21875</v>
      </c>
      <c r="K200" s="25" t="s">
        <v>72</v>
      </c>
      <c r="L200" s="25">
        <v>144.0</v>
      </c>
      <c r="M200" s="25">
        <v>142.0</v>
      </c>
      <c r="N200" s="25" t="s">
        <v>47</v>
      </c>
      <c r="O200" s="27">
        <v>70.0</v>
      </c>
      <c r="P200" s="25">
        <v>-476.0</v>
      </c>
      <c r="Q200" s="25">
        <v>324.0</v>
      </c>
      <c r="R200" s="25">
        <f t="shared" si="1"/>
        <v>-76</v>
      </c>
      <c r="S200" s="28">
        <f>IFERROR(__xludf.DUMMYFUNCTION("IF(F200=""India"", FILTER(Weather!D:D,D200=Weather!C:C,E200=Weather!B:B), FILTER(Weather!D:D,D200=Weather!C:C,F200=Weather!A:A))"),25.8)</f>
        <v>25.8</v>
      </c>
      <c r="T200" s="28">
        <f>IFERROR(__xludf.DUMMYFUNCTION("IF(F200=""India"", FILTER(Weather!E:E,D200=Weather!C:C,E200=Weather!B:B),FILTER(Weather!E:E,D200=Weather!C:C,F200=Weather!A:A))"),15.4)</f>
        <v>15.4</v>
      </c>
      <c r="U200" s="28">
        <f>IFERROR(__xludf.DUMMYFUNCTION("IF(F200=""India"", FILTER(Weather!F:F,D200=Weather!C:C,E200=Weather!B:B),FILTER(Weather!F:F,D200=Weather!C:C,F200=Weather!A:A))"),17.3)</f>
        <v>17.3</v>
      </c>
      <c r="V200" s="15">
        <v>29.216249999999995</v>
      </c>
      <c r="W200" s="15">
        <v>82.43625</v>
      </c>
      <c r="X200" s="25">
        <v>5.422499999999999</v>
      </c>
      <c r="Y200" s="25">
        <v>40.535</v>
      </c>
      <c r="Z200" s="25">
        <v>43.995000000000005</v>
      </c>
      <c r="AA200" s="25">
        <v>24.878750000000004</v>
      </c>
      <c r="AB200" s="25">
        <v>76.75124999999998</v>
      </c>
      <c r="AC200" s="25">
        <v>5.679166666666667</v>
      </c>
      <c r="AD200" s="25">
        <v>34.49333333333333</v>
      </c>
      <c r="AE200" s="25">
        <v>38.29833333333333</v>
      </c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</row>
    <row r="201" ht="15.75" hidden="1" customHeight="1">
      <c r="A201" s="25" t="s">
        <v>47</v>
      </c>
      <c r="B201" s="25" t="s">
        <v>61</v>
      </c>
      <c r="C201" s="30">
        <v>43779.0</v>
      </c>
      <c r="D201" s="25" t="s">
        <v>49</v>
      </c>
      <c r="E201" s="25" t="s">
        <v>100</v>
      </c>
      <c r="F201" s="12" t="str">
        <f>IFERROR(__xludf.DUMMYFUNCTION("FILTER(Stadium!$A$2:$A$61,E201=Stadium!$B$2:$B$61)"),"India")</f>
        <v>India</v>
      </c>
      <c r="G201" s="30" t="str">
        <f t="shared" si="3"/>
        <v>W</v>
      </c>
      <c r="H201" s="30" t="str">
        <f t="shared" si="4"/>
        <v>L</v>
      </c>
      <c r="I201" s="24">
        <v>2.8125</v>
      </c>
      <c r="J201" s="24">
        <f>VLOOKUP(B201, 'WL Ratio Table'!$A$6:$D$9, 4, FALSE)</f>
        <v>0.5416666667</v>
      </c>
      <c r="K201" s="25" t="s">
        <v>72</v>
      </c>
      <c r="L201" s="25">
        <v>174.0</v>
      </c>
      <c r="M201" s="25">
        <v>144.0</v>
      </c>
      <c r="N201" s="25" t="s">
        <v>47</v>
      </c>
      <c r="O201" s="27">
        <f>(30/174)*100</f>
        <v>17.24137931</v>
      </c>
      <c r="P201" s="25">
        <v>-769.0</v>
      </c>
      <c r="Q201" s="25">
        <v>450.0</v>
      </c>
      <c r="R201" s="25">
        <f t="shared" si="1"/>
        <v>-159.5</v>
      </c>
      <c r="S201" s="28">
        <f>IFERROR(__xludf.DUMMYFUNCTION("IF(F201=""India"", FILTER(Weather!D:D,D201=Weather!C:C,E201=Weather!B:B), FILTER(Weather!D:D,D201=Weather!C:C,F201=Weather!A:A))"),29.6)</f>
        <v>29.6</v>
      </c>
      <c r="T201" s="28">
        <f>IFERROR(__xludf.DUMMYFUNCTION("IF(F201=""India"", FILTER(Weather!E:E,D201=Weather!C:C,E201=Weather!B:B),FILTER(Weather!E:E,D201=Weather!C:C,F201=Weather!A:A))"),23.6)</f>
        <v>23.6</v>
      </c>
      <c r="U201" s="28">
        <f>IFERROR(__xludf.DUMMYFUNCTION("IF(F201=""India"", FILTER(Weather!F:F,D201=Weather!C:C,E201=Weather!B:B),FILTER(Weather!F:F,D201=Weather!C:C,F201=Weather!A:A))"),43.9)</f>
        <v>43.9</v>
      </c>
      <c r="V201" s="15">
        <v>29.216249999999995</v>
      </c>
      <c r="W201" s="15">
        <v>82.43625</v>
      </c>
      <c r="X201" s="25">
        <v>5.422499999999999</v>
      </c>
      <c r="Y201" s="25">
        <v>40.535</v>
      </c>
      <c r="Z201" s="25">
        <v>43.995000000000005</v>
      </c>
      <c r="AA201" s="25">
        <v>21.11625</v>
      </c>
      <c r="AB201" s="25">
        <v>78.83125</v>
      </c>
      <c r="AC201" s="25">
        <v>5.192727272727272</v>
      </c>
      <c r="AD201" s="25">
        <v>33.17</v>
      </c>
      <c r="AE201" s="25">
        <v>38.899090909090894</v>
      </c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</row>
    <row r="202" ht="15.75" hidden="1" customHeight="1">
      <c r="A202" s="25" t="s">
        <v>58</v>
      </c>
      <c r="B202" s="25" t="s">
        <v>56</v>
      </c>
      <c r="C202" s="30">
        <v>43778.0</v>
      </c>
      <c r="D202" s="25" t="s">
        <v>49</v>
      </c>
      <c r="E202" s="25" t="s">
        <v>119</v>
      </c>
      <c r="F202" s="12" t="str">
        <f>IFERROR(__xludf.DUMMYFUNCTION("FILTER(Stadium!$A$2:$A$61,E202=Stadium!$B$2:$B$61)"),"New Zealand")</f>
        <v>New Zealand</v>
      </c>
      <c r="G202" s="30" t="str">
        <f t="shared" si="3"/>
        <v>W</v>
      </c>
      <c r="H202" s="30" t="str">
        <f t="shared" si="4"/>
        <v>L</v>
      </c>
      <c r="I202" s="24">
        <f>VLOOKUP(A202, 'WL Ratio Table'!$A$6:$D$8, 4, FALSE)</f>
        <v>1.384615385</v>
      </c>
      <c r="J202" s="24">
        <v>0.75</v>
      </c>
      <c r="K202" s="25" t="s">
        <v>72</v>
      </c>
      <c r="L202" s="25">
        <v>147.0</v>
      </c>
      <c r="M202" s="25">
        <v>146.0</v>
      </c>
      <c r="N202" s="25" t="s">
        <v>58</v>
      </c>
      <c r="O202" s="27">
        <f>(1/147)*100</f>
        <v>0.6802721088</v>
      </c>
      <c r="P202" s="25">
        <v>-108.0</v>
      </c>
      <c r="Q202" s="25">
        <v>-122.0</v>
      </c>
      <c r="R202" s="25">
        <f t="shared" si="1"/>
        <v>-115</v>
      </c>
      <c r="S202" s="28">
        <f>IFERROR(__xludf.DUMMYFUNCTION("IF(F202=""India"", FILTER(Weather!D:D,D202=Weather!C:C,E202=Weather!B:B), FILTER(Weather!D:D,D202=Weather!C:C,F202=Weather!A:A))"),14.5)</f>
        <v>14.5</v>
      </c>
      <c r="T202" s="28">
        <f>IFERROR(__xludf.DUMMYFUNCTION("IF(F202=""India"", FILTER(Weather!E:E,D202=Weather!C:C,E202=Weather!B:B),FILTER(Weather!E:E,D202=Weather!C:C,F202=Weather!A:A))"),9.5)</f>
        <v>9.5</v>
      </c>
      <c r="U202" s="28">
        <f>IFERROR(__xludf.DUMMYFUNCTION("IF(F202=""India"", FILTER(Weather!F:F,D202=Weather!C:C,E202=Weather!B:B),FILTER(Weather!F:F,D202=Weather!C:C,F202=Weather!A:A))"),76.3)</f>
        <v>76.3</v>
      </c>
      <c r="V202" s="25">
        <v>30.137999999999998</v>
      </c>
      <c r="W202" s="25">
        <v>100.968</v>
      </c>
      <c r="X202" s="25">
        <v>5.778333333333333</v>
      </c>
      <c r="Y202" s="25">
        <v>37.89333333333334</v>
      </c>
      <c r="Z202" s="25">
        <v>39.69166666666667</v>
      </c>
      <c r="AA202" s="25">
        <v>29.453333333333333</v>
      </c>
      <c r="AB202" s="25">
        <v>88.70466666666665</v>
      </c>
      <c r="AC202" s="25">
        <v>5.574545454545454</v>
      </c>
      <c r="AD202" s="25">
        <v>33.232727272727274</v>
      </c>
      <c r="AE202" s="25">
        <v>35.72636363636363</v>
      </c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</row>
    <row r="203" ht="15.75" hidden="1" customHeight="1">
      <c r="A203" s="25" t="s">
        <v>56</v>
      </c>
      <c r="B203" s="25" t="s">
        <v>62</v>
      </c>
      <c r="C203" s="30">
        <v>42368.0</v>
      </c>
      <c r="D203" s="25" t="s">
        <v>123</v>
      </c>
      <c r="E203" s="25" t="s">
        <v>119</v>
      </c>
      <c r="F203" s="12" t="str">
        <f>IFERROR(__xludf.DUMMYFUNCTION("FILTER(Stadium!$A$2:$A$61,E203=Stadium!$B$2:$B$61)"),"New Zealand")</f>
        <v>New Zealand</v>
      </c>
      <c r="G203" s="25" t="s">
        <v>51</v>
      </c>
      <c r="H203" s="25" t="s">
        <v>52</v>
      </c>
      <c r="I203" s="24">
        <f>4/5</f>
        <v>0.8</v>
      </c>
      <c r="J203" s="24">
        <f>1/5</f>
        <v>0.2</v>
      </c>
      <c r="K203" s="25" t="s">
        <v>72</v>
      </c>
      <c r="L203" s="25">
        <v>277.0</v>
      </c>
      <c r="M203" s="25">
        <v>278.0</v>
      </c>
      <c r="N203" s="25" t="s">
        <v>62</v>
      </c>
      <c r="O203" s="27">
        <f>(65/167)*100</f>
        <v>38.92215569</v>
      </c>
      <c r="P203" s="25">
        <v>-256.0</v>
      </c>
      <c r="Q203" s="25">
        <v>200.0</v>
      </c>
      <c r="R203" s="25">
        <f t="shared" si="1"/>
        <v>-28</v>
      </c>
      <c r="S203" s="28">
        <f>IFERROR(__xludf.DUMMYFUNCTION("IF(F203=""India"", FILTER(Weather!D:D,D203=Weather!C:C,E203=Weather!B:B), FILTER(Weather!D:D,D203=Weather!C:C,F203=Weather!A:A))"),16.4)</f>
        <v>16.4</v>
      </c>
      <c r="T203" s="28">
        <f>IFERROR(__xludf.DUMMYFUNCTION("IF(F203=""India"", FILTER(Weather!E:E,D203=Weather!C:C,E203=Weather!B:B),FILTER(Weather!E:E,D203=Weather!C:C,F203=Weather!A:A))"),11.0)</f>
        <v>11</v>
      </c>
      <c r="U203" s="28">
        <f>IFERROR(__xludf.DUMMYFUNCTION("IF(F203=""India"", FILTER(Weather!F:F,D203=Weather!C:C,E203=Weather!B:B),FILTER(Weather!F:F,D203=Weather!C:C,F203=Weather!A:A))"),79.6)</f>
        <v>79.6</v>
      </c>
      <c r="V203" s="25">
        <v>29.453333333333333</v>
      </c>
      <c r="W203" s="25">
        <v>88.70466666666665</v>
      </c>
      <c r="X203" s="25">
        <v>5.574545454545454</v>
      </c>
      <c r="Y203" s="25">
        <v>33.232727272727274</v>
      </c>
      <c r="Z203" s="25">
        <v>35.72636363636363</v>
      </c>
      <c r="AA203" s="25">
        <v>24.878750000000004</v>
      </c>
      <c r="AB203" s="25">
        <v>76.75124999999998</v>
      </c>
      <c r="AC203" s="25">
        <v>5.679166666666667</v>
      </c>
      <c r="AD203" s="25">
        <v>34.49333333333333</v>
      </c>
      <c r="AE203" s="25">
        <v>38.29833333333333</v>
      </c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</row>
    <row r="204" ht="15.75" customHeight="1">
      <c r="O204" s="27"/>
    </row>
    <row r="205" ht="15.75" customHeight="1">
      <c r="O205" s="27"/>
    </row>
    <row r="206" ht="15.75" customHeight="1">
      <c r="O206" s="27"/>
    </row>
    <row r="207" ht="15.75" customHeight="1">
      <c r="O207" s="27"/>
    </row>
    <row r="208" ht="15.75" customHeight="1">
      <c r="O208" s="27"/>
    </row>
    <row r="209" ht="15.75" customHeight="1">
      <c r="O209" s="27"/>
    </row>
    <row r="210" ht="15.75" customHeight="1">
      <c r="O210" s="27"/>
    </row>
    <row r="211" ht="15.75" customHeight="1">
      <c r="O211" s="27"/>
    </row>
    <row r="212" ht="15.75" customHeight="1">
      <c r="O212" s="27"/>
    </row>
    <row r="213" ht="15.75" customHeight="1">
      <c r="O213" s="27"/>
    </row>
    <row r="214" ht="15.75" customHeight="1">
      <c r="O214" s="27"/>
    </row>
    <row r="215" ht="15.75" customHeight="1">
      <c r="O215" s="27"/>
    </row>
    <row r="216" ht="15.75" customHeight="1">
      <c r="O216" s="27"/>
    </row>
    <row r="217" ht="15.75" customHeight="1">
      <c r="O217" s="27"/>
    </row>
    <row r="218" ht="15.75" customHeight="1">
      <c r="O218" s="27"/>
    </row>
    <row r="219" ht="15.75" customHeight="1">
      <c r="O219" s="27"/>
    </row>
    <row r="220" ht="15.75" customHeight="1">
      <c r="O220" s="27"/>
    </row>
    <row r="221" ht="15.75" customHeight="1">
      <c r="O221" s="27"/>
    </row>
    <row r="222" ht="15.75" customHeight="1">
      <c r="O222" s="27"/>
    </row>
    <row r="223" ht="15.75" customHeight="1">
      <c r="O223" s="27"/>
    </row>
    <row r="224" ht="15.75" customHeight="1">
      <c r="O224" s="27"/>
    </row>
    <row r="225" ht="15.75" customHeight="1">
      <c r="O225" s="27"/>
    </row>
    <row r="226" ht="15.75" customHeight="1">
      <c r="O226" s="27"/>
    </row>
    <row r="227" ht="15.75" customHeight="1">
      <c r="O227" s="27"/>
    </row>
    <row r="228" ht="15.75" customHeight="1">
      <c r="O228" s="27"/>
    </row>
    <row r="229" ht="15.75" customHeight="1">
      <c r="O229" s="27"/>
    </row>
    <row r="230" ht="15.75" customHeight="1">
      <c r="O230" s="27"/>
    </row>
    <row r="231" ht="15.75" customHeight="1">
      <c r="O231" s="27"/>
    </row>
    <row r="232" ht="15.75" customHeight="1">
      <c r="O232" s="27"/>
    </row>
    <row r="233" ht="15.75" customHeight="1">
      <c r="O233" s="27"/>
    </row>
    <row r="234" ht="15.75" customHeight="1">
      <c r="O234" s="27"/>
    </row>
    <row r="235" ht="15.75" customHeight="1">
      <c r="O235" s="27"/>
    </row>
    <row r="236" ht="15.75" customHeight="1">
      <c r="O236" s="27"/>
    </row>
    <row r="237" ht="15.75" customHeight="1">
      <c r="O237" s="27"/>
    </row>
    <row r="238" ht="15.75" customHeight="1">
      <c r="O238" s="27"/>
    </row>
    <row r="239" ht="15.75" customHeight="1">
      <c r="O239" s="27"/>
    </row>
    <row r="240" ht="15.75" customHeight="1">
      <c r="O240" s="27"/>
    </row>
    <row r="241" ht="15.75" customHeight="1">
      <c r="O241" s="27"/>
    </row>
    <row r="242" ht="15.75" customHeight="1">
      <c r="O242" s="27"/>
    </row>
    <row r="243" ht="15.75" customHeight="1">
      <c r="O243" s="27"/>
    </row>
    <row r="244" ht="15.75" customHeight="1">
      <c r="O244" s="27"/>
    </row>
    <row r="245" ht="15.75" customHeight="1">
      <c r="O245" s="27"/>
    </row>
    <row r="246" ht="15.75" customHeight="1">
      <c r="O246" s="27"/>
    </row>
    <row r="247" ht="15.75" customHeight="1">
      <c r="O247" s="27"/>
    </row>
    <row r="248" ht="15.75" customHeight="1">
      <c r="O248" s="27"/>
    </row>
    <row r="249" ht="15.75" customHeight="1">
      <c r="O249" s="27"/>
    </row>
    <row r="250" ht="15.75" customHeight="1">
      <c r="O250" s="27"/>
    </row>
    <row r="251" ht="15.75" customHeight="1">
      <c r="O251" s="27"/>
    </row>
    <row r="252" ht="15.75" customHeight="1">
      <c r="O252" s="27"/>
    </row>
    <row r="253" ht="15.75" customHeight="1">
      <c r="O253" s="27"/>
    </row>
    <row r="254" ht="15.75" customHeight="1">
      <c r="O254" s="27"/>
    </row>
    <row r="255" ht="15.75" customHeight="1">
      <c r="O255" s="27"/>
    </row>
    <row r="256" ht="15.75" customHeight="1">
      <c r="O256" s="27"/>
    </row>
    <row r="257" ht="15.75" customHeight="1">
      <c r="O257" s="27"/>
    </row>
    <row r="258" ht="15.75" customHeight="1">
      <c r="O258" s="27"/>
    </row>
    <row r="259" ht="15.75" customHeight="1">
      <c r="O259" s="27"/>
    </row>
    <row r="260" ht="15.75" customHeight="1">
      <c r="O260" s="27"/>
    </row>
    <row r="261" ht="15.75" customHeight="1">
      <c r="O261" s="27"/>
    </row>
    <row r="262" ht="15.75" customHeight="1">
      <c r="O262" s="27"/>
    </row>
    <row r="263" ht="15.75" customHeight="1">
      <c r="O263" s="27"/>
    </row>
    <row r="264" ht="15.75" customHeight="1">
      <c r="O264" s="27"/>
    </row>
    <row r="265" ht="15.75" customHeight="1">
      <c r="O265" s="27"/>
    </row>
    <row r="266" ht="15.75" customHeight="1">
      <c r="O266" s="27"/>
    </row>
    <row r="267" ht="15.75" customHeight="1">
      <c r="O267" s="27"/>
    </row>
    <row r="268" ht="15.75" customHeight="1">
      <c r="O268" s="27"/>
    </row>
    <row r="269" ht="15.75" customHeight="1">
      <c r="O269" s="27"/>
    </row>
    <row r="270" ht="15.75" customHeight="1">
      <c r="O270" s="27"/>
    </row>
    <row r="271" ht="15.75" customHeight="1">
      <c r="O271" s="27"/>
    </row>
    <row r="272" ht="15.75" customHeight="1">
      <c r="O272" s="27"/>
    </row>
    <row r="273" ht="15.75" customHeight="1">
      <c r="O273" s="27"/>
    </row>
    <row r="274" ht="15.75" customHeight="1">
      <c r="O274" s="27"/>
    </row>
    <row r="275" ht="15.75" customHeight="1">
      <c r="O275" s="27"/>
    </row>
    <row r="276" ht="15.75" customHeight="1">
      <c r="O276" s="27"/>
    </row>
    <row r="277" ht="15.75" customHeight="1">
      <c r="O277" s="27"/>
    </row>
    <row r="278" ht="15.75" customHeight="1">
      <c r="O278" s="27"/>
    </row>
    <row r="279" ht="15.75" customHeight="1">
      <c r="O279" s="27"/>
    </row>
    <row r="280" ht="15.75" customHeight="1">
      <c r="O280" s="27"/>
    </row>
    <row r="281" ht="15.75" customHeight="1">
      <c r="O281" s="27"/>
    </row>
    <row r="282" ht="15.75" customHeight="1">
      <c r="O282" s="27"/>
    </row>
    <row r="283" ht="15.75" customHeight="1">
      <c r="O283" s="27"/>
    </row>
    <row r="284" ht="15.75" customHeight="1">
      <c r="O284" s="27"/>
    </row>
    <row r="285" ht="15.75" customHeight="1">
      <c r="O285" s="27"/>
    </row>
    <row r="286" ht="15.75" customHeight="1">
      <c r="O286" s="27"/>
    </row>
    <row r="287" ht="15.75" customHeight="1">
      <c r="O287" s="27"/>
    </row>
    <row r="288" ht="15.75" customHeight="1">
      <c r="O288" s="27"/>
    </row>
    <row r="289" ht="15.75" customHeight="1">
      <c r="O289" s="27"/>
    </row>
    <row r="290" ht="15.75" customHeight="1">
      <c r="O290" s="27"/>
    </row>
    <row r="291" ht="15.75" customHeight="1">
      <c r="O291" s="27"/>
    </row>
    <row r="292" ht="15.75" customHeight="1">
      <c r="O292" s="27"/>
    </row>
    <row r="293" ht="15.75" customHeight="1">
      <c r="O293" s="27"/>
    </row>
    <row r="294" ht="15.75" customHeight="1">
      <c r="O294" s="27"/>
    </row>
    <row r="295" ht="15.75" customHeight="1">
      <c r="O295" s="27"/>
    </row>
    <row r="296" ht="15.75" customHeight="1">
      <c r="O296" s="27"/>
    </row>
    <row r="297" ht="15.75" customHeight="1">
      <c r="O297" s="27"/>
    </row>
    <row r="298" ht="15.75" customHeight="1">
      <c r="O298" s="27"/>
    </row>
    <row r="299" ht="15.75" customHeight="1">
      <c r="O299" s="27"/>
    </row>
    <row r="300" ht="15.75" customHeight="1">
      <c r="O300" s="27"/>
    </row>
    <row r="301" ht="15.75" customHeight="1">
      <c r="O301" s="27"/>
    </row>
    <row r="302" ht="15.75" customHeight="1">
      <c r="O302" s="27"/>
    </row>
    <row r="303" ht="15.75" customHeight="1">
      <c r="O303" s="27"/>
    </row>
    <row r="304" ht="15.75" customHeight="1">
      <c r="O304" s="27"/>
    </row>
    <row r="305" ht="15.75" customHeight="1">
      <c r="O305" s="27"/>
    </row>
    <row r="306" ht="15.75" customHeight="1">
      <c r="O306" s="27"/>
    </row>
    <row r="307" ht="15.75" customHeight="1">
      <c r="O307" s="27"/>
    </row>
    <row r="308" ht="15.75" customHeight="1">
      <c r="O308" s="27"/>
    </row>
    <row r="309" ht="15.75" customHeight="1">
      <c r="O309" s="27"/>
    </row>
    <row r="310" ht="15.75" customHeight="1">
      <c r="O310" s="27"/>
    </row>
    <row r="311" ht="15.75" customHeight="1">
      <c r="O311" s="27"/>
    </row>
    <row r="312" ht="15.75" customHeight="1">
      <c r="O312" s="27"/>
    </row>
    <row r="313" ht="15.75" customHeight="1">
      <c r="O313" s="27"/>
    </row>
    <row r="314" ht="15.75" customHeight="1">
      <c r="O314" s="27"/>
    </row>
    <row r="315" ht="15.75" customHeight="1">
      <c r="O315" s="27"/>
    </row>
    <row r="316" ht="15.75" customHeight="1">
      <c r="O316" s="27"/>
    </row>
    <row r="317" ht="15.75" customHeight="1">
      <c r="O317" s="27"/>
    </row>
    <row r="318" ht="15.75" customHeight="1">
      <c r="O318" s="27"/>
    </row>
    <row r="319" ht="15.75" customHeight="1">
      <c r="O319" s="27"/>
    </row>
    <row r="320" ht="15.75" customHeight="1">
      <c r="O320" s="27"/>
    </row>
    <row r="321" ht="15.75" customHeight="1">
      <c r="O321" s="27"/>
    </row>
    <row r="322" ht="15.75" customHeight="1">
      <c r="O322" s="27"/>
    </row>
    <row r="323" ht="15.75" customHeight="1">
      <c r="O323" s="27"/>
    </row>
    <row r="324" ht="15.75" customHeight="1">
      <c r="O324" s="27"/>
    </row>
    <row r="325" ht="15.75" customHeight="1">
      <c r="O325" s="27"/>
    </row>
    <row r="326" ht="15.75" customHeight="1">
      <c r="O326" s="27"/>
    </row>
    <row r="327" ht="15.75" customHeight="1">
      <c r="O327" s="27"/>
    </row>
    <row r="328" ht="15.75" customHeight="1">
      <c r="O328" s="27"/>
    </row>
    <row r="329" ht="15.75" customHeight="1">
      <c r="O329" s="27"/>
    </row>
    <row r="330" ht="15.75" customHeight="1">
      <c r="O330" s="27"/>
    </row>
    <row r="331" ht="15.75" customHeight="1">
      <c r="O331" s="27"/>
    </row>
    <row r="332" ht="15.75" customHeight="1">
      <c r="O332" s="27"/>
    </row>
    <row r="333" ht="15.75" customHeight="1">
      <c r="O333" s="27"/>
    </row>
    <row r="334" ht="15.75" customHeight="1">
      <c r="O334" s="27"/>
    </row>
    <row r="335" ht="15.75" customHeight="1">
      <c r="O335" s="27"/>
    </row>
    <row r="336" ht="15.75" customHeight="1">
      <c r="O336" s="27"/>
    </row>
    <row r="337" ht="15.75" customHeight="1">
      <c r="O337" s="27"/>
    </row>
    <row r="338" ht="15.75" customHeight="1">
      <c r="O338" s="27"/>
    </row>
    <row r="339" ht="15.75" customHeight="1">
      <c r="O339" s="27"/>
    </row>
    <row r="340" ht="15.75" customHeight="1">
      <c r="O340" s="27"/>
    </row>
    <row r="341" ht="15.75" customHeight="1">
      <c r="O341" s="27"/>
    </row>
    <row r="342" ht="15.75" customHeight="1">
      <c r="O342" s="27"/>
    </row>
    <row r="343" ht="15.75" customHeight="1">
      <c r="O343" s="27"/>
    </row>
    <row r="344" ht="15.75" customHeight="1">
      <c r="O344" s="27"/>
    </row>
    <row r="345" ht="15.75" customHeight="1">
      <c r="O345" s="27"/>
    </row>
    <row r="346" ht="15.75" customHeight="1">
      <c r="O346" s="27"/>
    </row>
    <row r="347" ht="15.75" customHeight="1">
      <c r="O347" s="27"/>
    </row>
    <row r="348" ht="15.75" customHeight="1">
      <c r="O348" s="27"/>
    </row>
    <row r="349" ht="15.75" customHeight="1">
      <c r="O349" s="27"/>
    </row>
    <row r="350" ht="15.75" customHeight="1">
      <c r="O350" s="27"/>
    </row>
    <row r="351" ht="15.75" customHeight="1">
      <c r="O351" s="27"/>
    </row>
    <row r="352" ht="15.75" customHeight="1">
      <c r="O352" s="27"/>
    </row>
    <row r="353" ht="15.75" customHeight="1">
      <c r="O353" s="27"/>
    </row>
    <row r="354" ht="15.75" customHeight="1">
      <c r="O354" s="27"/>
    </row>
    <row r="355" ht="15.75" customHeight="1">
      <c r="O355" s="27"/>
    </row>
    <row r="356" ht="15.75" customHeight="1">
      <c r="O356" s="27"/>
    </row>
    <row r="357" ht="15.75" customHeight="1">
      <c r="O357" s="27"/>
    </row>
    <row r="358" ht="15.75" customHeight="1">
      <c r="O358" s="27"/>
    </row>
    <row r="359" ht="15.75" customHeight="1">
      <c r="O359" s="27"/>
    </row>
    <row r="360" ht="15.75" customHeight="1">
      <c r="O360" s="27"/>
    </row>
    <row r="361" ht="15.75" customHeight="1">
      <c r="O361" s="27"/>
    </row>
    <row r="362" ht="15.75" customHeight="1">
      <c r="O362" s="27"/>
    </row>
    <row r="363" ht="15.75" customHeight="1">
      <c r="O363" s="27"/>
    </row>
    <row r="364" ht="15.75" customHeight="1">
      <c r="O364" s="27"/>
    </row>
    <row r="365" ht="15.75" customHeight="1">
      <c r="O365" s="27"/>
    </row>
    <row r="366" ht="15.75" customHeight="1">
      <c r="O366" s="27"/>
    </row>
    <row r="367" ht="15.75" customHeight="1">
      <c r="O367" s="27"/>
    </row>
    <row r="368" ht="15.75" customHeight="1">
      <c r="O368" s="27"/>
    </row>
    <row r="369" ht="15.75" customHeight="1">
      <c r="O369" s="27"/>
    </row>
    <row r="370" ht="15.75" customHeight="1">
      <c r="O370" s="27"/>
    </row>
    <row r="371" ht="15.75" customHeight="1">
      <c r="O371" s="27"/>
    </row>
    <row r="372" ht="15.75" customHeight="1">
      <c r="O372" s="27"/>
    </row>
    <row r="373" ht="15.75" customHeight="1">
      <c r="O373" s="27"/>
    </row>
    <row r="374" ht="15.75" customHeight="1">
      <c r="O374" s="27"/>
    </row>
    <row r="375" ht="15.75" customHeight="1">
      <c r="O375" s="27"/>
    </row>
    <row r="376" ht="15.75" customHeight="1">
      <c r="O376" s="27"/>
    </row>
    <row r="377" ht="15.75" customHeight="1">
      <c r="O377" s="27"/>
    </row>
    <row r="378" ht="15.75" customHeight="1">
      <c r="O378" s="27"/>
    </row>
    <row r="379" ht="15.75" customHeight="1">
      <c r="O379" s="27"/>
    </row>
    <row r="380" ht="15.75" customHeight="1">
      <c r="O380" s="27"/>
    </row>
    <row r="381" ht="15.75" customHeight="1">
      <c r="O381" s="27"/>
    </row>
    <row r="382" ht="15.75" customHeight="1">
      <c r="O382" s="27"/>
    </row>
    <row r="383" ht="15.75" customHeight="1">
      <c r="O383" s="27"/>
    </row>
    <row r="384" ht="15.75" customHeight="1">
      <c r="O384" s="27"/>
    </row>
    <row r="385" ht="15.75" customHeight="1">
      <c r="O385" s="27"/>
    </row>
    <row r="386" ht="15.75" customHeight="1">
      <c r="O386" s="27"/>
    </row>
    <row r="387" ht="15.75" customHeight="1">
      <c r="O387" s="27"/>
    </row>
    <row r="388" ht="15.75" customHeight="1">
      <c r="O388" s="27"/>
    </row>
    <row r="389" ht="15.75" customHeight="1">
      <c r="O389" s="27"/>
    </row>
    <row r="390" ht="15.75" customHeight="1">
      <c r="O390" s="27"/>
    </row>
    <row r="391" ht="15.75" customHeight="1">
      <c r="O391" s="27"/>
    </row>
    <row r="392" ht="15.75" customHeight="1">
      <c r="O392" s="27"/>
    </row>
    <row r="393" ht="15.75" customHeight="1">
      <c r="O393" s="27"/>
    </row>
    <row r="394" ht="15.75" customHeight="1">
      <c r="O394" s="27"/>
    </row>
    <row r="395" ht="15.75" customHeight="1">
      <c r="O395" s="27"/>
    </row>
    <row r="396" ht="15.75" customHeight="1">
      <c r="O396" s="27"/>
    </row>
    <row r="397" ht="15.75" customHeight="1">
      <c r="O397" s="27"/>
    </row>
    <row r="398" ht="15.75" customHeight="1">
      <c r="O398" s="27"/>
    </row>
    <row r="399" ht="15.75" customHeight="1">
      <c r="O399" s="27"/>
    </row>
    <row r="400" ht="15.75" customHeight="1">
      <c r="O400" s="27"/>
    </row>
    <row r="401" ht="15.75" customHeight="1">
      <c r="O401" s="27"/>
    </row>
    <row r="402" ht="15.75" customHeight="1">
      <c r="O402" s="27"/>
    </row>
    <row r="403" ht="15.75" customHeight="1">
      <c r="O403" s="27"/>
    </row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AU$203">
    <filterColumn colId="0">
      <filters>
        <filter val="New Zealand"/>
        <filter val="India"/>
      </filters>
    </filterColumn>
    <filterColumn colId="1">
      <filters>
        <filter val="New Zealand"/>
      </filters>
    </filterColumn>
  </autoFilter>
  <customSheetViews>
    <customSheetView guid="{26C562CA-5C7B-4B93-A386-66678C153D15}" filter="1" showAutoFilter="1">
      <autoFilter ref="$A$1:$R$203">
        <filterColumn colId="4">
          <filters>
            <filter val="Cape Town"/>
            <filter val="Mount Maunganui"/>
            <filter val="Gqeberha"/>
            <filter val="Brisbane"/>
            <filter val="Jaipur"/>
            <filter val="Napier"/>
            <filter val="East London"/>
            <filter val="Wellington"/>
            <filter val="Leeds"/>
            <filter val="Griffith"/>
            <filter val="Abu Dhabi"/>
            <filter val="Paarl"/>
            <filter val="Sharjah"/>
            <filter val="Centurion"/>
            <filter val="Adelaide"/>
            <filter val="Sandton"/>
            <filter val="Auckland"/>
            <filter val="Dubai"/>
            <filter val="Hamilton"/>
            <filter val="Southampton"/>
          </filters>
        </filterColumn>
      </autoFilter>
      <extLst>
        <ext uri="GoogleSheetsCustomDataVersion1">
          <go:sheetsCustomData xmlns:go="http://customooxmlschemas.google.com/" filterViewId="2070774169"/>
        </ext>
      </extLst>
    </customSheetView>
    <customSheetView guid="{A07EF3A1-82D5-4679-A5D0-73F8EDBB3883}" filter="1" showAutoFilter="1">
      <autoFilter ref="$A$1:$T$203">
        <filterColumn colId="0">
          <filters>
            <filter val="Australia"/>
          </filters>
        </filterColumn>
        <filterColumn colId="1">
          <filters>
            <filter val="New Zealand"/>
            <filter val="Australia"/>
          </filters>
        </filterColumn>
      </autoFilter>
      <extLst>
        <ext uri="GoogleSheetsCustomDataVersion1">
          <go:sheetsCustomData xmlns:go="http://customooxmlschemas.google.com/" filterViewId="330691779"/>
        </ext>
      </extLst>
    </customSheetView>
  </customSheetViews>
  <conditionalFormatting sqref="L1:M204 L219:M1005">
    <cfRule type="colorScale" priority="1">
      <colorScale>
        <cfvo type="min"/>
        <cfvo type="max"/>
        <color rgb="FFFFFFFF"/>
        <color rgb="FFFFFFFF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0.88"/>
    <col customWidth="1" min="3" max="5" width="15.88"/>
    <col customWidth="1" min="6" max="6" width="16.25"/>
    <col customWidth="1" min="7" max="7" width="19.25"/>
    <col customWidth="1" min="8" max="10" width="13.5"/>
    <col customWidth="1" min="11" max="11" width="14.38"/>
    <col customWidth="1" min="12" max="12" width="14.0"/>
    <col customWidth="1" min="14" max="14" width="16.5"/>
  </cols>
  <sheetData>
    <row r="1" ht="15.75" customHeight="1">
      <c r="A1" s="2" t="s">
        <v>508</v>
      </c>
      <c r="B1" s="80" t="s">
        <v>130</v>
      </c>
      <c r="C1" s="80" t="s">
        <v>509</v>
      </c>
      <c r="D1" s="84" t="s">
        <v>618</v>
      </c>
      <c r="E1" s="84" t="s">
        <v>511</v>
      </c>
      <c r="F1" s="84" t="s">
        <v>512</v>
      </c>
      <c r="G1" s="81" t="s">
        <v>619</v>
      </c>
      <c r="H1" s="84" t="s">
        <v>620</v>
      </c>
      <c r="I1" s="84" t="s">
        <v>621</v>
      </c>
      <c r="J1" s="84" t="s">
        <v>622</v>
      </c>
      <c r="K1" s="84" t="s">
        <v>623</v>
      </c>
      <c r="L1" s="84" t="s">
        <v>624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5" t="s">
        <v>576</v>
      </c>
      <c r="B2" s="12" t="s">
        <v>572</v>
      </c>
      <c r="C2" s="12" t="s">
        <v>61</v>
      </c>
      <c r="D2" s="85">
        <v>2.6666666666666665</v>
      </c>
      <c r="E2" s="85">
        <v>22.0</v>
      </c>
      <c r="F2" s="85">
        <v>1.3333333333333333</v>
      </c>
      <c r="G2" s="18">
        <v>9.083333333333334</v>
      </c>
      <c r="H2" s="85">
        <v>6.0</v>
      </c>
      <c r="I2" s="85">
        <v>2.0</v>
      </c>
      <c r="J2" s="85">
        <v>0.6666666666666666</v>
      </c>
      <c r="K2" s="85">
        <v>0.6666666666666666</v>
      </c>
      <c r="L2" s="85">
        <v>0.0</v>
      </c>
      <c r="O2" s="12"/>
      <c r="P2" s="12"/>
      <c r="R2" s="12"/>
      <c r="S2" s="12"/>
      <c r="U2" s="12"/>
      <c r="V2" s="12"/>
      <c r="X2" s="12"/>
      <c r="Y2" s="12"/>
    </row>
    <row r="3" ht="15.75" customHeight="1">
      <c r="A3" s="12" t="s">
        <v>576</v>
      </c>
      <c r="B3" s="12" t="s">
        <v>572</v>
      </c>
      <c r="C3" s="12" t="s">
        <v>58</v>
      </c>
      <c r="D3" s="85">
        <v>3.5</v>
      </c>
      <c r="E3" s="85">
        <v>30.0</v>
      </c>
      <c r="F3" s="85">
        <v>0.75</v>
      </c>
      <c r="G3" s="18">
        <v>8.25</v>
      </c>
      <c r="H3" s="85">
        <v>6.5</v>
      </c>
      <c r="I3" s="85">
        <v>1.25</v>
      </c>
      <c r="J3" s="85">
        <v>2.0</v>
      </c>
      <c r="K3" s="85">
        <v>0.0</v>
      </c>
      <c r="L3" s="85">
        <v>0.0</v>
      </c>
      <c r="O3" s="12"/>
      <c r="P3" s="12"/>
      <c r="R3" s="12"/>
      <c r="S3" s="12"/>
      <c r="U3" s="12"/>
      <c r="V3" s="12"/>
      <c r="X3" s="12"/>
      <c r="Y3" s="12"/>
    </row>
    <row r="4" ht="15.75" customHeight="1">
      <c r="A4" s="12" t="s">
        <v>576</v>
      </c>
      <c r="B4" s="12" t="s">
        <v>572</v>
      </c>
      <c r="C4" s="12" t="s">
        <v>47</v>
      </c>
      <c r="D4" s="85">
        <v>3.0</v>
      </c>
      <c r="E4" s="85">
        <v>26.0</v>
      </c>
      <c r="F4" s="85">
        <v>1.5</v>
      </c>
      <c r="G4" s="18">
        <v>8.5</v>
      </c>
      <c r="H4" s="85">
        <v>4.5</v>
      </c>
      <c r="I4" s="85">
        <v>1.5</v>
      </c>
      <c r="J4" s="85">
        <v>1.5</v>
      </c>
      <c r="K4" s="85">
        <v>0.5</v>
      </c>
      <c r="L4" s="85">
        <v>0.0</v>
      </c>
      <c r="O4" s="12"/>
      <c r="P4" s="25"/>
      <c r="R4" s="12"/>
      <c r="S4" s="25"/>
      <c r="U4" s="12"/>
      <c r="V4" s="12"/>
      <c r="X4" s="12"/>
      <c r="Y4" s="12"/>
    </row>
    <row r="5" ht="15.75" customHeight="1">
      <c r="A5" s="12" t="s">
        <v>576</v>
      </c>
      <c r="B5" s="12" t="s">
        <v>572</v>
      </c>
      <c r="C5" s="12" t="s">
        <v>56</v>
      </c>
      <c r="D5" s="85">
        <v>2.5</v>
      </c>
      <c r="E5" s="85">
        <v>27.5</v>
      </c>
      <c r="F5" s="85">
        <v>1.0</v>
      </c>
      <c r="G5" s="18">
        <v>10.58</v>
      </c>
      <c r="H5" s="85">
        <v>2.5</v>
      </c>
      <c r="I5" s="85">
        <v>2.0</v>
      </c>
      <c r="J5" s="85">
        <v>1.5</v>
      </c>
      <c r="K5" s="85">
        <v>0.0</v>
      </c>
      <c r="L5" s="85">
        <v>0.0</v>
      </c>
      <c r="O5" s="12"/>
      <c r="P5" s="25"/>
      <c r="R5" s="12"/>
      <c r="S5" s="25"/>
      <c r="U5" s="12"/>
      <c r="V5" s="12"/>
      <c r="X5" s="12"/>
      <c r="Y5" s="12"/>
    </row>
    <row r="6" ht="15.75" customHeight="1">
      <c r="A6" s="12" t="s">
        <v>576</v>
      </c>
      <c r="B6" s="12" t="s">
        <v>572</v>
      </c>
      <c r="C6" s="12" t="s">
        <v>59</v>
      </c>
      <c r="D6" s="85">
        <v>4.0</v>
      </c>
      <c r="E6" s="85">
        <v>29.0</v>
      </c>
      <c r="F6" s="85">
        <v>1.0</v>
      </c>
      <c r="G6" s="18">
        <v>7.25</v>
      </c>
      <c r="H6" s="85">
        <v>6.0</v>
      </c>
      <c r="I6" s="85">
        <v>2.0</v>
      </c>
      <c r="J6" s="85">
        <v>1.0</v>
      </c>
      <c r="K6" s="85">
        <v>0.0</v>
      </c>
      <c r="L6" s="85">
        <v>0.0</v>
      </c>
      <c r="O6" s="12"/>
      <c r="P6" s="25"/>
      <c r="R6" s="12"/>
      <c r="S6" s="25"/>
      <c r="U6" s="12"/>
      <c r="V6" s="12"/>
      <c r="X6" s="12"/>
      <c r="Y6" s="12"/>
    </row>
    <row r="7" ht="15.75" customHeight="1">
      <c r="A7" s="12" t="s">
        <v>576</v>
      </c>
      <c r="B7" s="12" t="s">
        <v>572</v>
      </c>
      <c r="C7" s="12" t="s">
        <v>54</v>
      </c>
      <c r="D7" s="85">
        <v>3.5</v>
      </c>
      <c r="E7" s="85">
        <v>30.5</v>
      </c>
      <c r="F7" s="85">
        <v>1.0</v>
      </c>
      <c r="G7" s="18">
        <v>9.04</v>
      </c>
      <c r="H7" s="85">
        <v>6.0</v>
      </c>
      <c r="I7" s="85">
        <v>1.5</v>
      </c>
      <c r="J7" s="85">
        <v>1.5</v>
      </c>
      <c r="K7" s="85">
        <v>0.5</v>
      </c>
      <c r="L7" s="85">
        <v>0.0</v>
      </c>
      <c r="O7" s="12"/>
      <c r="P7" s="25"/>
      <c r="R7" s="12"/>
      <c r="S7" s="25"/>
      <c r="U7" s="12"/>
      <c r="V7" s="12"/>
      <c r="X7" s="12"/>
      <c r="Y7" s="12"/>
    </row>
    <row r="8" ht="15.75" customHeight="1">
      <c r="A8" s="12" t="s">
        <v>576</v>
      </c>
      <c r="B8" s="12" t="s">
        <v>572</v>
      </c>
      <c r="C8" s="12" t="s">
        <v>62</v>
      </c>
      <c r="D8" s="85">
        <v>4.0</v>
      </c>
      <c r="E8" s="85">
        <v>22.0</v>
      </c>
      <c r="F8" s="85">
        <v>2.0</v>
      </c>
      <c r="G8" s="18">
        <v>5.5</v>
      </c>
      <c r="H8" s="85">
        <v>9.0</v>
      </c>
      <c r="I8" s="85">
        <v>1.0</v>
      </c>
      <c r="J8" s="85">
        <v>0.5</v>
      </c>
      <c r="K8" s="85">
        <v>0.5</v>
      </c>
      <c r="L8" s="85">
        <v>0.0</v>
      </c>
      <c r="O8" s="12"/>
      <c r="P8" s="25"/>
      <c r="R8" s="12"/>
      <c r="S8" s="25"/>
      <c r="U8" s="12"/>
      <c r="V8" s="12"/>
      <c r="X8" s="12"/>
      <c r="Y8" s="12"/>
    </row>
    <row r="9" ht="15.75" customHeight="1">
      <c r="A9" s="12" t="s">
        <v>579</v>
      </c>
      <c r="B9" s="12" t="s">
        <v>572</v>
      </c>
      <c r="C9" s="12" t="s">
        <v>61</v>
      </c>
      <c r="D9" s="85">
        <v>3.0</v>
      </c>
      <c r="E9" s="85">
        <v>35.0</v>
      </c>
      <c r="F9" s="85">
        <v>0.5</v>
      </c>
      <c r="G9" s="18">
        <v>11.625</v>
      </c>
      <c r="H9" s="85">
        <v>7.0</v>
      </c>
      <c r="I9" s="85">
        <v>3.5</v>
      </c>
      <c r="J9" s="85">
        <v>2.0</v>
      </c>
      <c r="K9" s="85">
        <v>1.5</v>
      </c>
      <c r="L9" s="85">
        <v>0.0</v>
      </c>
    </row>
    <row r="10" ht="15.75" customHeight="1">
      <c r="A10" s="12" t="s">
        <v>579</v>
      </c>
      <c r="B10" s="12" t="s">
        <v>572</v>
      </c>
      <c r="C10" s="12" t="s">
        <v>58</v>
      </c>
      <c r="D10" s="85">
        <v>1.0</v>
      </c>
      <c r="E10" s="85">
        <v>11.0</v>
      </c>
      <c r="F10" s="85">
        <v>0.0</v>
      </c>
      <c r="G10" s="18">
        <v>11.0</v>
      </c>
      <c r="H10" s="85">
        <v>2.0</v>
      </c>
      <c r="I10" s="85">
        <v>2.0</v>
      </c>
      <c r="J10" s="85">
        <v>0.0</v>
      </c>
      <c r="K10" s="85">
        <v>1.0</v>
      </c>
      <c r="L10" s="85">
        <v>0.0</v>
      </c>
    </row>
    <row r="11" ht="15.75" customHeight="1">
      <c r="A11" s="12" t="s">
        <v>579</v>
      </c>
      <c r="B11" s="12" t="s">
        <v>572</v>
      </c>
      <c r="C11" s="12" t="s">
        <v>47</v>
      </c>
      <c r="D11" s="85">
        <v>1.2</v>
      </c>
      <c r="E11" s="85">
        <v>20.0</v>
      </c>
      <c r="F11" s="85">
        <v>0.0</v>
      </c>
      <c r="G11" s="18">
        <v>15.0</v>
      </c>
      <c r="H11" s="85">
        <v>2.0</v>
      </c>
      <c r="I11" s="85">
        <v>3.0</v>
      </c>
      <c r="J11" s="85">
        <v>1.0</v>
      </c>
      <c r="K11" s="85">
        <v>0.0</v>
      </c>
      <c r="L11" s="85">
        <v>0.0</v>
      </c>
    </row>
    <row r="12" ht="15.75" customHeight="1">
      <c r="A12" s="12" t="s">
        <v>579</v>
      </c>
      <c r="B12" s="12" t="s">
        <v>572</v>
      </c>
      <c r="C12" s="12" t="s">
        <v>56</v>
      </c>
      <c r="D12" s="85">
        <v>4.0</v>
      </c>
      <c r="E12" s="85">
        <v>31.0</v>
      </c>
      <c r="F12" s="85">
        <v>1.0</v>
      </c>
      <c r="G12" s="18">
        <v>7.75</v>
      </c>
      <c r="H12" s="85">
        <v>11.5</v>
      </c>
      <c r="I12" s="85">
        <v>4.0</v>
      </c>
      <c r="J12" s="85">
        <v>1.0</v>
      </c>
      <c r="K12" s="85">
        <v>1.0</v>
      </c>
      <c r="L12" s="85">
        <v>0.0</v>
      </c>
    </row>
    <row r="13" ht="15.75" customHeight="1">
      <c r="A13" s="12" t="s">
        <v>579</v>
      </c>
      <c r="B13" s="12" t="s">
        <v>572</v>
      </c>
      <c r="C13" s="12" t="s">
        <v>54</v>
      </c>
      <c r="D13" s="85">
        <v>4.0</v>
      </c>
      <c r="E13" s="85">
        <v>28.0</v>
      </c>
      <c r="F13" s="85">
        <v>4.0</v>
      </c>
      <c r="G13" s="18">
        <v>7.0</v>
      </c>
      <c r="H13" s="85">
        <v>8.0</v>
      </c>
      <c r="I13" s="85">
        <v>4.0</v>
      </c>
      <c r="J13" s="85">
        <v>0.0</v>
      </c>
      <c r="K13" s="85">
        <v>0.0</v>
      </c>
      <c r="L13" s="85">
        <v>0.0</v>
      </c>
    </row>
    <row r="14" ht="15.75" customHeight="1">
      <c r="A14" s="12" t="s">
        <v>579</v>
      </c>
      <c r="B14" s="12" t="s">
        <v>572</v>
      </c>
      <c r="C14" s="12" t="s">
        <v>62</v>
      </c>
      <c r="D14" s="85">
        <v>3.0</v>
      </c>
      <c r="E14" s="85">
        <v>18.0</v>
      </c>
      <c r="F14" s="85">
        <v>0.0</v>
      </c>
      <c r="G14" s="18">
        <v>6.0</v>
      </c>
      <c r="H14" s="85">
        <v>7.0</v>
      </c>
      <c r="I14" s="85">
        <v>2.0</v>
      </c>
      <c r="J14" s="85">
        <v>0.0</v>
      </c>
      <c r="K14" s="85">
        <v>0.0</v>
      </c>
      <c r="L14" s="85">
        <v>0.0</v>
      </c>
    </row>
    <row r="15" ht="15.75" customHeight="1">
      <c r="A15" s="12" t="s">
        <v>484</v>
      </c>
      <c r="B15" s="12" t="s">
        <v>572</v>
      </c>
      <c r="C15" s="12" t="s">
        <v>61</v>
      </c>
      <c r="D15" s="85">
        <v>1.0</v>
      </c>
      <c r="E15" s="85">
        <v>11.0</v>
      </c>
      <c r="F15" s="85">
        <v>0.0</v>
      </c>
      <c r="G15" s="18">
        <v>11.0</v>
      </c>
      <c r="H15" s="85">
        <v>2.0</v>
      </c>
      <c r="I15" s="85">
        <v>2.0</v>
      </c>
      <c r="J15" s="85">
        <v>0.0</v>
      </c>
      <c r="K15" s="85">
        <v>1.0</v>
      </c>
      <c r="L15" s="85">
        <v>0.0</v>
      </c>
      <c r="Q15" s="12"/>
      <c r="R15" s="12"/>
      <c r="T15" s="12"/>
      <c r="U15" s="12"/>
      <c r="W15" s="12"/>
      <c r="X15" s="12"/>
    </row>
    <row r="16" ht="15.75" customHeight="1">
      <c r="A16" s="12" t="s">
        <v>484</v>
      </c>
      <c r="B16" s="12" t="s">
        <v>572</v>
      </c>
      <c r="C16" s="12" t="s">
        <v>58</v>
      </c>
      <c r="D16" s="85">
        <v>4.0</v>
      </c>
      <c r="E16" s="85">
        <v>28.0</v>
      </c>
      <c r="F16" s="85">
        <v>4.0</v>
      </c>
      <c r="G16" s="18">
        <v>7.0</v>
      </c>
      <c r="H16" s="85">
        <v>8.0</v>
      </c>
      <c r="I16" s="85">
        <v>4.0</v>
      </c>
      <c r="J16" s="85">
        <v>0.0</v>
      </c>
      <c r="K16" s="85">
        <v>0.0</v>
      </c>
      <c r="L16" s="85">
        <v>0.0</v>
      </c>
      <c r="W16" s="12"/>
      <c r="X16" s="12"/>
    </row>
    <row r="17" ht="15.75" customHeight="1">
      <c r="A17" s="12" t="s">
        <v>484</v>
      </c>
      <c r="B17" s="12" t="s">
        <v>572</v>
      </c>
      <c r="C17" s="12" t="s">
        <v>47</v>
      </c>
      <c r="D17" s="85">
        <v>1.0</v>
      </c>
      <c r="E17" s="85">
        <v>10.0</v>
      </c>
      <c r="F17" s="85">
        <v>0.0</v>
      </c>
      <c r="G17" s="18">
        <v>10.0</v>
      </c>
      <c r="H17" s="85">
        <v>1.0</v>
      </c>
      <c r="I17" s="85">
        <v>0.0</v>
      </c>
      <c r="J17" s="85">
        <v>1.0</v>
      </c>
      <c r="K17" s="85">
        <v>0.0</v>
      </c>
      <c r="L17" s="85">
        <v>0.0</v>
      </c>
      <c r="W17" s="12"/>
      <c r="X17" s="12"/>
    </row>
    <row r="18" ht="15.75" customHeight="1">
      <c r="A18" s="12" t="s">
        <v>484</v>
      </c>
      <c r="B18" s="12" t="s">
        <v>572</v>
      </c>
      <c r="C18" s="12" t="s">
        <v>56</v>
      </c>
      <c r="D18" s="85">
        <v>4.0</v>
      </c>
      <c r="E18" s="85">
        <v>31.0</v>
      </c>
      <c r="F18" s="85">
        <v>1.0</v>
      </c>
      <c r="G18" s="18">
        <v>7.75</v>
      </c>
      <c r="H18" s="85">
        <v>11.5</v>
      </c>
      <c r="I18" s="85">
        <v>4.0</v>
      </c>
      <c r="J18" s="85">
        <v>1.0</v>
      </c>
      <c r="K18" s="85">
        <v>1.0</v>
      </c>
      <c r="L18" s="85">
        <v>0.0</v>
      </c>
      <c r="W18" s="12"/>
      <c r="X18" s="12"/>
    </row>
    <row r="19" ht="15.75" customHeight="1">
      <c r="A19" s="12" t="s">
        <v>484</v>
      </c>
      <c r="B19" s="12" t="s">
        <v>572</v>
      </c>
      <c r="C19" s="12" t="s">
        <v>59</v>
      </c>
      <c r="D19" s="85">
        <v>4.0</v>
      </c>
      <c r="E19" s="85">
        <v>31.0</v>
      </c>
      <c r="F19" s="85">
        <v>1.0</v>
      </c>
      <c r="G19" s="18">
        <v>7.75</v>
      </c>
      <c r="H19" s="85">
        <v>11.5</v>
      </c>
      <c r="I19" s="85">
        <v>4.0</v>
      </c>
      <c r="J19" s="85">
        <v>1.0</v>
      </c>
      <c r="K19" s="85">
        <v>1.0</v>
      </c>
      <c r="L19" s="85">
        <v>0.0</v>
      </c>
      <c r="W19" s="12"/>
      <c r="X19" s="12"/>
    </row>
    <row r="20" ht="15.75" customHeight="1">
      <c r="A20" s="12" t="s">
        <v>484</v>
      </c>
      <c r="B20" s="12" t="s">
        <v>572</v>
      </c>
      <c r="C20" s="12" t="s">
        <v>54</v>
      </c>
      <c r="D20" s="85">
        <v>3.0</v>
      </c>
      <c r="E20" s="85">
        <v>35.0</v>
      </c>
      <c r="F20" s="85">
        <v>0.5</v>
      </c>
      <c r="G20" s="18">
        <v>11.625</v>
      </c>
      <c r="H20" s="85">
        <v>7.0</v>
      </c>
      <c r="I20" s="85">
        <v>3.5</v>
      </c>
      <c r="J20" s="85">
        <v>2.0</v>
      </c>
      <c r="K20" s="85">
        <v>1.5</v>
      </c>
      <c r="L20" s="85">
        <v>0.0</v>
      </c>
      <c r="W20" s="12"/>
      <c r="X20" s="12"/>
    </row>
    <row r="21" ht="15.75" customHeight="1">
      <c r="A21" s="12" t="s">
        <v>484</v>
      </c>
      <c r="B21" s="12" t="s">
        <v>572</v>
      </c>
      <c r="C21" s="12" t="s">
        <v>62</v>
      </c>
      <c r="D21" s="85">
        <v>2.0</v>
      </c>
      <c r="E21" s="85">
        <v>13.8</v>
      </c>
      <c r="F21" s="85">
        <v>0.6</v>
      </c>
      <c r="G21" s="18">
        <v>6.132</v>
      </c>
      <c r="H21" s="85">
        <v>3.8</v>
      </c>
      <c r="I21" s="85">
        <v>1.2</v>
      </c>
      <c r="J21" s="85">
        <v>0.2</v>
      </c>
      <c r="K21" s="85">
        <v>0.0</v>
      </c>
      <c r="L21" s="85">
        <v>0.0</v>
      </c>
      <c r="W21" s="12"/>
      <c r="X21" s="12"/>
    </row>
    <row r="22" ht="15.75" customHeight="1">
      <c r="A22" s="12" t="s">
        <v>574</v>
      </c>
      <c r="B22" s="12" t="s">
        <v>572</v>
      </c>
      <c r="C22" s="12" t="s">
        <v>61</v>
      </c>
      <c r="D22" s="85">
        <v>4.0</v>
      </c>
      <c r="E22" s="85">
        <v>31.0</v>
      </c>
      <c r="F22" s="85">
        <v>1.0</v>
      </c>
      <c r="G22" s="18">
        <v>7.75</v>
      </c>
      <c r="H22" s="85">
        <v>11.5</v>
      </c>
      <c r="I22" s="85">
        <v>4.0</v>
      </c>
      <c r="J22" s="85">
        <v>1.0</v>
      </c>
      <c r="K22" s="85">
        <v>1.0</v>
      </c>
      <c r="L22" s="85">
        <v>0.0</v>
      </c>
    </row>
    <row r="23" ht="15.75" customHeight="1">
      <c r="A23" s="12" t="s">
        <v>574</v>
      </c>
      <c r="B23" s="12" t="s">
        <v>572</v>
      </c>
      <c r="C23" s="12" t="s">
        <v>58</v>
      </c>
      <c r="D23" s="85">
        <v>1.5</v>
      </c>
      <c r="E23" s="85">
        <v>14.0</v>
      </c>
      <c r="F23" s="85">
        <v>0.0</v>
      </c>
      <c r="G23" s="18">
        <v>8.75</v>
      </c>
      <c r="H23" s="85">
        <v>2.0</v>
      </c>
      <c r="I23" s="85">
        <v>1.0</v>
      </c>
      <c r="J23" s="85">
        <v>0.5</v>
      </c>
      <c r="K23" s="85">
        <v>0.0</v>
      </c>
      <c r="L23" s="85">
        <v>0.0</v>
      </c>
    </row>
    <row r="24" ht="15.75" customHeight="1">
      <c r="A24" s="12" t="s">
        <v>574</v>
      </c>
      <c r="B24" s="12" t="s">
        <v>572</v>
      </c>
      <c r="C24" s="12" t="s">
        <v>47</v>
      </c>
      <c r="D24" s="85">
        <v>1.5</v>
      </c>
      <c r="E24" s="85">
        <v>14.0</v>
      </c>
      <c r="F24" s="85">
        <v>0.0</v>
      </c>
      <c r="G24" s="18">
        <v>8.75</v>
      </c>
      <c r="H24" s="85">
        <v>2.0</v>
      </c>
      <c r="I24" s="85">
        <v>1.0</v>
      </c>
      <c r="J24" s="85">
        <v>0.5</v>
      </c>
      <c r="K24" s="85">
        <v>0.0</v>
      </c>
      <c r="L24" s="85">
        <v>0.0</v>
      </c>
    </row>
    <row r="25" ht="15.75" customHeight="1">
      <c r="A25" s="12" t="s">
        <v>574</v>
      </c>
      <c r="B25" s="12" t="s">
        <v>572</v>
      </c>
      <c r="C25" s="12" t="s">
        <v>56</v>
      </c>
      <c r="D25" s="85">
        <v>4.0</v>
      </c>
      <c r="E25" s="85">
        <v>36.0</v>
      </c>
      <c r="F25" s="85">
        <v>2.0</v>
      </c>
      <c r="G25" s="18">
        <v>9.0</v>
      </c>
      <c r="H25" s="85">
        <v>9.5</v>
      </c>
      <c r="I25" s="85">
        <v>5.0</v>
      </c>
      <c r="J25" s="85">
        <v>1.0</v>
      </c>
      <c r="K25" s="85">
        <v>0.5</v>
      </c>
      <c r="L25" s="85">
        <v>0.0</v>
      </c>
    </row>
    <row r="26" ht="15.75" customHeight="1">
      <c r="A26" s="12" t="s">
        <v>574</v>
      </c>
      <c r="B26" s="12" t="s">
        <v>572</v>
      </c>
      <c r="C26" s="12" t="s">
        <v>59</v>
      </c>
      <c r="D26" s="85">
        <v>4.0</v>
      </c>
      <c r="E26" s="85">
        <v>32.333333333333336</v>
      </c>
      <c r="F26" s="85">
        <v>1.0</v>
      </c>
      <c r="G26" s="18">
        <v>8.083333333333334</v>
      </c>
      <c r="H26" s="85">
        <v>12.0</v>
      </c>
      <c r="I26" s="85">
        <v>3.3333333333333335</v>
      </c>
      <c r="J26" s="85">
        <v>0.6666666666666666</v>
      </c>
      <c r="K26" s="85">
        <v>2.3333333333333335</v>
      </c>
      <c r="L26" s="85">
        <v>0.3333333333333333</v>
      </c>
    </row>
    <row r="27" ht="15.75" customHeight="1">
      <c r="A27" s="12" t="s">
        <v>574</v>
      </c>
      <c r="B27" s="12" t="s">
        <v>572</v>
      </c>
      <c r="C27" s="12" t="s">
        <v>54</v>
      </c>
      <c r="D27" s="85">
        <v>2.5</v>
      </c>
      <c r="E27" s="85">
        <v>29.5</v>
      </c>
      <c r="F27" s="85">
        <v>1.0</v>
      </c>
      <c r="G27" s="18">
        <v>14.875</v>
      </c>
      <c r="H27" s="85">
        <v>5.0</v>
      </c>
      <c r="I27" s="85">
        <v>2.0</v>
      </c>
      <c r="J27" s="85">
        <v>2.5</v>
      </c>
      <c r="K27" s="85">
        <v>0.5</v>
      </c>
      <c r="L27" s="85">
        <v>0.0</v>
      </c>
    </row>
    <row r="28" ht="15.75" customHeight="1">
      <c r="A28" s="12" t="s">
        <v>574</v>
      </c>
      <c r="B28" s="12" t="s">
        <v>572</v>
      </c>
      <c r="C28" s="12" t="s">
        <v>62</v>
      </c>
      <c r="D28" s="85">
        <v>4.0</v>
      </c>
      <c r="E28" s="85">
        <v>32.333333333333336</v>
      </c>
      <c r="F28" s="85">
        <v>1.0</v>
      </c>
      <c r="G28" s="18">
        <v>8.083333333333334</v>
      </c>
      <c r="H28" s="85">
        <v>12.0</v>
      </c>
      <c r="I28" s="85">
        <v>3.3333333333333335</v>
      </c>
      <c r="J28" s="85">
        <v>0.6666666666666666</v>
      </c>
      <c r="K28" s="85">
        <v>2.3333333333333335</v>
      </c>
      <c r="L28" s="85">
        <v>0.3333333333333333</v>
      </c>
    </row>
    <row r="29" ht="15.75" customHeight="1">
      <c r="A29" s="12" t="s">
        <v>593</v>
      </c>
      <c r="B29" s="12" t="s">
        <v>572</v>
      </c>
      <c r="C29" s="12" t="s">
        <v>47</v>
      </c>
      <c r="D29" s="85">
        <v>4.0</v>
      </c>
      <c r="E29" s="85">
        <v>30.0</v>
      </c>
      <c r="F29" s="85">
        <v>3.0</v>
      </c>
      <c r="G29" s="18">
        <v>7.5</v>
      </c>
      <c r="H29" s="85">
        <v>8.0</v>
      </c>
      <c r="I29" s="85">
        <v>3.0</v>
      </c>
      <c r="J29" s="85">
        <v>0.0</v>
      </c>
      <c r="K29" s="85">
        <v>2.0</v>
      </c>
      <c r="L29" s="85">
        <v>0.0</v>
      </c>
      <c r="O29" s="12"/>
      <c r="P29" s="12"/>
      <c r="S29" s="12"/>
      <c r="T29" s="25"/>
    </row>
    <row r="30" ht="15.75" customHeight="1">
      <c r="A30" s="12" t="s">
        <v>593</v>
      </c>
      <c r="B30" s="12" t="s">
        <v>572</v>
      </c>
      <c r="C30" s="12" t="s">
        <v>59</v>
      </c>
      <c r="D30" s="85">
        <v>4.0</v>
      </c>
      <c r="E30" s="85">
        <v>28.0</v>
      </c>
      <c r="F30" s="85">
        <v>4.0</v>
      </c>
      <c r="G30" s="18">
        <v>7.0</v>
      </c>
      <c r="H30" s="85">
        <v>8.0</v>
      </c>
      <c r="I30" s="85">
        <v>4.0</v>
      </c>
      <c r="J30" s="85">
        <v>0.0</v>
      </c>
      <c r="K30" s="85">
        <v>0.0</v>
      </c>
      <c r="L30" s="85">
        <v>0.0</v>
      </c>
    </row>
    <row r="31" ht="15.75" customHeight="1">
      <c r="A31" s="12" t="s">
        <v>593</v>
      </c>
      <c r="B31" s="12" t="s">
        <v>572</v>
      </c>
      <c r="C31" s="12" t="s">
        <v>58</v>
      </c>
      <c r="D31" s="85">
        <v>4.0</v>
      </c>
      <c r="E31" s="85">
        <v>36.0</v>
      </c>
      <c r="F31" s="85">
        <v>2.0</v>
      </c>
      <c r="G31" s="18">
        <v>9.0</v>
      </c>
      <c r="H31" s="85">
        <v>9.5</v>
      </c>
      <c r="I31" s="85">
        <v>5.0</v>
      </c>
      <c r="J31" s="85">
        <v>1.0</v>
      </c>
      <c r="K31" s="85">
        <v>0.5</v>
      </c>
      <c r="L31" s="85">
        <v>0.0</v>
      </c>
    </row>
    <row r="32" ht="15.75" customHeight="1">
      <c r="A32" s="12" t="s">
        <v>593</v>
      </c>
      <c r="B32" s="12" t="s">
        <v>572</v>
      </c>
      <c r="C32" s="12" t="s">
        <v>56</v>
      </c>
      <c r="D32" s="85">
        <v>4.0</v>
      </c>
      <c r="E32" s="85">
        <v>32.333333333333336</v>
      </c>
      <c r="F32" s="85">
        <v>1.0</v>
      </c>
      <c r="G32" s="18">
        <v>8.083333333333334</v>
      </c>
      <c r="H32" s="85">
        <v>12.0</v>
      </c>
      <c r="I32" s="85">
        <v>3.3333333333333335</v>
      </c>
      <c r="J32" s="85">
        <v>0.6666666666666666</v>
      </c>
      <c r="K32" s="85">
        <v>2.3333333333333335</v>
      </c>
      <c r="L32" s="85">
        <v>0.3333333333333333</v>
      </c>
    </row>
    <row r="33" ht="15.75" customHeight="1">
      <c r="A33" s="12" t="s">
        <v>593</v>
      </c>
      <c r="B33" s="12" t="s">
        <v>572</v>
      </c>
      <c r="C33" s="12" t="s">
        <v>61</v>
      </c>
      <c r="D33" s="85">
        <v>2.5</v>
      </c>
      <c r="E33" s="85">
        <v>29.5</v>
      </c>
      <c r="F33" s="85">
        <v>1.0</v>
      </c>
      <c r="G33" s="18">
        <v>14.875</v>
      </c>
      <c r="H33" s="85">
        <v>5.0</v>
      </c>
      <c r="I33" s="85">
        <v>2.0</v>
      </c>
      <c r="J33" s="85">
        <v>2.5</v>
      </c>
      <c r="K33" s="85">
        <v>0.5</v>
      </c>
      <c r="L33" s="85">
        <v>0.0</v>
      </c>
    </row>
    <row r="34" ht="15.75" customHeight="1">
      <c r="A34" s="12" t="s">
        <v>593</v>
      </c>
      <c r="B34" s="12" t="s">
        <v>572</v>
      </c>
      <c r="C34" s="12" t="s">
        <v>54</v>
      </c>
      <c r="D34" s="85">
        <v>4.0</v>
      </c>
      <c r="E34" s="85">
        <v>32.333333333333336</v>
      </c>
      <c r="F34" s="85">
        <v>1.0</v>
      </c>
      <c r="G34" s="18">
        <v>8.083333333333334</v>
      </c>
      <c r="H34" s="85">
        <v>12.0</v>
      </c>
      <c r="I34" s="85">
        <v>3.3333333333333335</v>
      </c>
      <c r="J34" s="85">
        <v>0.6666666666666666</v>
      </c>
      <c r="K34" s="85">
        <v>2.3333333333333335</v>
      </c>
      <c r="L34" s="85">
        <v>0.3333333333333333</v>
      </c>
    </row>
    <row r="35" ht="15.75" customHeight="1">
      <c r="A35" s="12" t="s">
        <v>593</v>
      </c>
      <c r="B35" s="12" t="s">
        <v>572</v>
      </c>
      <c r="C35" s="12" t="s">
        <v>62</v>
      </c>
      <c r="D35" s="85">
        <v>4.0</v>
      </c>
      <c r="E35" s="85">
        <v>30.0</v>
      </c>
      <c r="F35" s="85">
        <v>3.0</v>
      </c>
      <c r="G35" s="18">
        <v>7.5</v>
      </c>
      <c r="H35" s="85">
        <v>8.0</v>
      </c>
      <c r="I35" s="85">
        <v>3.0</v>
      </c>
      <c r="J35" s="85">
        <v>0.0</v>
      </c>
      <c r="K35" s="85">
        <v>2.0</v>
      </c>
      <c r="L35" s="85">
        <v>0.0</v>
      </c>
    </row>
    <row r="36" ht="15.75" customHeight="1">
      <c r="A36" s="12" t="s">
        <v>463</v>
      </c>
      <c r="B36" s="12" t="s">
        <v>572</v>
      </c>
      <c r="C36" s="12" t="s">
        <v>61</v>
      </c>
      <c r="D36" s="85">
        <v>4.0</v>
      </c>
      <c r="E36" s="85">
        <v>32.333333333333336</v>
      </c>
      <c r="F36" s="85">
        <v>1.0</v>
      </c>
      <c r="G36" s="18">
        <v>8.083333333333334</v>
      </c>
      <c r="H36" s="85">
        <v>12.0</v>
      </c>
      <c r="I36" s="85">
        <v>3.3333333333333335</v>
      </c>
      <c r="J36" s="85">
        <v>0.6666666666666666</v>
      </c>
      <c r="K36" s="85">
        <v>2.3333333333333335</v>
      </c>
      <c r="L36" s="85">
        <v>0.3333333333333333</v>
      </c>
    </row>
    <row r="37" ht="15.75" customHeight="1">
      <c r="A37" s="12" t="s">
        <v>463</v>
      </c>
      <c r="B37" s="12" t="s">
        <v>572</v>
      </c>
      <c r="C37" s="12" t="s">
        <v>58</v>
      </c>
      <c r="D37" s="85">
        <v>1.5</v>
      </c>
      <c r="E37" s="85">
        <v>14.0</v>
      </c>
      <c r="F37" s="85">
        <v>0.0</v>
      </c>
      <c r="G37" s="18">
        <v>8.75</v>
      </c>
      <c r="H37" s="85">
        <v>2.0</v>
      </c>
      <c r="I37" s="85">
        <v>1.0</v>
      </c>
      <c r="J37" s="85">
        <v>0.5</v>
      </c>
      <c r="K37" s="85">
        <v>0.0</v>
      </c>
      <c r="L37" s="85">
        <v>0.0</v>
      </c>
    </row>
    <row r="38" ht="15.75" customHeight="1">
      <c r="A38" s="12" t="s">
        <v>463</v>
      </c>
      <c r="B38" s="12" t="s">
        <v>572</v>
      </c>
      <c r="C38" s="12" t="s">
        <v>47</v>
      </c>
      <c r="D38" s="85">
        <v>3.0</v>
      </c>
      <c r="E38" s="85">
        <v>35.0</v>
      </c>
      <c r="F38" s="85">
        <v>0.5</v>
      </c>
      <c r="G38" s="18">
        <v>11.625</v>
      </c>
      <c r="H38" s="85">
        <v>7.0</v>
      </c>
      <c r="I38" s="85">
        <v>3.5</v>
      </c>
      <c r="J38" s="85">
        <v>2.0</v>
      </c>
      <c r="K38" s="85">
        <v>1.5</v>
      </c>
      <c r="L38" s="85">
        <v>0.0</v>
      </c>
    </row>
    <row r="39" ht="15.75" customHeight="1">
      <c r="A39" s="12" t="s">
        <v>463</v>
      </c>
      <c r="B39" s="12" t="s">
        <v>572</v>
      </c>
      <c r="C39" s="12" t="s">
        <v>56</v>
      </c>
      <c r="D39" s="85">
        <v>4.0</v>
      </c>
      <c r="E39" s="85">
        <v>30.0</v>
      </c>
      <c r="F39" s="85">
        <v>3.0</v>
      </c>
      <c r="G39" s="18">
        <v>7.5</v>
      </c>
      <c r="H39" s="85">
        <v>8.0</v>
      </c>
      <c r="I39" s="85">
        <v>3.0</v>
      </c>
      <c r="J39" s="85">
        <v>0.0</v>
      </c>
      <c r="K39" s="85">
        <v>2.0</v>
      </c>
      <c r="L39" s="85">
        <v>0.0</v>
      </c>
    </row>
    <row r="40" ht="15.75" customHeight="1">
      <c r="A40" s="12" t="s">
        <v>463</v>
      </c>
      <c r="B40" s="12" t="s">
        <v>572</v>
      </c>
      <c r="C40" s="12" t="s">
        <v>59</v>
      </c>
      <c r="D40" s="85">
        <v>4.0</v>
      </c>
      <c r="E40" s="85">
        <v>28.0</v>
      </c>
      <c r="F40" s="85">
        <v>4.0</v>
      </c>
      <c r="G40" s="18">
        <v>7.0</v>
      </c>
      <c r="H40" s="85">
        <v>8.0</v>
      </c>
      <c r="I40" s="85">
        <v>4.0</v>
      </c>
      <c r="J40" s="85">
        <v>0.0</v>
      </c>
      <c r="K40" s="85">
        <v>0.0</v>
      </c>
      <c r="L40" s="85">
        <v>0.0</v>
      </c>
    </row>
    <row r="41" ht="15.75" customHeight="1">
      <c r="A41" s="12" t="s">
        <v>463</v>
      </c>
      <c r="B41" s="12" t="s">
        <v>572</v>
      </c>
      <c r="C41" s="12" t="s">
        <v>54</v>
      </c>
      <c r="D41" s="85">
        <v>3.0</v>
      </c>
      <c r="E41" s="85">
        <v>18.0</v>
      </c>
      <c r="F41" s="85">
        <v>1.5</v>
      </c>
      <c r="G41" s="18">
        <v>5.75</v>
      </c>
      <c r="H41" s="85">
        <v>7.5</v>
      </c>
      <c r="I41" s="85">
        <v>0.5</v>
      </c>
      <c r="J41" s="85">
        <v>1.0</v>
      </c>
      <c r="K41" s="85">
        <v>0.0</v>
      </c>
      <c r="L41" s="85">
        <v>0.0</v>
      </c>
    </row>
    <row r="42" ht="15.75" customHeight="1">
      <c r="A42" s="12" t="s">
        <v>463</v>
      </c>
      <c r="B42" s="12" t="s">
        <v>572</v>
      </c>
      <c r="C42" s="12" t="s">
        <v>62</v>
      </c>
      <c r="D42" s="85">
        <v>4.0</v>
      </c>
      <c r="E42" s="85">
        <v>31.0</v>
      </c>
      <c r="F42" s="85">
        <v>1.0</v>
      </c>
      <c r="G42" s="18">
        <v>7.75</v>
      </c>
      <c r="H42" s="85">
        <v>11.5</v>
      </c>
      <c r="I42" s="85">
        <v>4.0</v>
      </c>
      <c r="J42" s="85">
        <v>1.0</v>
      </c>
      <c r="K42" s="85">
        <v>1.0</v>
      </c>
      <c r="L42" s="85">
        <v>0.0</v>
      </c>
    </row>
    <row r="43" ht="15.75" customHeight="1">
      <c r="A43" s="12" t="s">
        <v>505</v>
      </c>
      <c r="B43" s="12" t="s">
        <v>61</v>
      </c>
      <c r="C43" s="12" t="s">
        <v>572</v>
      </c>
      <c r="D43" s="85">
        <v>1.0</v>
      </c>
      <c r="E43" s="85">
        <v>7.0</v>
      </c>
      <c r="F43" s="85">
        <v>0.0</v>
      </c>
      <c r="G43" s="18">
        <v>7.0</v>
      </c>
      <c r="H43" s="85">
        <v>1.0</v>
      </c>
      <c r="I43" s="85">
        <v>0.0</v>
      </c>
      <c r="J43" s="85">
        <v>0.0</v>
      </c>
      <c r="K43" s="85">
        <v>1.0</v>
      </c>
      <c r="L43" s="85">
        <v>0.0</v>
      </c>
    </row>
    <row r="44" ht="15.75" customHeight="1">
      <c r="A44" s="12" t="s">
        <v>505</v>
      </c>
      <c r="B44" s="12" t="s">
        <v>61</v>
      </c>
      <c r="C44" s="12" t="s">
        <v>58</v>
      </c>
      <c r="D44" s="85">
        <v>1.0</v>
      </c>
      <c r="E44" s="85">
        <v>7.0</v>
      </c>
      <c r="F44" s="85">
        <v>0.0</v>
      </c>
      <c r="G44" s="18">
        <v>7.0</v>
      </c>
      <c r="H44" s="85">
        <v>1.0</v>
      </c>
      <c r="I44" s="85">
        <v>0.0</v>
      </c>
      <c r="J44" s="85">
        <v>0.0</v>
      </c>
      <c r="K44" s="85">
        <v>1.0</v>
      </c>
      <c r="L44" s="85">
        <v>0.0</v>
      </c>
    </row>
    <row r="45" ht="15.75" customHeight="1">
      <c r="A45" s="12" t="s">
        <v>505</v>
      </c>
      <c r="B45" s="12" t="s">
        <v>61</v>
      </c>
      <c r="C45" s="12" t="s">
        <v>47</v>
      </c>
      <c r="D45" s="85">
        <v>1.0</v>
      </c>
      <c r="E45" s="85">
        <v>7.0</v>
      </c>
      <c r="F45" s="85">
        <v>0.0</v>
      </c>
      <c r="G45" s="18">
        <v>7.0</v>
      </c>
      <c r="H45" s="85">
        <v>1.0</v>
      </c>
      <c r="I45" s="85">
        <v>0.0</v>
      </c>
      <c r="J45" s="85">
        <v>0.0</v>
      </c>
      <c r="K45" s="85">
        <v>1.0</v>
      </c>
      <c r="L45" s="85">
        <v>0.0</v>
      </c>
    </row>
    <row r="46" ht="15.75" customHeight="1">
      <c r="A46" s="12" t="s">
        <v>505</v>
      </c>
      <c r="B46" s="12" t="s">
        <v>61</v>
      </c>
      <c r="C46" s="12" t="s">
        <v>56</v>
      </c>
      <c r="D46" s="85">
        <v>1.0</v>
      </c>
      <c r="E46" s="85">
        <v>7.0</v>
      </c>
      <c r="F46" s="85">
        <v>0.0</v>
      </c>
      <c r="G46" s="18">
        <v>7.0</v>
      </c>
      <c r="H46" s="85">
        <v>1.0</v>
      </c>
      <c r="I46" s="85">
        <v>0.0</v>
      </c>
      <c r="J46" s="85">
        <v>0.0</v>
      </c>
      <c r="K46" s="85">
        <v>1.0</v>
      </c>
      <c r="L46" s="85">
        <v>0.0</v>
      </c>
    </row>
    <row r="47" ht="15.75" customHeight="1">
      <c r="A47" s="12" t="s">
        <v>505</v>
      </c>
      <c r="B47" s="12" t="s">
        <v>61</v>
      </c>
      <c r="C47" s="12" t="s">
        <v>59</v>
      </c>
      <c r="D47" s="85">
        <v>1.0</v>
      </c>
      <c r="E47" s="85">
        <v>7.0</v>
      </c>
      <c r="F47" s="85">
        <v>0.0</v>
      </c>
      <c r="G47" s="18">
        <v>7.0</v>
      </c>
      <c r="H47" s="85">
        <v>1.0</v>
      </c>
      <c r="I47" s="85">
        <v>0.0</v>
      </c>
      <c r="J47" s="85">
        <v>0.0</v>
      </c>
      <c r="K47" s="85">
        <v>1.0</v>
      </c>
      <c r="L47" s="85">
        <v>0.0</v>
      </c>
    </row>
    <row r="48" ht="15.75" customHeight="1">
      <c r="A48" s="12" t="s">
        <v>505</v>
      </c>
      <c r="B48" s="12" t="s">
        <v>61</v>
      </c>
      <c r="C48" s="12" t="s">
        <v>54</v>
      </c>
      <c r="D48" s="85">
        <v>1.0</v>
      </c>
      <c r="E48" s="85">
        <v>7.0</v>
      </c>
      <c r="F48" s="85">
        <v>0.0</v>
      </c>
      <c r="G48" s="18">
        <v>7.0</v>
      </c>
      <c r="H48" s="85">
        <v>1.0</v>
      </c>
      <c r="I48" s="85">
        <v>0.0</v>
      </c>
      <c r="J48" s="85">
        <v>0.0</v>
      </c>
      <c r="K48" s="85">
        <v>1.0</v>
      </c>
      <c r="L48" s="85">
        <v>0.0</v>
      </c>
    </row>
    <row r="49" ht="15.75" customHeight="1">
      <c r="A49" s="12" t="s">
        <v>505</v>
      </c>
      <c r="B49" s="12" t="s">
        <v>61</v>
      </c>
      <c r="C49" s="12" t="s">
        <v>62</v>
      </c>
      <c r="D49" s="85">
        <v>1.0</v>
      </c>
      <c r="E49" s="85">
        <v>7.0</v>
      </c>
      <c r="F49" s="85">
        <v>0.0</v>
      </c>
      <c r="G49" s="18">
        <v>7.0</v>
      </c>
      <c r="H49" s="85">
        <v>1.0</v>
      </c>
      <c r="I49" s="85">
        <v>0.0</v>
      </c>
      <c r="J49" s="85">
        <v>0.0</v>
      </c>
      <c r="K49" s="85">
        <v>1.0</v>
      </c>
      <c r="L49" s="85">
        <v>0.0</v>
      </c>
    </row>
    <row r="50" ht="15.75" customHeight="1">
      <c r="A50" s="12" t="s">
        <v>544</v>
      </c>
      <c r="B50" s="12" t="s">
        <v>61</v>
      </c>
      <c r="C50" s="12" t="s">
        <v>572</v>
      </c>
      <c r="D50" s="85">
        <v>3.0</v>
      </c>
      <c r="E50" s="85">
        <v>18.0</v>
      </c>
      <c r="F50" s="85">
        <v>1.5</v>
      </c>
      <c r="G50" s="18">
        <v>5.75</v>
      </c>
      <c r="H50" s="85">
        <v>7.5</v>
      </c>
      <c r="I50" s="85">
        <v>0.5</v>
      </c>
      <c r="J50" s="85">
        <v>1.0</v>
      </c>
      <c r="K50" s="85">
        <v>0.0</v>
      </c>
      <c r="L50" s="85">
        <v>0.0</v>
      </c>
    </row>
    <row r="51" ht="15.75" customHeight="1">
      <c r="A51" s="12" t="s">
        <v>544</v>
      </c>
      <c r="B51" s="12" t="s">
        <v>61</v>
      </c>
      <c r="C51" s="12" t="s">
        <v>58</v>
      </c>
      <c r="D51" s="85">
        <v>3.0</v>
      </c>
      <c r="E51" s="85">
        <v>18.0</v>
      </c>
      <c r="F51" s="85">
        <v>1.5</v>
      </c>
      <c r="G51" s="18">
        <v>5.75</v>
      </c>
      <c r="H51" s="85">
        <v>7.5</v>
      </c>
      <c r="I51" s="85">
        <v>0.5</v>
      </c>
      <c r="J51" s="85">
        <v>1.0</v>
      </c>
      <c r="K51" s="85">
        <v>0.0</v>
      </c>
      <c r="L51" s="85">
        <v>0.0</v>
      </c>
    </row>
    <row r="52" ht="15.75" customHeight="1">
      <c r="A52" s="12" t="s">
        <v>544</v>
      </c>
      <c r="B52" s="12" t="s">
        <v>61</v>
      </c>
      <c r="C52" s="12" t="s">
        <v>47</v>
      </c>
      <c r="D52" s="85">
        <v>3.0</v>
      </c>
      <c r="E52" s="85">
        <v>18.0</v>
      </c>
      <c r="F52" s="85">
        <v>1.5</v>
      </c>
      <c r="G52" s="18">
        <v>5.75</v>
      </c>
      <c r="H52" s="85">
        <v>7.5</v>
      </c>
      <c r="I52" s="85">
        <v>0.5</v>
      </c>
      <c r="J52" s="85">
        <v>1.0</v>
      </c>
      <c r="K52" s="85">
        <v>0.0</v>
      </c>
      <c r="L52" s="85">
        <v>0.0</v>
      </c>
    </row>
    <row r="53" ht="15.75" customHeight="1">
      <c r="A53" s="12" t="s">
        <v>544</v>
      </c>
      <c r="B53" s="12" t="s">
        <v>61</v>
      </c>
      <c r="C53" s="12" t="s">
        <v>56</v>
      </c>
      <c r="D53" s="85">
        <v>3.0</v>
      </c>
      <c r="E53" s="85">
        <v>18.0</v>
      </c>
      <c r="F53" s="85">
        <v>1.5</v>
      </c>
      <c r="G53" s="18">
        <v>5.75</v>
      </c>
      <c r="H53" s="85">
        <v>7.5</v>
      </c>
      <c r="I53" s="85">
        <v>0.5</v>
      </c>
      <c r="J53" s="85">
        <v>1.0</v>
      </c>
      <c r="K53" s="85">
        <v>0.0</v>
      </c>
      <c r="L53" s="85">
        <v>0.0</v>
      </c>
    </row>
    <row r="54" ht="15.75" customHeight="1">
      <c r="A54" s="12" t="s">
        <v>544</v>
      </c>
      <c r="B54" s="12" t="s">
        <v>61</v>
      </c>
      <c r="C54" s="12" t="s">
        <v>59</v>
      </c>
      <c r="D54" s="85">
        <v>3.0</v>
      </c>
      <c r="E54" s="85">
        <v>18.0</v>
      </c>
      <c r="F54" s="85">
        <v>1.5</v>
      </c>
      <c r="G54" s="18">
        <v>5.75</v>
      </c>
      <c r="H54" s="85">
        <v>7.5</v>
      </c>
      <c r="I54" s="85">
        <v>0.5</v>
      </c>
      <c r="J54" s="85">
        <v>1.0</v>
      </c>
      <c r="K54" s="85">
        <v>0.0</v>
      </c>
      <c r="L54" s="85">
        <v>0.0</v>
      </c>
    </row>
    <row r="55" ht="15.75" customHeight="1">
      <c r="A55" s="12" t="s">
        <v>544</v>
      </c>
      <c r="B55" s="12" t="s">
        <v>61</v>
      </c>
      <c r="C55" s="12" t="s">
        <v>54</v>
      </c>
      <c r="D55" s="85">
        <v>3.0</v>
      </c>
      <c r="E55" s="85">
        <v>18.0</v>
      </c>
      <c r="F55" s="85">
        <v>1.5</v>
      </c>
      <c r="G55" s="18">
        <v>5.75</v>
      </c>
      <c r="H55" s="85">
        <v>7.5</v>
      </c>
      <c r="I55" s="85">
        <v>0.5</v>
      </c>
      <c r="J55" s="85">
        <v>1.0</v>
      </c>
      <c r="K55" s="85">
        <v>0.0</v>
      </c>
      <c r="L55" s="85">
        <v>0.0</v>
      </c>
    </row>
    <row r="56" ht="15.75" customHeight="1">
      <c r="A56" s="12" t="s">
        <v>544</v>
      </c>
      <c r="B56" s="12" t="s">
        <v>61</v>
      </c>
      <c r="C56" s="12" t="s">
        <v>62</v>
      </c>
      <c r="D56" s="85">
        <v>3.0</v>
      </c>
      <c r="E56" s="85">
        <v>18.0</v>
      </c>
      <c r="F56" s="85">
        <v>1.5</v>
      </c>
      <c r="G56" s="18">
        <v>5.75</v>
      </c>
      <c r="H56" s="85">
        <v>7.5</v>
      </c>
      <c r="I56" s="85">
        <v>0.5</v>
      </c>
      <c r="J56" s="85">
        <v>1.0</v>
      </c>
      <c r="K56" s="85">
        <v>0.0</v>
      </c>
      <c r="L56" s="85">
        <v>0.0</v>
      </c>
    </row>
    <row r="57" ht="15.75" customHeight="1">
      <c r="A57" s="12" t="s">
        <v>551</v>
      </c>
      <c r="B57" s="12" t="s">
        <v>61</v>
      </c>
      <c r="C57" s="12" t="s">
        <v>572</v>
      </c>
      <c r="D57" s="85">
        <v>4.0</v>
      </c>
      <c r="E57" s="85">
        <v>12.0</v>
      </c>
      <c r="F57" s="85">
        <v>4.0</v>
      </c>
      <c r="G57" s="18">
        <v>3.0</v>
      </c>
      <c r="H57" s="85">
        <v>13.0</v>
      </c>
      <c r="I57" s="85">
        <v>0.0</v>
      </c>
      <c r="J57" s="85">
        <v>0.0</v>
      </c>
      <c r="K57" s="85">
        <v>0.0</v>
      </c>
      <c r="L57" s="85">
        <v>0.0</v>
      </c>
    </row>
    <row r="58" ht="15.75" customHeight="1">
      <c r="A58" s="12" t="s">
        <v>551</v>
      </c>
      <c r="B58" s="12" t="s">
        <v>61</v>
      </c>
      <c r="C58" s="12" t="s">
        <v>58</v>
      </c>
      <c r="D58" s="85">
        <v>4.0</v>
      </c>
      <c r="E58" s="85">
        <v>12.0</v>
      </c>
      <c r="F58" s="85">
        <v>4.0</v>
      </c>
      <c r="G58" s="18">
        <v>3.0</v>
      </c>
      <c r="H58" s="85">
        <v>13.0</v>
      </c>
      <c r="I58" s="85">
        <v>0.0</v>
      </c>
      <c r="J58" s="85">
        <v>0.0</v>
      </c>
      <c r="K58" s="85">
        <v>0.0</v>
      </c>
      <c r="L58" s="85">
        <v>0.0</v>
      </c>
    </row>
    <row r="59" ht="15.75" customHeight="1">
      <c r="A59" s="12" t="s">
        <v>551</v>
      </c>
      <c r="B59" s="12" t="s">
        <v>61</v>
      </c>
      <c r="C59" s="12" t="s">
        <v>47</v>
      </c>
      <c r="D59" s="85">
        <v>4.0</v>
      </c>
      <c r="E59" s="85">
        <v>12.0</v>
      </c>
      <c r="F59" s="85">
        <v>4.0</v>
      </c>
      <c r="G59" s="18">
        <v>3.0</v>
      </c>
      <c r="H59" s="85">
        <v>13.0</v>
      </c>
      <c r="I59" s="85">
        <v>0.0</v>
      </c>
      <c r="J59" s="85">
        <v>0.0</v>
      </c>
      <c r="K59" s="85">
        <v>0.0</v>
      </c>
      <c r="L59" s="85">
        <v>0.0</v>
      </c>
    </row>
    <row r="60" ht="15.75" customHeight="1">
      <c r="A60" s="12" t="s">
        <v>551</v>
      </c>
      <c r="B60" s="12" t="s">
        <v>61</v>
      </c>
      <c r="C60" s="12" t="s">
        <v>56</v>
      </c>
      <c r="D60" s="85">
        <v>4.0</v>
      </c>
      <c r="E60" s="85">
        <v>12.0</v>
      </c>
      <c r="F60" s="85">
        <v>4.0</v>
      </c>
      <c r="G60" s="18">
        <v>3.0</v>
      </c>
      <c r="H60" s="85">
        <v>13.0</v>
      </c>
      <c r="I60" s="85">
        <v>0.0</v>
      </c>
      <c r="J60" s="85">
        <v>0.0</v>
      </c>
      <c r="K60" s="85">
        <v>0.0</v>
      </c>
      <c r="L60" s="85">
        <v>0.0</v>
      </c>
    </row>
    <row r="61" ht="15.75" customHeight="1">
      <c r="A61" s="12" t="s">
        <v>551</v>
      </c>
      <c r="B61" s="12" t="s">
        <v>61</v>
      </c>
      <c r="C61" s="12" t="s">
        <v>59</v>
      </c>
      <c r="D61" s="85">
        <v>4.0</v>
      </c>
      <c r="E61" s="85">
        <v>12.0</v>
      </c>
      <c r="F61" s="85">
        <v>4.0</v>
      </c>
      <c r="G61" s="18">
        <v>3.0</v>
      </c>
      <c r="H61" s="85">
        <v>13.0</v>
      </c>
      <c r="I61" s="85">
        <v>0.0</v>
      </c>
      <c r="J61" s="85">
        <v>0.0</v>
      </c>
      <c r="K61" s="85">
        <v>0.0</v>
      </c>
      <c r="L61" s="85">
        <v>0.0</v>
      </c>
    </row>
    <row r="62" ht="15.75" customHeight="1">
      <c r="A62" s="12" t="s">
        <v>551</v>
      </c>
      <c r="B62" s="12" t="s">
        <v>61</v>
      </c>
      <c r="C62" s="12" t="s">
        <v>54</v>
      </c>
      <c r="D62" s="85">
        <v>4.0</v>
      </c>
      <c r="E62" s="85">
        <v>12.0</v>
      </c>
      <c r="F62" s="85">
        <v>4.0</v>
      </c>
      <c r="G62" s="18">
        <v>3.0</v>
      </c>
      <c r="H62" s="85">
        <v>13.0</v>
      </c>
      <c r="I62" s="85">
        <v>0.0</v>
      </c>
      <c r="J62" s="85">
        <v>0.0</v>
      </c>
      <c r="K62" s="85">
        <v>0.0</v>
      </c>
      <c r="L62" s="85">
        <v>0.0</v>
      </c>
    </row>
    <row r="63" ht="15.75" customHeight="1">
      <c r="A63" s="12" t="s">
        <v>551</v>
      </c>
      <c r="B63" s="12" t="s">
        <v>61</v>
      </c>
      <c r="C63" s="12" t="s">
        <v>62</v>
      </c>
      <c r="D63" s="85">
        <v>4.0</v>
      </c>
      <c r="E63" s="85">
        <v>12.0</v>
      </c>
      <c r="F63" s="85">
        <v>4.0</v>
      </c>
      <c r="G63" s="18">
        <v>3.0</v>
      </c>
      <c r="H63" s="85">
        <v>13.0</v>
      </c>
      <c r="I63" s="85">
        <v>0.0</v>
      </c>
      <c r="J63" s="85">
        <v>0.0</v>
      </c>
      <c r="K63" s="85">
        <v>0.0</v>
      </c>
      <c r="L63" s="85">
        <v>0.0</v>
      </c>
    </row>
    <row r="64" ht="15.75" customHeight="1">
      <c r="A64" s="12" t="s">
        <v>543</v>
      </c>
      <c r="B64" s="12" t="s">
        <v>61</v>
      </c>
      <c r="C64" s="12" t="s">
        <v>572</v>
      </c>
      <c r="D64" s="85">
        <v>4.0</v>
      </c>
      <c r="E64" s="85">
        <v>26.5</v>
      </c>
      <c r="F64" s="85">
        <v>1.0</v>
      </c>
      <c r="G64" s="18">
        <v>6.625</v>
      </c>
      <c r="H64" s="85">
        <v>13.0</v>
      </c>
      <c r="I64" s="85">
        <v>2.5</v>
      </c>
      <c r="J64" s="85">
        <v>1.0</v>
      </c>
      <c r="K64" s="85">
        <v>2.0</v>
      </c>
      <c r="L64" s="85">
        <v>0.0</v>
      </c>
    </row>
    <row r="65" ht="15.75" customHeight="1">
      <c r="A65" s="12" t="s">
        <v>543</v>
      </c>
      <c r="B65" s="12" t="s">
        <v>61</v>
      </c>
      <c r="C65" s="12" t="s">
        <v>58</v>
      </c>
      <c r="D65" s="85">
        <v>4.0</v>
      </c>
      <c r="E65" s="85">
        <v>26.5</v>
      </c>
      <c r="F65" s="85">
        <v>1.0</v>
      </c>
      <c r="G65" s="18">
        <v>6.625</v>
      </c>
      <c r="H65" s="85">
        <v>13.0</v>
      </c>
      <c r="I65" s="85">
        <v>2.5</v>
      </c>
      <c r="J65" s="85">
        <v>1.0</v>
      </c>
      <c r="K65" s="85">
        <v>2.0</v>
      </c>
      <c r="L65" s="85">
        <v>0.0</v>
      </c>
    </row>
    <row r="66" ht="15.75" customHeight="1">
      <c r="A66" s="12" t="s">
        <v>543</v>
      </c>
      <c r="B66" s="12" t="s">
        <v>61</v>
      </c>
      <c r="C66" s="12" t="s">
        <v>47</v>
      </c>
      <c r="D66" s="85">
        <v>4.0</v>
      </c>
      <c r="E66" s="85">
        <v>26.5</v>
      </c>
      <c r="F66" s="85">
        <v>1.0</v>
      </c>
      <c r="G66" s="18">
        <v>6.625</v>
      </c>
      <c r="H66" s="85">
        <v>13.0</v>
      </c>
      <c r="I66" s="85">
        <v>2.5</v>
      </c>
      <c r="J66" s="85">
        <v>1.0</v>
      </c>
      <c r="K66" s="85">
        <v>2.0</v>
      </c>
      <c r="L66" s="85">
        <v>0.0</v>
      </c>
    </row>
    <row r="67" ht="15.75" customHeight="1">
      <c r="A67" s="12" t="s">
        <v>543</v>
      </c>
      <c r="B67" s="12" t="s">
        <v>61</v>
      </c>
      <c r="C67" s="12" t="s">
        <v>56</v>
      </c>
      <c r="D67" s="85">
        <v>4.0</v>
      </c>
      <c r="E67" s="85">
        <v>26.5</v>
      </c>
      <c r="F67" s="85">
        <v>1.0</v>
      </c>
      <c r="G67" s="18">
        <v>6.625</v>
      </c>
      <c r="H67" s="85">
        <v>13.0</v>
      </c>
      <c r="I67" s="85">
        <v>2.5</v>
      </c>
      <c r="J67" s="85">
        <v>1.0</v>
      </c>
      <c r="K67" s="85">
        <v>2.0</v>
      </c>
      <c r="L67" s="85">
        <v>0.0</v>
      </c>
    </row>
    <row r="68" ht="15.75" customHeight="1">
      <c r="A68" s="12" t="s">
        <v>543</v>
      </c>
      <c r="B68" s="12" t="s">
        <v>61</v>
      </c>
      <c r="C68" s="12" t="s">
        <v>59</v>
      </c>
      <c r="D68" s="85">
        <v>4.0</v>
      </c>
      <c r="E68" s="85">
        <v>26.5</v>
      </c>
      <c r="F68" s="85">
        <v>1.0</v>
      </c>
      <c r="G68" s="18">
        <v>6.625</v>
      </c>
      <c r="H68" s="85">
        <v>13.0</v>
      </c>
      <c r="I68" s="85">
        <v>2.5</v>
      </c>
      <c r="J68" s="85">
        <v>1.0</v>
      </c>
      <c r="K68" s="85">
        <v>2.0</v>
      </c>
      <c r="L68" s="85">
        <v>0.0</v>
      </c>
    </row>
    <row r="69" ht="15.75" customHeight="1">
      <c r="A69" s="12" t="s">
        <v>543</v>
      </c>
      <c r="B69" s="12" t="s">
        <v>61</v>
      </c>
      <c r="C69" s="12" t="s">
        <v>54</v>
      </c>
      <c r="D69" s="85">
        <v>4.0</v>
      </c>
      <c r="E69" s="85">
        <v>26.5</v>
      </c>
      <c r="F69" s="85">
        <v>1.0</v>
      </c>
      <c r="G69" s="18">
        <v>6.625</v>
      </c>
      <c r="H69" s="85">
        <v>13.0</v>
      </c>
      <c r="I69" s="85">
        <v>2.5</v>
      </c>
      <c r="J69" s="85">
        <v>1.0</v>
      </c>
      <c r="K69" s="85">
        <v>2.0</v>
      </c>
      <c r="L69" s="85">
        <v>0.0</v>
      </c>
    </row>
    <row r="70" ht="15.75" customHeight="1">
      <c r="A70" s="12" t="s">
        <v>543</v>
      </c>
      <c r="B70" s="12" t="s">
        <v>61</v>
      </c>
      <c r="C70" s="12" t="s">
        <v>62</v>
      </c>
      <c r="D70" s="85">
        <v>4.0</v>
      </c>
      <c r="E70" s="85">
        <v>26.5</v>
      </c>
      <c r="F70" s="85">
        <v>1.0</v>
      </c>
      <c r="G70" s="18">
        <v>6.625</v>
      </c>
      <c r="H70" s="85">
        <v>13.0</v>
      </c>
      <c r="I70" s="85">
        <v>2.5</v>
      </c>
      <c r="J70" s="85">
        <v>1.0</v>
      </c>
      <c r="K70" s="85">
        <v>2.0</v>
      </c>
      <c r="L70" s="85">
        <v>0.0</v>
      </c>
    </row>
    <row r="71" ht="15.75" customHeight="1">
      <c r="A71" s="12" t="s">
        <v>503</v>
      </c>
      <c r="B71" s="12" t="s">
        <v>61</v>
      </c>
      <c r="C71" s="12" t="s">
        <v>572</v>
      </c>
      <c r="D71" s="85">
        <v>1.0</v>
      </c>
      <c r="E71" s="85">
        <v>9.0</v>
      </c>
      <c r="F71" s="85">
        <v>0.0</v>
      </c>
      <c r="G71" s="18">
        <v>9.0</v>
      </c>
      <c r="H71" s="85">
        <v>0.0</v>
      </c>
      <c r="I71" s="85">
        <v>1.0</v>
      </c>
      <c r="J71" s="85">
        <v>0.0</v>
      </c>
      <c r="K71" s="85">
        <v>0.0</v>
      </c>
      <c r="L71" s="85">
        <v>0.0</v>
      </c>
    </row>
    <row r="72" ht="15.75" customHeight="1">
      <c r="A72" s="12" t="s">
        <v>503</v>
      </c>
      <c r="B72" s="12" t="s">
        <v>61</v>
      </c>
      <c r="C72" s="12" t="s">
        <v>58</v>
      </c>
      <c r="D72" s="85">
        <v>1.0</v>
      </c>
      <c r="E72" s="85">
        <v>9.0</v>
      </c>
      <c r="F72" s="85">
        <v>0.0</v>
      </c>
      <c r="G72" s="18">
        <v>9.0</v>
      </c>
      <c r="H72" s="85">
        <v>0.0</v>
      </c>
      <c r="I72" s="85">
        <v>1.0</v>
      </c>
      <c r="J72" s="85">
        <v>0.0</v>
      </c>
      <c r="K72" s="85">
        <v>0.0</v>
      </c>
      <c r="L72" s="85">
        <v>0.0</v>
      </c>
    </row>
    <row r="73" ht="15.75" customHeight="1">
      <c r="A73" s="12" t="s">
        <v>503</v>
      </c>
      <c r="B73" s="12" t="s">
        <v>61</v>
      </c>
      <c r="C73" s="12" t="s">
        <v>47</v>
      </c>
      <c r="D73" s="85">
        <v>1.0</v>
      </c>
      <c r="E73" s="85">
        <v>9.0</v>
      </c>
      <c r="F73" s="85">
        <v>0.0</v>
      </c>
      <c r="G73" s="18">
        <v>9.0</v>
      </c>
      <c r="H73" s="85">
        <v>0.0</v>
      </c>
      <c r="I73" s="85">
        <v>1.0</v>
      </c>
      <c r="J73" s="85">
        <v>0.0</v>
      </c>
      <c r="K73" s="85">
        <v>0.0</v>
      </c>
      <c r="L73" s="85">
        <v>0.0</v>
      </c>
    </row>
    <row r="74" ht="15.75" customHeight="1">
      <c r="A74" s="12" t="s">
        <v>503</v>
      </c>
      <c r="B74" s="12" t="s">
        <v>61</v>
      </c>
      <c r="C74" s="12" t="s">
        <v>56</v>
      </c>
      <c r="D74" s="85">
        <v>1.0</v>
      </c>
      <c r="E74" s="85">
        <v>9.0</v>
      </c>
      <c r="F74" s="85">
        <v>0.0</v>
      </c>
      <c r="G74" s="18">
        <v>9.0</v>
      </c>
      <c r="H74" s="85">
        <v>0.0</v>
      </c>
      <c r="I74" s="85">
        <v>1.0</v>
      </c>
      <c r="J74" s="85">
        <v>0.0</v>
      </c>
      <c r="K74" s="85">
        <v>0.0</v>
      </c>
      <c r="L74" s="85">
        <v>0.0</v>
      </c>
    </row>
    <row r="75" ht="15.75" customHeight="1">
      <c r="A75" s="12" t="s">
        <v>503</v>
      </c>
      <c r="B75" s="12" t="s">
        <v>61</v>
      </c>
      <c r="C75" s="12" t="s">
        <v>59</v>
      </c>
      <c r="D75" s="85">
        <v>1.0</v>
      </c>
      <c r="E75" s="85">
        <v>9.0</v>
      </c>
      <c r="F75" s="85">
        <v>0.0</v>
      </c>
      <c r="G75" s="18">
        <v>9.0</v>
      </c>
      <c r="H75" s="85">
        <v>0.0</v>
      </c>
      <c r="I75" s="85">
        <v>1.0</v>
      </c>
      <c r="J75" s="85">
        <v>0.0</v>
      </c>
      <c r="K75" s="85">
        <v>0.0</v>
      </c>
      <c r="L75" s="85">
        <v>0.0</v>
      </c>
    </row>
    <row r="76" ht="15.75" customHeight="1">
      <c r="A76" s="12" t="s">
        <v>503</v>
      </c>
      <c r="B76" s="12" t="s">
        <v>61</v>
      </c>
      <c r="C76" s="12" t="s">
        <v>54</v>
      </c>
      <c r="D76" s="85">
        <v>1.0</v>
      </c>
      <c r="E76" s="85">
        <v>9.0</v>
      </c>
      <c r="F76" s="85">
        <v>0.0</v>
      </c>
      <c r="G76" s="18">
        <v>9.0</v>
      </c>
      <c r="H76" s="85">
        <v>0.0</v>
      </c>
      <c r="I76" s="85">
        <v>1.0</v>
      </c>
      <c r="J76" s="85">
        <v>0.0</v>
      </c>
      <c r="K76" s="85">
        <v>0.0</v>
      </c>
      <c r="L76" s="85">
        <v>0.0</v>
      </c>
    </row>
    <row r="77" ht="15.75" customHeight="1">
      <c r="A77" s="12" t="s">
        <v>503</v>
      </c>
      <c r="B77" s="12" t="s">
        <v>61</v>
      </c>
      <c r="C77" s="12" t="s">
        <v>62</v>
      </c>
      <c r="D77" s="85">
        <v>1.0</v>
      </c>
      <c r="E77" s="85">
        <v>9.0</v>
      </c>
      <c r="F77" s="85">
        <v>0.0</v>
      </c>
      <c r="G77" s="18">
        <v>9.0</v>
      </c>
      <c r="H77" s="85">
        <v>0.0</v>
      </c>
      <c r="I77" s="85">
        <v>1.0</v>
      </c>
      <c r="J77" s="85">
        <v>0.0</v>
      </c>
      <c r="K77" s="85">
        <v>0.0</v>
      </c>
      <c r="L77" s="85">
        <v>0.0</v>
      </c>
    </row>
    <row r="78" ht="15.75" customHeight="1">
      <c r="A78" s="12" t="s">
        <v>541</v>
      </c>
      <c r="B78" s="12" t="s">
        <v>61</v>
      </c>
      <c r="C78" s="12" t="s">
        <v>572</v>
      </c>
      <c r="D78" s="85">
        <v>2.5</v>
      </c>
      <c r="E78" s="85">
        <v>22.0</v>
      </c>
      <c r="F78" s="85">
        <v>0.5</v>
      </c>
      <c r="G78" s="18">
        <v>10.375</v>
      </c>
      <c r="H78" s="85">
        <v>4.0</v>
      </c>
      <c r="I78" s="85">
        <v>2.0</v>
      </c>
      <c r="J78" s="85">
        <v>1.0</v>
      </c>
      <c r="K78" s="85">
        <v>0.0</v>
      </c>
      <c r="L78" s="85">
        <v>0.0</v>
      </c>
    </row>
    <row r="79" ht="15.75" customHeight="1">
      <c r="A79" s="12" t="s">
        <v>541</v>
      </c>
      <c r="B79" s="12" t="s">
        <v>61</v>
      </c>
      <c r="C79" s="12" t="s">
        <v>58</v>
      </c>
      <c r="D79" s="85">
        <v>2.5</v>
      </c>
      <c r="E79" s="85">
        <v>22.0</v>
      </c>
      <c r="F79" s="85">
        <v>0.5</v>
      </c>
      <c r="G79" s="18">
        <v>10.375</v>
      </c>
      <c r="H79" s="85">
        <v>4.0</v>
      </c>
      <c r="I79" s="85">
        <v>2.0</v>
      </c>
      <c r="J79" s="85">
        <v>1.0</v>
      </c>
      <c r="K79" s="85">
        <v>0.0</v>
      </c>
      <c r="L79" s="85">
        <v>0.0</v>
      </c>
    </row>
    <row r="80" ht="15.75" customHeight="1">
      <c r="A80" s="12" t="s">
        <v>541</v>
      </c>
      <c r="B80" s="12" t="s">
        <v>61</v>
      </c>
      <c r="C80" s="12" t="s">
        <v>47</v>
      </c>
      <c r="D80" s="85">
        <v>2.5</v>
      </c>
      <c r="E80" s="85">
        <v>22.0</v>
      </c>
      <c r="F80" s="85">
        <v>0.5</v>
      </c>
      <c r="G80" s="18">
        <v>10.375</v>
      </c>
      <c r="H80" s="85">
        <v>4.0</v>
      </c>
      <c r="I80" s="85">
        <v>2.0</v>
      </c>
      <c r="J80" s="85">
        <v>1.0</v>
      </c>
      <c r="K80" s="85">
        <v>0.0</v>
      </c>
      <c r="L80" s="85">
        <v>0.0</v>
      </c>
    </row>
    <row r="81" ht="15.75" customHeight="1">
      <c r="A81" s="12" t="s">
        <v>541</v>
      </c>
      <c r="B81" s="12" t="s">
        <v>61</v>
      </c>
      <c r="C81" s="12" t="s">
        <v>56</v>
      </c>
      <c r="D81" s="85">
        <v>2.5</v>
      </c>
      <c r="E81" s="85">
        <v>22.0</v>
      </c>
      <c r="F81" s="85">
        <v>0.5</v>
      </c>
      <c r="G81" s="18">
        <v>10.375</v>
      </c>
      <c r="H81" s="85">
        <v>4.0</v>
      </c>
      <c r="I81" s="85">
        <v>2.0</v>
      </c>
      <c r="J81" s="85">
        <v>1.0</v>
      </c>
      <c r="K81" s="85">
        <v>0.0</v>
      </c>
      <c r="L81" s="85">
        <v>0.0</v>
      </c>
    </row>
    <row r="82" ht="15.75" customHeight="1">
      <c r="A82" s="12" t="s">
        <v>541</v>
      </c>
      <c r="B82" s="12" t="s">
        <v>61</v>
      </c>
      <c r="C82" s="12" t="s">
        <v>59</v>
      </c>
      <c r="D82" s="85">
        <v>2.5</v>
      </c>
      <c r="E82" s="85">
        <v>22.0</v>
      </c>
      <c r="F82" s="85">
        <v>0.5</v>
      </c>
      <c r="G82" s="18">
        <v>10.375</v>
      </c>
      <c r="H82" s="85">
        <v>4.0</v>
      </c>
      <c r="I82" s="85">
        <v>2.0</v>
      </c>
      <c r="J82" s="85">
        <v>1.0</v>
      </c>
      <c r="K82" s="85">
        <v>0.0</v>
      </c>
      <c r="L82" s="85">
        <v>0.0</v>
      </c>
    </row>
    <row r="83" ht="15.75" customHeight="1">
      <c r="A83" s="12" t="s">
        <v>541</v>
      </c>
      <c r="B83" s="12" t="s">
        <v>61</v>
      </c>
      <c r="C83" s="12" t="s">
        <v>54</v>
      </c>
      <c r="D83" s="85">
        <v>2.5</v>
      </c>
      <c r="E83" s="85">
        <v>22.0</v>
      </c>
      <c r="F83" s="85">
        <v>0.5</v>
      </c>
      <c r="G83" s="18">
        <v>10.375</v>
      </c>
      <c r="H83" s="85">
        <v>4.0</v>
      </c>
      <c r="I83" s="85">
        <v>2.0</v>
      </c>
      <c r="J83" s="85">
        <v>1.0</v>
      </c>
      <c r="K83" s="85">
        <v>0.0</v>
      </c>
      <c r="L83" s="85">
        <v>0.0</v>
      </c>
    </row>
    <row r="84" ht="15.75" customHeight="1">
      <c r="A84" s="12" t="s">
        <v>541</v>
      </c>
      <c r="B84" s="12" t="s">
        <v>61</v>
      </c>
      <c r="C84" s="12" t="s">
        <v>62</v>
      </c>
      <c r="D84" s="85">
        <v>2.5</v>
      </c>
      <c r="E84" s="85">
        <v>22.0</v>
      </c>
      <c r="F84" s="85">
        <v>0.5</v>
      </c>
      <c r="G84" s="18">
        <v>10.375</v>
      </c>
      <c r="H84" s="85">
        <v>4.0</v>
      </c>
      <c r="I84" s="85">
        <v>2.0</v>
      </c>
      <c r="J84" s="85">
        <v>1.0</v>
      </c>
      <c r="K84" s="85">
        <v>0.0</v>
      </c>
      <c r="L84" s="85">
        <v>0.0</v>
      </c>
    </row>
    <row r="85" ht="15.75" customHeight="1">
      <c r="A85" s="12" t="s">
        <v>507</v>
      </c>
      <c r="B85" s="12" t="s">
        <v>61</v>
      </c>
      <c r="C85" s="12" t="s">
        <v>572</v>
      </c>
      <c r="D85" s="85">
        <v>3.5</v>
      </c>
      <c r="E85" s="85">
        <v>19.5</v>
      </c>
      <c r="F85" s="85">
        <v>1.0</v>
      </c>
      <c r="G85" s="18">
        <v>5.415</v>
      </c>
      <c r="H85" s="85">
        <v>8.5</v>
      </c>
      <c r="I85" s="85">
        <v>1.0</v>
      </c>
      <c r="J85" s="85">
        <v>0.5</v>
      </c>
      <c r="K85" s="85">
        <v>0.5</v>
      </c>
      <c r="L85" s="85">
        <v>0.0</v>
      </c>
    </row>
    <row r="86" ht="15.75" customHeight="1">
      <c r="A86" s="12" t="s">
        <v>507</v>
      </c>
      <c r="B86" s="12" t="s">
        <v>61</v>
      </c>
      <c r="C86" s="12" t="s">
        <v>58</v>
      </c>
      <c r="D86" s="85">
        <v>3.5</v>
      </c>
      <c r="E86" s="85">
        <v>19.5</v>
      </c>
      <c r="F86" s="85">
        <v>1.0</v>
      </c>
      <c r="G86" s="18">
        <v>5.415</v>
      </c>
      <c r="H86" s="85">
        <v>8.5</v>
      </c>
      <c r="I86" s="85">
        <v>1.0</v>
      </c>
      <c r="J86" s="85">
        <v>0.5</v>
      </c>
      <c r="K86" s="85">
        <v>0.5</v>
      </c>
      <c r="L86" s="85">
        <v>0.0</v>
      </c>
    </row>
    <row r="87" ht="15.75" customHeight="1">
      <c r="A87" s="12" t="s">
        <v>507</v>
      </c>
      <c r="B87" s="12" t="s">
        <v>61</v>
      </c>
      <c r="C87" s="12" t="s">
        <v>47</v>
      </c>
      <c r="D87" s="85">
        <v>3.5</v>
      </c>
      <c r="E87" s="85">
        <v>19.5</v>
      </c>
      <c r="F87" s="85">
        <v>1.0</v>
      </c>
      <c r="G87" s="18">
        <v>5.415</v>
      </c>
      <c r="H87" s="85">
        <v>8.5</v>
      </c>
      <c r="I87" s="85">
        <v>1.0</v>
      </c>
      <c r="J87" s="85">
        <v>0.5</v>
      </c>
      <c r="K87" s="85">
        <v>0.5</v>
      </c>
      <c r="L87" s="85">
        <v>0.0</v>
      </c>
    </row>
    <row r="88" ht="15.75" customHeight="1">
      <c r="A88" s="12" t="s">
        <v>507</v>
      </c>
      <c r="B88" s="12" t="s">
        <v>61</v>
      </c>
      <c r="C88" s="12" t="s">
        <v>56</v>
      </c>
      <c r="D88" s="85">
        <v>3.5</v>
      </c>
      <c r="E88" s="85">
        <v>19.5</v>
      </c>
      <c r="F88" s="85">
        <v>1.0</v>
      </c>
      <c r="G88" s="18">
        <v>5.415</v>
      </c>
      <c r="H88" s="85">
        <v>8.5</v>
      </c>
      <c r="I88" s="85">
        <v>1.0</v>
      </c>
      <c r="J88" s="85">
        <v>0.5</v>
      </c>
      <c r="K88" s="85">
        <v>0.5</v>
      </c>
      <c r="L88" s="85">
        <v>0.0</v>
      </c>
    </row>
    <row r="89" ht="15.75" customHeight="1">
      <c r="A89" s="12" t="s">
        <v>507</v>
      </c>
      <c r="B89" s="12" t="s">
        <v>61</v>
      </c>
      <c r="C89" s="12" t="s">
        <v>59</v>
      </c>
      <c r="D89" s="85">
        <v>3.5</v>
      </c>
      <c r="E89" s="85">
        <v>19.5</v>
      </c>
      <c r="F89" s="85">
        <v>1.0</v>
      </c>
      <c r="G89" s="18">
        <v>5.415</v>
      </c>
      <c r="H89" s="85">
        <v>8.5</v>
      </c>
      <c r="I89" s="85">
        <v>1.0</v>
      </c>
      <c r="J89" s="85">
        <v>0.5</v>
      </c>
      <c r="K89" s="85">
        <v>0.5</v>
      </c>
      <c r="L89" s="85">
        <v>0.0</v>
      </c>
    </row>
    <row r="90" ht="15.75" customHeight="1">
      <c r="A90" s="12" t="s">
        <v>507</v>
      </c>
      <c r="B90" s="12" t="s">
        <v>61</v>
      </c>
      <c r="C90" s="12" t="s">
        <v>54</v>
      </c>
      <c r="D90" s="85">
        <v>3.5</v>
      </c>
      <c r="E90" s="85">
        <v>19.5</v>
      </c>
      <c r="F90" s="85">
        <v>1.0</v>
      </c>
      <c r="G90" s="18">
        <v>5.415</v>
      </c>
      <c r="H90" s="85">
        <v>8.5</v>
      </c>
      <c r="I90" s="85">
        <v>1.0</v>
      </c>
      <c r="J90" s="85">
        <v>0.5</v>
      </c>
      <c r="K90" s="85">
        <v>0.5</v>
      </c>
      <c r="L90" s="85">
        <v>0.0</v>
      </c>
    </row>
    <row r="91" ht="15.75" customHeight="1">
      <c r="A91" s="12" t="s">
        <v>507</v>
      </c>
      <c r="B91" s="12" t="s">
        <v>61</v>
      </c>
      <c r="C91" s="12" t="s">
        <v>62</v>
      </c>
      <c r="D91" s="85">
        <v>3.5</v>
      </c>
      <c r="E91" s="85">
        <v>19.5</v>
      </c>
      <c r="F91" s="85">
        <v>1.0</v>
      </c>
      <c r="G91" s="18">
        <v>5.415</v>
      </c>
      <c r="H91" s="85">
        <v>8.5</v>
      </c>
      <c r="I91" s="85">
        <v>1.0</v>
      </c>
      <c r="J91" s="85">
        <v>0.5</v>
      </c>
      <c r="K91" s="85">
        <v>0.5</v>
      </c>
      <c r="L91" s="85">
        <v>0.0</v>
      </c>
    </row>
    <row r="92" ht="15.75" customHeight="1">
      <c r="A92" s="12" t="s">
        <v>542</v>
      </c>
      <c r="B92" s="12" t="s">
        <v>61</v>
      </c>
      <c r="C92" s="12" t="s">
        <v>572</v>
      </c>
      <c r="D92" s="85">
        <v>4.0</v>
      </c>
      <c r="E92" s="85">
        <v>31.0</v>
      </c>
      <c r="F92" s="85">
        <v>1.0</v>
      </c>
      <c r="G92" s="18">
        <v>7.75</v>
      </c>
      <c r="H92" s="85">
        <v>9.0</v>
      </c>
      <c r="I92" s="85">
        <v>4.5</v>
      </c>
      <c r="J92" s="85">
        <v>0.0</v>
      </c>
      <c r="K92" s="85">
        <v>1.5</v>
      </c>
      <c r="L92" s="85">
        <v>0.0</v>
      </c>
    </row>
    <row r="93" ht="15.75" customHeight="1">
      <c r="A93" s="12" t="s">
        <v>542</v>
      </c>
      <c r="B93" s="12" t="s">
        <v>61</v>
      </c>
      <c r="C93" s="12" t="s">
        <v>58</v>
      </c>
      <c r="D93" s="85">
        <v>4.0</v>
      </c>
      <c r="E93" s="85">
        <v>31.0</v>
      </c>
      <c r="F93" s="85">
        <v>1.0</v>
      </c>
      <c r="G93" s="18">
        <v>7.75</v>
      </c>
      <c r="H93" s="85">
        <v>9.0</v>
      </c>
      <c r="I93" s="85">
        <v>4.5</v>
      </c>
      <c r="J93" s="85">
        <v>0.0</v>
      </c>
      <c r="K93" s="85">
        <v>1.5</v>
      </c>
      <c r="L93" s="85">
        <v>0.0</v>
      </c>
    </row>
    <row r="94" ht="15.75" customHeight="1">
      <c r="A94" s="12" t="s">
        <v>542</v>
      </c>
      <c r="B94" s="12" t="s">
        <v>61</v>
      </c>
      <c r="C94" s="12" t="s">
        <v>47</v>
      </c>
      <c r="D94" s="85">
        <v>4.0</v>
      </c>
      <c r="E94" s="85">
        <v>31.0</v>
      </c>
      <c r="F94" s="85">
        <v>1.0</v>
      </c>
      <c r="G94" s="18">
        <v>7.75</v>
      </c>
      <c r="H94" s="85">
        <v>9.0</v>
      </c>
      <c r="I94" s="85">
        <v>4.5</v>
      </c>
      <c r="J94" s="85">
        <v>0.0</v>
      </c>
      <c r="K94" s="85">
        <v>1.5</v>
      </c>
      <c r="L94" s="85">
        <v>0.0</v>
      </c>
    </row>
    <row r="95" ht="15.75" customHeight="1">
      <c r="A95" s="12" t="s">
        <v>542</v>
      </c>
      <c r="B95" s="12" t="s">
        <v>61</v>
      </c>
      <c r="C95" s="12" t="s">
        <v>56</v>
      </c>
      <c r="D95" s="85">
        <v>4.0</v>
      </c>
      <c r="E95" s="85">
        <v>31.0</v>
      </c>
      <c r="F95" s="85">
        <v>1.0</v>
      </c>
      <c r="G95" s="18">
        <v>7.75</v>
      </c>
      <c r="H95" s="85">
        <v>9.0</v>
      </c>
      <c r="I95" s="85">
        <v>4.5</v>
      </c>
      <c r="J95" s="85">
        <v>0.0</v>
      </c>
      <c r="K95" s="85">
        <v>1.5</v>
      </c>
      <c r="L95" s="85">
        <v>0.0</v>
      </c>
    </row>
    <row r="96" ht="15.75" customHeight="1">
      <c r="A96" s="12" t="s">
        <v>542</v>
      </c>
      <c r="B96" s="12" t="s">
        <v>61</v>
      </c>
      <c r="C96" s="12" t="s">
        <v>59</v>
      </c>
      <c r="D96" s="85">
        <v>4.0</v>
      </c>
      <c r="E96" s="85">
        <v>31.0</v>
      </c>
      <c r="F96" s="85">
        <v>1.0</v>
      </c>
      <c r="G96" s="18">
        <v>7.75</v>
      </c>
      <c r="H96" s="85">
        <v>9.0</v>
      </c>
      <c r="I96" s="85">
        <v>4.5</v>
      </c>
      <c r="J96" s="85">
        <v>0.0</v>
      </c>
      <c r="K96" s="85">
        <v>1.5</v>
      </c>
      <c r="L96" s="85">
        <v>0.0</v>
      </c>
    </row>
    <row r="97" ht="15.75" customHeight="1">
      <c r="A97" s="12" t="s">
        <v>542</v>
      </c>
      <c r="B97" s="12" t="s">
        <v>61</v>
      </c>
      <c r="C97" s="12" t="s">
        <v>54</v>
      </c>
      <c r="D97" s="85">
        <v>4.0</v>
      </c>
      <c r="E97" s="85">
        <v>31.0</v>
      </c>
      <c r="F97" s="85">
        <v>1.0</v>
      </c>
      <c r="G97" s="18">
        <v>7.75</v>
      </c>
      <c r="H97" s="85">
        <v>9.0</v>
      </c>
      <c r="I97" s="85">
        <v>4.5</v>
      </c>
      <c r="J97" s="85">
        <v>0.0</v>
      </c>
      <c r="K97" s="85">
        <v>1.5</v>
      </c>
      <c r="L97" s="85">
        <v>0.0</v>
      </c>
    </row>
    <row r="98" ht="15.75" customHeight="1">
      <c r="A98" s="12" t="s">
        <v>542</v>
      </c>
      <c r="B98" s="12" t="s">
        <v>61</v>
      </c>
      <c r="C98" s="12" t="s">
        <v>62</v>
      </c>
      <c r="D98" s="85">
        <v>4.0</v>
      </c>
      <c r="E98" s="85">
        <v>31.0</v>
      </c>
      <c r="F98" s="85">
        <v>1.0</v>
      </c>
      <c r="G98" s="18">
        <v>7.75</v>
      </c>
      <c r="H98" s="86">
        <v>9.0</v>
      </c>
      <c r="I98" s="85">
        <v>4.5</v>
      </c>
      <c r="J98" s="85">
        <v>0.0</v>
      </c>
      <c r="K98" s="85">
        <v>1.5</v>
      </c>
      <c r="L98" s="85">
        <v>0.0</v>
      </c>
    </row>
    <row r="99" ht="15.75" customHeight="1">
      <c r="A99" s="12" t="s">
        <v>548</v>
      </c>
      <c r="B99" s="12" t="s">
        <v>58</v>
      </c>
      <c r="C99" s="12" t="s">
        <v>61</v>
      </c>
      <c r="D99" s="85">
        <v>3.5</v>
      </c>
      <c r="E99" s="85">
        <v>26.5</v>
      </c>
      <c r="F99" s="85">
        <v>0.5</v>
      </c>
      <c r="G99" s="18">
        <v>7.665</v>
      </c>
      <c r="H99" s="86">
        <v>8.5</v>
      </c>
      <c r="I99" s="85">
        <v>2.0</v>
      </c>
      <c r="J99" s="85">
        <v>1.0</v>
      </c>
      <c r="K99" s="85">
        <v>1.0</v>
      </c>
      <c r="L99" s="85">
        <v>0.0</v>
      </c>
      <c r="O99" s="28"/>
      <c r="P99" s="28"/>
      <c r="Q99" s="28"/>
    </row>
    <row r="100" ht="15.75" customHeight="1">
      <c r="A100" s="12" t="s">
        <v>548</v>
      </c>
      <c r="B100" s="12" t="s">
        <v>58</v>
      </c>
      <c r="C100" s="12" t="s">
        <v>56</v>
      </c>
      <c r="D100" s="85">
        <v>3.5</v>
      </c>
      <c r="E100" s="85">
        <v>30.0</v>
      </c>
      <c r="F100" s="85">
        <v>0.75</v>
      </c>
      <c r="G100" s="18">
        <v>8.25</v>
      </c>
      <c r="H100" s="86">
        <v>6.5</v>
      </c>
      <c r="I100" s="85">
        <v>1.25</v>
      </c>
      <c r="J100" s="85">
        <v>2.0</v>
      </c>
      <c r="K100" s="85">
        <v>0.0</v>
      </c>
      <c r="L100" s="85">
        <v>0.0</v>
      </c>
      <c r="O100" s="28"/>
      <c r="P100" s="28"/>
      <c r="Q100" s="28"/>
    </row>
    <row r="101" ht="15.75" customHeight="1">
      <c r="A101" s="12" t="s">
        <v>548</v>
      </c>
      <c r="B101" s="12" t="s">
        <v>58</v>
      </c>
      <c r="C101" s="12" t="s">
        <v>59</v>
      </c>
      <c r="D101" s="85">
        <v>3.5</v>
      </c>
      <c r="E101" s="85">
        <v>30.5</v>
      </c>
      <c r="F101" s="85">
        <v>1.0</v>
      </c>
      <c r="G101" s="18">
        <v>9.04</v>
      </c>
      <c r="H101" s="86">
        <v>6.0</v>
      </c>
      <c r="I101" s="85">
        <v>1.5</v>
      </c>
      <c r="J101" s="85">
        <v>1.5</v>
      </c>
      <c r="K101" s="85">
        <v>0.5</v>
      </c>
      <c r="L101" s="85">
        <v>0.0</v>
      </c>
      <c r="O101" s="28"/>
      <c r="P101" s="28"/>
      <c r="Q101" s="28"/>
    </row>
    <row r="102" ht="15.75" customHeight="1">
      <c r="A102" s="12" t="s">
        <v>548</v>
      </c>
      <c r="B102" s="12" t="s">
        <v>58</v>
      </c>
      <c r="C102" s="12" t="s">
        <v>54</v>
      </c>
      <c r="D102" s="85">
        <v>2.5</v>
      </c>
      <c r="E102" s="85">
        <v>27.5</v>
      </c>
      <c r="F102" s="85">
        <v>1.0</v>
      </c>
      <c r="G102" s="18">
        <v>10.58</v>
      </c>
      <c r="H102" s="86">
        <v>2.5</v>
      </c>
      <c r="I102" s="85">
        <v>2.0</v>
      </c>
      <c r="J102" s="85">
        <v>1.5</v>
      </c>
      <c r="K102" s="85">
        <v>0.0</v>
      </c>
      <c r="L102" s="85">
        <v>0.0</v>
      </c>
      <c r="O102" s="28"/>
      <c r="P102" s="28"/>
      <c r="Q102" s="28"/>
    </row>
    <row r="103" ht="15.75" customHeight="1">
      <c r="A103" s="12" t="s">
        <v>548</v>
      </c>
      <c r="B103" s="12" t="s">
        <v>58</v>
      </c>
      <c r="C103" s="12" t="s">
        <v>47</v>
      </c>
      <c r="D103" s="85">
        <v>3.5</v>
      </c>
      <c r="E103" s="85">
        <v>37.5</v>
      </c>
      <c r="F103" s="85">
        <v>1.0</v>
      </c>
      <c r="G103" s="18">
        <v>10.83</v>
      </c>
      <c r="H103" s="85">
        <v>7.0</v>
      </c>
      <c r="I103" s="85">
        <v>3.5</v>
      </c>
      <c r="J103" s="85">
        <v>2.0</v>
      </c>
      <c r="K103" s="85">
        <v>1.5</v>
      </c>
      <c r="L103" s="85">
        <v>0.0</v>
      </c>
      <c r="O103" s="28"/>
      <c r="P103" s="28"/>
      <c r="Q103" s="28"/>
    </row>
    <row r="104" ht="15.75" customHeight="1">
      <c r="A104" s="12" t="s">
        <v>548</v>
      </c>
      <c r="B104" s="12" t="s">
        <v>58</v>
      </c>
      <c r="C104" s="12" t="s">
        <v>62</v>
      </c>
      <c r="D104" s="86">
        <v>3.65</v>
      </c>
      <c r="E104" s="86">
        <v>42.5</v>
      </c>
      <c r="F104" s="86">
        <v>0.0</v>
      </c>
      <c r="G104" s="82">
        <v>11.41</v>
      </c>
      <c r="H104" s="86">
        <v>2.5</v>
      </c>
      <c r="I104" s="86">
        <v>4.0</v>
      </c>
      <c r="J104" s="86">
        <v>1.5</v>
      </c>
      <c r="K104" s="86">
        <v>1.0</v>
      </c>
      <c r="L104" s="86">
        <v>0.0</v>
      </c>
      <c r="O104" s="28"/>
      <c r="P104" s="28"/>
      <c r="Q104" s="28"/>
    </row>
    <row r="105" ht="15.75" customHeight="1">
      <c r="A105" s="12" t="s">
        <v>548</v>
      </c>
      <c r="B105" s="12" t="s">
        <v>58</v>
      </c>
      <c r="C105" s="12" t="s">
        <v>572</v>
      </c>
      <c r="D105" s="85">
        <v>2.5</v>
      </c>
      <c r="E105" s="85">
        <v>27.5</v>
      </c>
      <c r="F105" s="85">
        <v>1.0</v>
      </c>
      <c r="G105" s="18">
        <v>10.58</v>
      </c>
      <c r="H105" s="86">
        <v>2.5</v>
      </c>
      <c r="I105" s="85">
        <v>2.0</v>
      </c>
      <c r="J105" s="85">
        <v>1.5</v>
      </c>
      <c r="K105" s="85">
        <v>0.0</v>
      </c>
      <c r="L105" s="85">
        <v>0.0</v>
      </c>
      <c r="O105" s="28"/>
      <c r="P105" s="28"/>
      <c r="Q105" s="28"/>
    </row>
    <row r="106" ht="15.75" customHeight="1">
      <c r="A106" s="12" t="s">
        <v>550</v>
      </c>
      <c r="B106" s="12" t="s">
        <v>58</v>
      </c>
      <c r="C106" s="12" t="s">
        <v>61</v>
      </c>
      <c r="D106" s="85">
        <v>1.25</v>
      </c>
      <c r="E106" s="85">
        <v>15.5</v>
      </c>
      <c r="F106" s="85">
        <v>0.0</v>
      </c>
      <c r="G106" s="18">
        <v>13.0</v>
      </c>
      <c r="H106" s="85">
        <v>2.5</v>
      </c>
      <c r="I106" s="85">
        <v>3.0</v>
      </c>
      <c r="J106" s="85">
        <v>0.0</v>
      </c>
      <c r="K106" s="85">
        <v>0.0</v>
      </c>
      <c r="L106" s="85">
        <v>0.0</v>
      </c>
      <c r="O106" s="28"/>
      <c r="P106" s="28"/>
      <c r="Q106" s="28"/>
    </row>
    <row r="107" ht="15.75" customHeight="1">
      <c r="A107" s="12" t="s">
        <v>550</v>
      </c>
      <c r="B107" s="12" t="s">
        <v>58</v>
      </c>
      <c r="C107" s="12" t="s">
        <v>47</v>
      </c>
      <c r="D107" s="85">
        <v>4.0</v>
      </c>
      <c r="E107" s="85">
        <v>29.0</v>
      </c>
      <c r="F107" s="85">
        <v>2.6666666666666665</v>
      </c>
      <c r="G107" s="18">
        <v>7.25</v>
      </c>
      <c r="H107" s="85">
        <v>8.666666666666666</v>
      </c>
      <c r="I107" s="85">
        <v>2.6666666666666665</v>
      </c>
      <c r="J107" s="85">
        <v>0.6666666666666666</v>
      </c>
      <c r="K107" s="85">
        <v>0.6666666666666666</v>
      </c>
      <c r="L107" s="85">
        <v>0.0</v>
      </c>
      <c r="O107" s="28"/>
      <c r="P107" s="28"/>
      <c r="Q107" s="28"/>
    </row>
    <row r="108" ht="15.75" customHeight="1">
      <c r="A108" s="12" t="s">
        <v>550</v>
      </c>
      <c r="B108" s="12" t="s">
        <v>58</v>
      </c>
      <c r="C108" s="12" t="s">
        <v>56</v>
      </c>
      <c r="D108" s="85">
        <v>4.0</v>
      </c>
      <c r="E108" s="85">
        <v>35.0</v>
      </c>
      <c r="F108" s="85">
        <v>0.0</v>
      </c>
      <c r="G108" s="18">
        <v>8.75</v>
      </c>
      <c r="H108" s="85">
        <v>9.0</v>
      </c>
      <c r="I108" s="85">
        <v>4.0</v>
      </c>
      <c r="J108" s="85">
        <v>1.0</v>
      </c>
      <c r="K108" s="85">
        <v>0.0</v>
      </c>
      <c r="L108" s="85">
        <v>1.0</v>
      </c>
      <c r="O108" s="28"/>
      <c r="P108" s="28"/>
      <c r="Q108" s="28"/>
    </row>
    <row r="109" ht="15.75" customHeight="1">
      <c r="A109" s="12" t="s">
        <v>550</v>
      </c>
      <c r="B109" s="12" t="s">
        <v>58</v>
      </c>
      <c r="C109" s="12" t="s">
        <v>54</v>
      </c>
      <c r="D109" s="85">
        <v>4.0</v>
      </c>
      <c r="E109" s="85">
        <v>36.5</v>
      </c>
      <c r="F109" s="85">
        <v>0.5</v>
      </c>
      <c r="G109" s="18">
        <v>9.125</v>
      </c>
      <c r="H109" s="85">
        <v>7.5</v>
      </c>
      <c r="I109" s="85">
        <v>3.5</v>
      </c>
      <c r="J109" s="85">
        <v>1.5</v>
      </c>
      <c r="K109" s="85">
        <v>0.0</v>
      </c>
      <c r="L109" s="85">
        <v>0.0</v>
      </c>
      <c r="O109" s="28"/>
      <c r="P109" s="28"/>
      <c r="Q109" s="28"/>
    </row>
    <row r="110" ht="15.75" customHeight="1">
      <c r="A110" s="12" t="s">
        <v>550</v>
      </c>
      <c r="B110" s="12" t="s">
        <v>58</v>
      </c>
      <c r="C110" s="12" t="s">
        <v>572</v>
      </c>
      <c r="D110" s="85">
        <v>4.0</v>
      </c>
      <c r="E110" s="85">
        <v>31.0</v>
      </c>
      <c r="F110" s="85">
        <v>1.0</v>
      </c>
      <c r="G110" s="18">
        <v>7.75</v>
      </c>
      <c r="H110" s="85">
        <v>9.0</v>
      </c>
      <c r="I110" s="85">
        <v>4.5</v>
      </c>
      <c r="J110" s="85">
        <v>0.0</v>
      </c>
      <c r="K110" s="85">
        <v>1.5</v>
      </c>
      <c r="L110" s="85">
        <v>0.0</v>
      </c>
      <c r="O110" s="28"/>
      <c r="P110" s="28"/>
      <c r="Q110" s="28"/>
    </row>
    <row r="111" ht="15.75" customHeight="1">
      <c r="A111" s="12" t="s">
        <v>550</v>
      </c>
      <c r="B111" s="12" t="s">
        <v>58</v>
      </c>
      <c r="C111" s="12" t="s">
        <v>59</v>
      </c>
      <c r="D111" s="85">
        <v>4.0</v>
      </c>
      <c r="E111" s="85">
        <v>31.0</v>
      </c>
      <c r="F111" s="85">
        <v>1.0</v>
      </c>
      <c r="G111" s="18">
        <v>7.75</v>
      </c>
      <c r="H111" s="86">
        <v>9.0</v>
      </c>
      <c r="I111" s="85">
        <v>4.5</v>
      </c>
      <c r="J111" s="85">
        <v>0.0</v>
      </c>
      <c r="K111" s="85">
        <v>1.5</v>
      </c>
      <c r="L111" s="85">
        <v>0.0</v>
      </c>
      <c r="O111" s="28"/>
      <c r="P111" s="28"/>
      <c r="Q111" s="28"/>
    </row>
    <row r="112" ht="15.75" customHeight="1">
      <c r="A112" s="12" t="s">
        <v>550</v>
      </c>
      <c r="B112" s="12" t="s">
        <v>58</v>
      </c>
      <c r="C112" s="12" t="s">
        <v>62</v>
      </c>
      <c r="D112" s="85">
        <v>3.5</v>
      </c>
      <c r="E112" s="85">
        <v>26.5</v>
      </c>
      <c r="F112" s="85">
        <v>0.5</v>
      </c>
      <c r="G112" s="18">
        <v>7.665</v>
      </c>
      <c r="H112" s="86">
        <v>8.5</v>
      </c>
      <c r="I112" s="85">
        <v>2.0</v>
      </c>
      <c r="J112" s="85">
        <v>1.0</v>
      </c>
      <c r="K112" s="85">
        <v>1.0</v>
      </c>
      <c r="L112" s="85">
        <v>0.0</v>
      </c>
      <c r="O112" s="28"/>
      <c r="P112" s="28"/>
      <c r="Q112" s="28"/>
    </row>
    <row r="113" ht="15.75" customHeight="1">
      <c r="A113" s="83" t="s">
        <v>547</v>
      </c>
      <c r="B113" s="12" t="s">
        <v>58</v>
      </c>
      <c r="C113" s="12" t="s">
        <v>61</v>
      </c>
      <c r="D113" s="86">
        <v>3.5</v>
      </c>
      <c r="E113" s="86">
        <v>20.0</v>
      </c>
      <c r="F113" s="86">
        <v>2.0</v>
      </c>
      <c r="G113" s="82">
        <v>6.125</v>
      </c>
      <c r="H113" s="86">
        <v>9.0</v>
      </c>
      <c r="I113" s="86">
        <v>2.0</v>
      </c>
      <c r="J113" s="86">
        <v>0.0</v>
      </c>
      <c r="K113" s="86">
        <v>0.5</v>
      </c>
      <c r="L113" s="86">
        <v>0.0</v>
      </c>
      <c r="O113" s="28"/>
      <c r="P113" s="28"/>
      <c r="Q113" s="28"/>
    </row>
    <row r="114" ht="15.75" customHeight="1">
      <c r="A114" s="83" t="s">
        <v>547</v>
      </c>
      <c r="B114" s="12" t="s">
        <v>58</v>
      </c>
      <c r="C114" s="12" t="s">
        <v>572</v>
      </c>
      <c r="D114" s="85">
        <v>4.0</v>
      </c>
      <c r="E114" s="85">
        <v>31.0</v>
      </c>
      <c r="F114" s="85">
        <v>1.0</v>
      </c>
      <c r="G114" s="18">
        <v>7.75</v>
      </c>
      <c r="H114" s="86">
        <v>9.0</v>
      </c>
      <c r="I114" s="85">
        <v>4.5</v>
      </c>
      <c r="J114" s="85">
        <v>0.0</v>
      </c>
      <c r="K114" s="85">
        <v>1.5</v>
      </c>
      <c r="L114" s="85">
        <v>0.0</v>
      </c>
      <c r="O114" s="28"/>
      <c r="P114" s="28"/>
      <c r="Q114" s="28"/>
    </row>
    <row r="115" ht="15.75" customHeight="1">
      <c r="A115" s="83" t="s">
        <v>547</v>
      </c>
      <c r="B115" s="12" t="s">
        <v>58</v>
      </c>
      <c r="C115" s="12" t="s">
        <v>47</v>
      </c>
      <c r="D115" s="85">
        <v>3.5</v>
      </c>
      <c r="E115" s="85">
        <v>26.5</v>
      </c>
      <c r="F115" s="85">
        <v>0.5</v>
      </c>
      <c r="G115" s="18">
        <v>7.665</v>
      </c>
      <c r="H115" s="86">
        <v>8.5</v>
      </c>
      <c r="I115" s="85">
        <v>2.0</v>
      </c>
      <c r="J115" s="85">
        <v>1.0</v>
      </c>
      <c r="K115" s="85">
        <v>1.0</v>
      </c>
      <c r="L115" s="85">
        <v>0.0</v>
      </c>
      <c r="O115" s="28"/>
      <c r="P115" s="28"/>
      <c r="Q115" s="28"/>
    </row>
    <row r="116" ht="15.75" customHeight="1">
      <c r="A116" s="83" t="s">
        <v>547</v>
      </c>
      <c r="B116" s="12" t="s">
        <v>58</v>
      </c>
      <c r="C116" s="12" t="s">
        <v>54</v>
      </c>
      <c r="D116" s="85">
        <v>1.5</v>
      </c>
      <c r="E116" s="85">
        <v>14.0</v>
      </c>
      <c r="F116" s="85">
        <v>0.0</v>
      </c>
      <c r="G116" s="18">
        <v>8.75</v>
      </c>
      <c r="H116" s="85">
        <v>3.5</v>
      </c>
      <c r="I116" s="85">
        <v>2.5</v>
      </c>
      <c r="J116" s="85">
        <v>0.0</v>
      </c>
      <c r="K116" s="85">
        <v>0.0</v>
      </c>
      <c r="L116" s="85">
        <v>0.0</v>
      </c>
      <c r="O116" s="28"/>
      <c r="P116" s="28"/>
      <c r="Q116" s="28"/>
    </row>
    <row r="117" ht="15.75" customHeight="1">
      <c r="A117" s="83" t="s">
        <v>547</v>
      </c>
      <c r="B117" s="12" t="s">
        <v>58</v>
      </c>
      <c r="C117" s="12" t="s">
        <v>62</v>
      </c>
      <c r="D117" s="85">
        <v>3.5</v>
      </c>
      <c r="E117" s="85">
        <v>37.5</v>
      </c>
      <c r="F117" s="85">
        <v>1.0</v>
      </c>
      <c r="G117" s="18">
        <v>10.83</v>
      </c>
      <c r="H117" s="85">
        <v>7.0</v>
      </c>
      <c r="I117" s="85">
        <v>3.5</v>
      </c>
      <c r="J117" s="85">
        <v>2.0</v>
      </c>
      <c r="K117" s="85">
        <v>1.5</v>
      </c>
      <c r="L117" s="85">
        <v>0.0</v>
      </c>
      <c r="O117" s="28"/>
      <c r="P117" s="28"/>
      <c r="Q117" s="28"/>
    </row>
    <row r="118" ht="15.75" customHeight="1">
      <c r="A118" s="83" t="s">
        <v>547</v>
      </c>
      <c r="B118" s="12" t="s">
        <v>58</v>
      </c>
      <c r="C118" s="12" t="s">
        <v>59</v>
      </c>
      <c r="D118" s="86">
        <v>3.65</v>
      </c>
      <c r="E118" s="86">
        <v>42.5</v>
      </c>
      <c r="F118" s="86">
        <v>0.0</v>
      </c>
      <c r="G118" s="82">
        <v>11.41</v>
      </c>
      <c r="H118" s="86">
        <v>2.5</v>
      </c>
      <c r="I118" s="86">
        <v>4.0</v>
      </c>
      <c r="J118" s="86">
        <v>1.5</v>
      </c>
      <c r="K118" s="86">
        <v>1.0</v>
      </c>
      <c r="L118" s="86">
        <v>0.0</v>
      </c>
      <c r="O118" s="28"/>
      <c r="P118" s="28"/>
      <c r="Q118" s="28"/>
    </row>
    <row r="119" ht="15.75" customHeight="1">
      <c r="A119" s="83" t="s">
        <v>617</v>
      </c>
      <c r="B119" s="12" t="s">
        <v>58</v>
      </c>
      <c r="C119" s="12" t="s">
        <v>59</v>
      </c>
      <c r="D119" s="86">
        <v>4.0</v>
      </c>
      <c r="E119" s="86">
        <v>26.0</v>
      </c>
      <c r="F119" s="86">
        <v>0.0</v>
      </c>
      <c r="G119" s="82">
        <v>6.5</v>
      </c>
      <c r="H119" s="86">
        <v>7.0</v>
      </c>
      <c r="I119" s="86">
        <v>1.0</v>
      </c>
      <c r="J119" s="86">
        <v>1.0</v>
      </c>
      <c r="K119" s="86">
        <v>0.0</v>
      </c>
      <c r="L119" s="86">
        <v>0.0</v>
      </c>
      <c r="O119" s="28"/>
      <c r="P119" s="28"/>
      <c r="Q119" s="28"/>
    </row>
    <row r="120" ht="15.75" customHeight="1">
      <c r="A120" s="12" t="s">
        <v>496</v>
      </c>
      <c r="B120" s="12" t="s">
        <v>58</v>
      </c>
      <c r="C120" s="12" t="s">
        <v>61</v>
      </c>
      <c r="D120" s="85">
        <v>4.0</v>
      </c>
      <c r="E120" s="85">
        <v>26.0</v>
      </c>
      <c r="F120" s="85">
        <v>1.0</v>
      </c>
      <c r="G120" s="18">
        <v>6.5</v>
      </c>
      <c r="H120" s="85">
        <v>9.0</v>
      </c>
      <c r="I120" s="85">
        <v>2.5</v>
      </c>
      <c r="J120" s="85">
        <v>0.5</v>
      </c>
      <c r="K120" s="85">
        <v>0.0</v>
      </c>
      <c r="L120" s="85">
        <v>0.0</v>
      </c>
      <c r="O120" s="28"/>
      <c r="P120" s="28"/>
      <c r="Q120" s="28"/>
    </row>
    <row r="121" ht="15.75" customHeight="1">
      <c r="A121" s="12" t="s">
        <v>496</v>
      </c>
      <c r="B121" s="12" t="s">
        <v>58</v>
      </c>
      <c r="C121" s="12" t="s">
        <v>47</v>
      </c>
      <c r="D121" s="85">
        <v>2.0</v>
      </c>
      <c r="E121" s="85">
        <v>26.666666666666668</v>
      </c>
      <c r="F121" s="85">
        <v>1.0</v>
      </c>
      <c r="G121" s="18">
        <v>13.333333333333334</v>
      </c>
      <c r="H121" s="85">
        <v>4.0</v>
      </c>
      <c r="I121" s="85">
        <v>3.0</v>
      </c>
      <c r="J121" s="85">
        <v>1.6666666666666667</v>
      </c>
      <c r="K121" s="85">
        <v>1.0</v>
      </c>
      <c r="L121" s="85">
        <v>0.0</v>
      </c>
    </row>
    <row r="122" ht="15.75" customHeight="1">
      <c r="A122" s="12" t="s">
        <v>496</v>
      </c>
      <c r="B122" s="12" t="s">
        <v>58</v>
      </c>
      <c r="C122" s="12" t="s">
        <v>56</v>
      </c>
      <c r="D122" s="85">
        <v>1.7333333333333334</v>
      </c>
      <c r="E122" s="85">
        <v>14.333333333333334</v>
      </c>
      <c r="F122" s="85">
        <v>0.3333333333333333</v>
      </c>
      <c r="G122" s="18">
        <v>8.116666666666667</v>
      </c>
      <c r="H122" s="85">
        <v>2.6666666666666665</v>
      </c>
      <c r="I122" s="85">
        <v>1.0</v>
      </c>
      <c r="J122" s="85">
        <v>0.3333333333333333</v>
      </c>
      <c r="K122" s="85">
        <v>0.0</v>
      </c>
      <c r="L122" s="85">
        <v>0.0</v>
      </c>
    </row>
    <row r="123" ht="15.75" customHeight="1">
      <c r="A123" s="12" t="s">
        <v>496</v>
      </c>
      <c r="B123" s="12" t="s">
        <v>58</v>
      </c>
      <c r="C123" s="12" t="s">
        <v>59</v>
      </c>
      <c r="D123" s="85">
        <v>1.5</v>
      </c>
      <c r="E123" s="85">
        <v>22.0</v>
      </c>
      <c r="F123" s="85">
        <v>0.5</v>
      </c>
      <c r="G123" s="18">
        <v>16.25</v>
      </c>
      <c r="H123" s="85">
        <v>0.5</v>
      </c>
      <c r="I123" s="85">
        <v>0.5</v>
      </c>
      <c r="J123" s="85">
        <v>2.0</v>
      </c>
      <c r="K123" s="85">
        <v>0.5</v>
      </c>
      <c r="L123" s="85">
        <v>0.0</v>
      </c>
    </row>
    <row r="124" ht="15.75" customHeight="1">
      <c r="A124" s="12" t="s">
        <v>496</v>
      </c>
      <c r="B124" s="12" t="s">
        <v>58</v>
      </c>
      <c r="C124" s="12" t="s">
        <v>54</v>
      </c>
      <c r="D124" s="85">
        <v>2.0</v>
      </c>
      <c r="E124" s="85">
        <v>22.0</v>
      </c>
      <c r="F124" s="85">
        <v>1.0</v>
      </c>
      <c r="G124" s="18">
        <v>11.0</v>
      </c>
      <c r="H124" s="85">
        <v>2.0</v>
      </c>
      <c r="I124" s="85">
        <v>0.5</v>
      </c>
      <c r="J124" s="85">
        <v>2.0</v>
      </c>
      <c r="K124" s="85">
        <v>0.0</v>
      </c>
      <c r="L124" s="85">
        <v>0.0</v>
      </c>
    </row>
    <row r="125" ht="15.75" customHeight="1">
      <c r="A125" s="12" t="s">
        <v>496</v>
      </c>
      <c r="B125" s="12" t="s">
        <v>58</v>
      </c>
      <c r="C125" s="12" t="s">
        <v>572</v>
      </c>
      <c r="D125" s="85">
        <v>2.0</v>
      </c>
      <c r="E125" s="85">
        <v>24.0</v>
      </c>
      <c r="F125" s="85">
        <v>1.0</v>
      </c>
      <c r="G125" s="18">
        <v>12.0</v>
      </c>
      <c r="H125" s="85">
        <v>3.0</v>
      </c>
      <c r="I125" s="85">
        <v>5.0</v>
      </c>
      <c r="J125" s="85">
        <v>0.0</v>
      </c>
      <c r="K125" s="85">
        <v>0.0</v>
      </c>
      <c r="L125" s="85">
        <v>0.0</v>
      </c>
    </row>
    <row r="126" ht="15.75" customHeight="1">
      <c r="A126" s="12" t="s">
        <v>496</v>
      </c>
      <c r="B126" s="12" t="s">
        <v>58</v>
      </c>
      <c r="C126" s="12" t="s">
        <v>62</v>
      </c>
      <c r="D126" s="85">
        <v>3.0</v>
      </c>
      <c r="E126" s="85">
        <v>32.5</v>
      </c>
      <c r="F126" s="85">
        <v>0.5</v>
      </c>
      <c r="G126" s="18">
        <v>10.75</v>
      </c>
      <c r="H126" s="85">
        <v>4.0</v>
      </c>
      <c r="I126" s="85">
        <v>4.0</v>
      </c>
      <c r="J126" s="85">
        <v>0.5</v>
      </c>
      <c r="K126" s="85">
        <v>2.0</v>
      </c>
      <c r="L126" s="85">
        <v>0.0</v>
      </c>
    </row>
    <row r="127" ht="15.75" customHeight="1">
      <c r="A127" s="12" t="s">
        <v>608</v>
      </c>
      <c r="B127" s="12" t="s">
        <v>58</v>
      </c>
      <c r="C127" s="12" t="s">
        <v>47</v>
      </c>
      <c r="D127" s="85">
        <v>4.0</v>
      </c>
      <c r="E127" s="85">
        <v>23.0</v>
      </c>
      <c r="F127" s="85">
        <v>2.0</v>
      </c>
      <c r="G127" s="18">
        <v>5.75</v>
      </c>
      <c r="H127" s="85">
        <v>13.0</v>
      </c>
      <c r="I127" s="85">
        <v>1.5</v>
      </c>
      <c r="J127" s="85">
        <v>1.0</v>
      </c>
      <c r="K127" s="85">
        <v>0.5</v>
      </c>
      <c r="L127" s="85">
        <v>0.0</v>
      </c>
    </row>
    <row r="128" ht="15.75" customHeight="1">
      <c r="A128" s="12" t="s">
        <v>608</v>
      </c>
      <c r="B128" s="12" t="s">
        <v>58</v>
      </c>
      <c r="C128" s="12" t="s">
        <v>59</v>
      </c>
      <c r="D128" s="85">
        <v>2.0</v>
      </c>
      <c r="E128" s="85">
        <v>13.0</v>
      </c>
      <c r="F128" s="85">
        <v>0.0</v>
      </c>
      <c r="G128" s="18">
        <v>6.5</v>
      </c>
      <c r="H128" s="85">
        <v>2.0</v>
      </c>
      <c r="I128" s="85">
        <v>1.0</v>
      </c>
      <c r="J128" s="85">
        <v>0.0</v>
      </c>
      <c r="K128" s="85">
        <v>0.0</v>
      </c>
      <c r="L128" s="85">
        <v>0.0</v>
      </c>
    </row>
    <row r="129" ht="15.75" customHeight="1">
      <c r="A129" s="12" t="s">
        <v>608</v>
      </c>
      <c r="B129" s="12" t="s">
        <v>58</v>
      </c>
      <c r="C129" s="12" t="s">
        <v>54</v>
      </c>
      <c r="D129" s="85">
        <v>3.0</v>
      </c>
      <c r="E129" s="85">
        <v>32.5</v>
      </c>
      <c r="F129" s="85">
        <v>0.5</v>
      </c>
      <c r="G129" s="18">
        <v>10.75</v>
      </c>
      <c r="H129" s="85">
        <v>4.0</v>
      </c>
      <c r="I129" s="85">
        <v>4.0</v>
      </c>
      <c r="J129" s="85">
        <v>0.5</v>
      </c>
      <c r="K129" s="85">
        <v>2.0</v>
      </c>
      <c r="L129" s="85">
        <v>0.0</v>
      </c>
    </row>
    <row r="130" ht="15.75" customHeight="1">
      <c r="A130" s="12" t="s">
        <v>608</v>
      </c>
      <c r="B130" s="12" t="s">
        <v>58</v>
      </c>
      <c r="C130" s="12" t="s">
        <v>61</v>
      </c>
      <c r="D130" s="85">
        <v>4.0</v>
      </c>
      <c r="E130" s="85">
        <v>23.0</v>
      </c>
      <c r="F130" s="85">
        <v>2.0</v>
      </c>
      <c r="G130" s="18">
        <v>5.75</v>
      </c>
      <c r="H130" s="85">
        <v>13.0</v>
      </c>
      <c r="I130" s="85">
        <v>1.5</v>
      </c>
      <c r="J130" s="85">
        <v>1.0</v>
      </c>
      <c r="K130" s="85">
        <v>0.5</v>
      </c>
      <c r="L130" s="85">
        <v>0.0</v>
      </c>
    </row>
    <row r="131" ht="15.75" customHeight="1">
      <c r="A131" s="12" t="s">
        <v>608</v>
      </c>
      <c r="B131" s="12" t="s">
        <v>58</v>
      </c>
      <c r="C131" s="12" t="s">
        <v>56</v>
      </c>
      <c r="D131" s="85">
        <v>2.0</v>
      </c>
      <c r="E131" s="85">
        <v>13.0</v>
      </c>
      <c r="F131" s="85">
        <v>0.0</v>
      </c>
      <c r="G131" s="18">
        <v>6.5</v>
      </c>
      <c r="H131" s="85">
        <v>2.0</v>
      </c>
      <c r="I131" s="85">
        <v>1.0</v>
      </c>
      <c r="J131" s="85">
        <v>0.0</v>
      </c>
      <c r="K131" s="85">
        <v>0.0</v>
      </c>
      <c r="L131" s="85">
        <v>0.0</v>
      </c>
    </row>
    <row r="132" ht="15.75" customHeight="1">
      <c r="A132" s="12" t="s">
        <v>608</v>
      </c>
      <c r="B132" s="12" t="s">
        <v>58</v>
      </c>
      <c r="C132" s="12" t="s">
        <v>58</v>
      </c>
      <c r="D132" s="85">
        <v>3.5</v>
      </c>
      <c r="E132" s="85">
        <v>44.5</v>
      </c>
      <c r="F132" s="85">
        <v>2.0</v>
      </c>
      <c r="G132" s="18">
        <v>12.705</v>
      </c>
      <c r="H132" s="85">
        <v>5.5</v>
      </c>
      <c r="I132" s="85">
        <v>5.5</v>
      </c>
      <c r="J132" s="85">
        <v>2.0</v>
      </c>
      <c r="K132" s="85">
        <v>1.5</v>
      </c>
      <c r="L132" s="85">
        <v>0.0</v>
      </c>
    </row>
    <row r="133" ht="15.75" customHeight="1">
      <c r="A133" s="12" t="s">
        <v>608</v>
      </c>
      <c r="B133" s="12" t="s">
        <v>58</v>
      </c>
      <c r="C133" s="12" t="s">
        <v>572</v>
      </c>
    </row>
    <row r="134" ht="15.75" customHeight="1">
      <c r="A134" s="12" t="s">
        <v>545</v>
      </c>
      <c r="B134" s="12" t="s">
        <v>58</v>
      </c>
      <c r="C134" s="12" t="s">
        <v>61</v>
      </c>
      <c r="D134" s="85">
        <v>2.5</v>
      </c>
      <c r="E134" s="85">
        <v>16.5</v>
      </c>
      <c r="F134" s="85">
        <v>0.5</v>
      </c>
      <c r="G134" s="18">
        <v>7.0</v>
      </c>
      <c r="H134" s="85">
        <v>5.5</v>
      </c>
      <c r="I134" s="85">
        <v>2.0</v>
      </c>
      <c r="J134" s="85">
        <v>0.0</v>
      </c>
      <c r="K134" s="85">
        <v>0.5</v>
      </c>
      <c r="L134" s="85">
        <v>0.0</v>
      </c>
    </row>
    <row r="135" ht="15.75" customHeight="1">
      <c r="A135" s="12" t="s">
        <v>545</v>
      </c>
      <c r="B135" s="12" t="s">
        <v>58</v>
      </c>
      <c r="C135" s="12" t="s">
        <v>47</v>
      </c>
      <c r="D135" s="85">
        <v>2.5</v>
      </c>
      <c r="E135" s="85">
        <v>22.0</v>
      </c>
      <c r="F135" s="85">
        <v>0.0</v>
      </c>
      <c r="G135" s="18">
        <v>8.83</v>
      </c>
      <c r="H135" s="85">
        <v>4.0</v>
      </c>
      <c r="I135" s="85">
        <v>2.5</v>
      </c>
      <c r="J135" s="85">
        <v>0.0</v>
      </c>
      <c r="K135" s="85">
        <v>1.5</v>
      </c>
      <c r="L135" s="85">
        <v>0.0</v>
      </c>
    </row>
    <row r="136" ht="15.75" customHeight="1">
      <c r="A136" s="12" t="s">
        <v>545</v>
      </c>
      <c r="B136" s="12" t="s">
        <v>58</v>
      </c>
      <c r="C136" s="12" t="s">
        <v>56</v>
      </c>
      <c r="D136" s="85">
        <v>3.0</v>
      </c>
      <c r="E136" s="85">
        <v>24.333333333333332</v>
      </c>
      <c r="F136" s="85">
        <v>0.3333333333333333</v>
      </c>
      <c r="G136" s="18">
        <v>8.106666666666667</v>
      </c>
      <c r="H136" s="85">
        <v>6.666666666666667</v>
      </c>
      <c r="I136" s="85">
        <v>2.6666666666666665</v>
      </c>
      <c r="J136" s="85">
        <v>0.3333333333333333</v>
      </c>
      <c r="K136" s="85">
        <v>0.6666666666666666</v>
      </c>
      <c r="L136" s="85">
        <v>0.3333333333333333</v>
      </c>
    </row>
    <row r="137" ht="15.75" customHeight="1">
      <c r="A137" s="12" t="s">
        <v>545</v>
      </c>
      <c r="B137" s="12" t="s">
        <v>58</v>
      </c>
      <c r="C137" s="12" t="s">
        <v>59</v>
      </c>
      <c r="D137" s="85">
        <v>4.0</v>
      </c>
      <c r="E137" s="85">
        <v>29.5</v>
      </c>
      <c r="F137" s="85">
        <v>0.5</v>
      </c>
      <c r="G137" s="18">
        <v>7.375</v>
      </c>
      <c r="H137" s="85">
        <v>7.5</v>
      </c>
      <c r="I137" s="85">
        <v>3.0</v>
      </c>
      <c r="J137" s="85">
        <v>0.5</v>
      </c>
      <c r="K137" s="85">
        <v>0.0</v>
      </c>
      <c r="L137" s="85">
        <v>0.0</v>
      </c>
    </row>
    <row r="138" ht="15.75" customHeight="1">
      <c r="A138" s="12" t="s">
        <v>545</v>
      </c>
      <c r="B138" s="12" t="s">
        <v>58</v>
      </c>
      <c r="C138" s="12" t="s">
        <v>54</v>
      </c>
      <c r="D138" s="85">
        <v>4.0</v>
      </c>
      <c r="E138" s="85">
        <v>37.0</v>
      </c>
      <c r="F138" s="85">
        <v>0.0</v>
      </c>
      <c r="G138" s="18">
        <v>9.25</v>
      </c>
      <c r="H138" s="85">
        <v>5.5</v>
      </c>
      <c r="I138" s="85">
        <v>2.5</v>
      </c>
      <c r="J138" s="85">
        <v>1.5</v>
      </c>
      <c r="K138" s="85">
        <v>0.5</v>
      </c>
      <c r="L138" s="85">
        <v>0.0</v>
      </c>
    </row>
    <row r="139" ht="15.75" customHeight="1">
      <c r="A139" s="12" t="s">
        <v>605</v>
      </c>
      <c r="B139" s="12" t="s">
        <v>58</v>
      </c>
      <c r="C139" s="12" t="s">
        <v>47</v>
      </c>
      <c r="D139" s="85">
        <v>3.0</v>
      </c>
      <c r="E139" s="85">
        <v>35.0</v>
      </c>
      <c r="F139" s="85">
        <v>1.0</v>
      </c>
      <c r="G139" s="18">
        <v>11.66</v>
      </c>
      <c r="H139" s="85">
        <v>6.0</v>
      </c>
      <c r="I139" s="85">
        <v>3.0</v>
      </c>
      <c r="J139" s="85">
        <v>2.0</v>
      </c>
      <c r="K139" s="85">
        <v>1.0</v>
      </c>
      <c r="L139" s="85">
        <v>0.0</v>
      </c>
    </row>
    <row r="140" ht="15.75" customHeight="1">
      <c r="A140" s="12" t="s">
        <v>568</v>
      </c>
      <c r="B140" s="12" t="s">
        <v>58</v>
      </c>
      <c r="C140" s="12" t="s">
        <v>56</v>
      </c>
      <c r="D140" s="85">
        <v>1.0</v>
      </c>
      <c r="E140" s="85">
        <v>5.0</v>
      </c>
      <c r="F140" s="85">
        <v>1.0</v>
      </c>
      <c r="G140" s="18">
        <v>5.0</v>
      </c>
      <c r="H140" s="85">
        <v>1.0</v>
      </c>
      <c r="I140" s="85">
        <v>0.0</v>
      </c>
      <c r="J140" s="85">
        <v>0.0</v>
      </c>
      <c r="K140" s="85">
        <v>0.0</v>
      </c>
      <c r="L140" s="85">
        <v>0.0</v>
      </c>
    </row>
    <row r="141" ht="15.75" customHeight="1">
      <c r="A141" s="12" t="s">
        <v>523</v>
      </c>
      <c r="B141" s="12" t="s">
        <v>47</v>
      </c>
      <c r="C141" s="12" t="s">
        <v>572</v>
      </c>
      <c r="D141" s="85">
        <v>3.0</v>
      </c>
      <c r="E141" s="85">
        <v>15.0</v>
      </c>
      <c r="F141" s="85">
        <v>2.5</v>
      </c>
      <c r="G141" s="18">
        <v>5.375</v>
      </c>
      <c r="H141" s="85">
        <v>10.0</v>
      </c>
      <c r="I141" s="85">
        <v>1.5</v>
      </c>
      <c r="J141" s="85">
        <v>0.5</v>
      </c>
      <c r="K141" s="85">
        <v>0.0</v>
      </c>
      <c r="L141" s="85">
        <v>0.0</v>
      </c>
    </row>
    <row r="142" ht="15.75" customHeight="1">
      <c r="A142" s="12" t="s">
        <v>523</v>
      </c>
      <c r="B142" s="12" t="s">
        <v>47</v>
      </c>
      <c r="C142" s="12" t="s">
        <v>58</v>
      </c>
      <c r="D142" s="85">
        <v>2.0</v>
      </c>
      <c r="E142" s="85">
        <v>23.0</v>
      </c>
      <c r="F142" s="85">
        <v>0.0</v>
      </c>
      <c r="G142" s="18">
        <v>11.5</v>
      </c>
      <c r="H142" s="85">
        <v>2.0</v>
      </c>
      <c r="I142" s="85">
        <v>2.0</v>
      </c>
      <c r="J142" s="85">
        <v>1.0</v>
      </c>
      <c r="K142" s="85">
        <v>1.0</v>
      </c>
      <c r="L142" s="85">
        <v>0.0</v>
      </c>
    </row>
    <row r="143" ht="15.75" customHeight="1">
      <c r="A143" s="12" t="s">
        <v>523</v>
      </c>
      <c r="B143" s="12" t="s">
        <v>47</v>
      </c>
      <c r="C143" s="12" t="s">
        <v>54</v>
      </c>
      <c r="D143" s="85">
        <v>3.125</v>
      </c>
      <c r="E143" s="85">
        <v>26.5</v>
      </c>
      <c r="F143" s="85">
        <v>0.75</v>
      </c>
      <c r="G143" s="18">
        <v>10.2375</v>
      </c>
      <c r="H143" s="85">
        <v>6.75</v>
      </c>
      <c r="I143" s="85">
        <v>1.25</v>
      </c>
      <c r="J143" s="85">
        <v>1.75</v>
      </c>
      <c r="K143" s="85">
        <v>0.0</v>
      </c>
      <c r="L143" s="85">
        <v>0.0</v>
      </c>
    </row>
    <row r="144" ht="15.75" customHeight="1">
      <c r="A144" s="12" t="s">
        <v>523</v>
      </c>
      <c r="B144" s="12" t="s">
        <v>47</v>
      </c>
      <c r="C144" s="12" t="s">
        <v>62</v>
      </c>
      <c r="D144" s="85">
        <v>3.3333333333333335</v>
      </c>
      <c r="E144" s="85">
        <v>24.666666666666668</v>
      </c>
      <c r="F144" s="85">
        <v>1.0</v>
      </c>
      <c r="G144" s="18">
        <v>7.553333333333332</v>
      </c>
      <c r="H144" s="85">
        <v>6.666666666666667</v>
      </c>
      <c r="I144" s="85">
        <v>1.0</v>
      </c>
      <c r="J144" s="85">
        <v>1.3333333333333333</v>
      </c>
      <c r="K144" s="85">
        <v>0.6666666666666666</v>
      </c>
      <c r="L144" s="85">
        <v>0.0</v>
      </c>
    </row>
    <row r="145" ht="15.75" customHeight="1">
      <c r="A145" s="12" t="s">
        <v>523</v>
      </c>
      <c r="B145" s="12" t="s">
        <v>47</v>
      </c>
      <c r="C145" s="12" t="s">
        <v>59</v>
      </c>
      <c r="D145" s="85">
        <v>3.0</v>
      </c>
      <c r="E145" s="85">
        <v>15.0</v>
      </c>
      <c r="F145" s="85">
        <v>2.5</v>
      </c>
      <c r="G145" s="18">
        <v>5.375</v>
      </c>
      <c r="H145" s="85">
        <v>10.0</v>
      </c>
      <c r="I145" s="85">
        <v>1.5</v>
      </c>
      <c r="J145" s="85">
        <v>0.5</v>
      </c>
      <c r="K145" s="85">
        <v>0.0</v>
      </c>
      <c r="L145" s="85">
        <v>0.0</v>
      </c>
    </row>
    <row r="146" ht="15.75" customHeight="1">
      <c r="A146" s="12" t="s">
        <v>523</v>
      </c>
      <c r="B146" s="12" t="s">
        <v>47</v>
      </c>
      <c r="C146" s="12" t="s">
        <v>56</v>
      </c>
      <c r="D146" s="85">
        <v>2.0</v>
      </c>
      <c r="E146" s="85">
        <v>23.0</v>
      </c>
      <c r="F146" s="85">
        <v>0.0</v>
      </c>
      <c r="G146" s="18">
        <v>11.5</v>
      </c>
      <c r="H146" s="85">
        <v>2.0</v>
      </c>
      <c r="I146" s="85">
        <v>2.0</v>
      </c>
      <c r="J146" s="85">
        <v>1.0</v>
      </c>
      <c r="K146" s="85">
        <v>1.0</v>
      </c>
      <c r="L146" s="85">
        <v>0.0</v>
      </c>
    </row>
    <row r="147" ht="15.75" customHeight="1">
      <c r="A147" s="12" t="s">
        <v>523</v>
      </c>
      <c r="B147" s="12" t="s">
        <v>47</v>
      </c>
      <c r="C147" s="12" t="s">
        <v>61</v>
      </c>
      <c r="D147" s="85">
        <v>3.0</v>
      </c>
      <c r="E147" s="85">
        <v>15.0</v>
      </c>
      <c r="F147" s="85">
        <v>2.5</v>
      </c>
      <c r="G147" s="18">
        <v>5.375</v>
      </c>
      <c r="H147" s="85">
        <v>10.0</v>
      </c>
      <c r="I147" s="85">
        <v>1.5</v>
      </c>
      <c r="J147" s="85">
        <v>0.5</v>
      </c>
      <c r="K147" s="85">
        <v>0.0</v>
      </c>
      <c r="L147" s="85"/>
    </row>
    <row r="148" ht="15.75" customHeight="1">
      <c r="A148" s="12" t="s">
        <v>588</v>
      </c>
      <c r="B148" s="12" t="s">
        <v>47</v>
      </c>
      <c r="C148" s="12" t="s">
        <v>572</v>
      </c>
      <c r="D148" s="85">
        <v>4.0</v>
      </c>
      <c r="E148" s="85">
        <v>52.0</v>
      </c>
      <c r="F148" s="85">
        <v>0.0</v>
      </c>
      <c r="G148" s="18">
        <v>13.0</v>
      </c>
      <c r="H148" s="85">
        <v>7.0</v>
      </c>
      <c r="I148" s="85">
        <v>8.0</v>
      </c>
      <c r="J148" s="85">
        <v>1.0</v>
      </c>
      <c r="K148" s="85">
        <v>4.0</v>
      </c>
      <c r="L148" s="85">
        <v>0.0</v>
      </c>
    </row>
    <row r="149" ht="15.75" customHeight="1">
      <c r="A149" s="12" t="s">
        <v>588</v>
      </c>
      <c r="B149" s="12" t="s">
        <v>47</v>
      </c>
      <c r="C149" s="12" t="s">
        <v>58</v>
      </c>
      <c r="D149" s="85">
        <v>3.0</v>
      </c>
      <c r="E149" s="85">
        <v>12.5</v>
      </c>
      <c r="F149" s="85">
        <v>2.0</v>
      </c>
      <c r="G149" s="18">
        <v>4.165</v>
      </c>
      <c r="H149" s="85">
        <v>11.0</v>
      </c>
      <c r="I149" s="85">
        <v>1.5</v>
      </c>
      <c r="J149" s="85">
        <v>0.0</v>
      </c>
      <c r="K149" s="85">
        <v>0.0</v>
      </c>
      <c r="L149" s="85">
        <v>0.0</v>
      </c>
    </row>
    <row r="150" ht="15.75" customHeight="1">
      <c r="A150" s="12" t="s">
        <v>588</v>
      </c>
      <c r="B150" s="12" t="s">
        <v>47</v>
      </c>
      <c r="C150" s="12" t="s">
        <v>54</v>
      </c>
      <c r="D150" s="85">
        <v>3.5</v>
      </c>
      <c r="E150" s="85">
        <v>21.25</v>
      </c>
      <c r="F150" s="85">
        <v>1.5</v>
      </c>
      <c r="G150" s="18">
        <v>5.8125</v>
      </c>
      <c r="H150" s="85">
        <v>11.25</v>
      </c>
      <c r="I150" s="85">
        <v>2.25</v>
      </c>
      <c r="J150" s="85">
        <v>0.75</v>
      </c>
      <c r="K150" s="85">
        <v>0.25</v>
      </c>
      <c r="L150" s="85">
        <v>0.0</v>
      </c>
    </row>
    <row r="151" ht="15.75" customHeight="1">
      <c r="A151" s="12" t="s">
        <v>588</v>
      </c>
      <c r="B151" s="12" t="s">
        <v>47</v>
      </c>
      <c r="C151" s="12" t="s">
        <v>59</v>
      </c>
      <c r="D151" s="85">
        <v>2.0</v>
      </c>
      <c r="E151" s="85">
        <v>23.0</v>
      </c>
      <c r="F151" s="85">
        <v>0.0</v>
      </c>
      <c r="G151" s="18">
        <v>11.5</v>
      </c>
      <c r="H151" s="85">
        <v>2.0</v>
      </c>
      <c r="I151" s="85">
        <v>2.0</v>
      </c>
      <c r="J151" s="85">
        <v>1.0</v>
      </c>
      <c r="K151" s="85">
        <v>1.0</v>
      </c>
      <c r="L151" s="85">
        <v>0.0</v>
      </c>
    </row>
    <row r="152" ht="15.75" customHeight="1">
      <c r="A152" s="12" t="s">
        <v>588</v>
      </c>
      <c r="B152" s="12" t="s">
        <v>47</v>
      </c>
      <c r="C152" s="12" t="s">
        <v>61</v>
      </c>
      <c r="D152" s="85">
        <v>4.0</v>
      </c>
      <c r="E152" s="85">
        <v>52.0</v>
      </c>
      <c r="F152" s="85">
        <v>0.0</v>
      </c>
      <c r="G152" s="18">
        <v>13.0</v>
      </c>
      <c r="H152" s="85">
        <v>7.0</v>
      </c>
      <c r="I152" s="85">
        <v>8.0</v>
      </c>
      <c r="J152" s="85">
        <v>1.0</v>
      </c>
      <c r="K152" s="85">
        <v>4.0</v>
      </c>
      <c r="L152" s="85">
        <v>0.0</v>
      </c>
    </row>
    <row r="153" ht="15.75" customHeight="1">
      <c r="A153" s="12" t="s">
        <v>588</v>
      </c>
      <c r="B153" s="12" t="s">
        <v>47</v>
      </c>
      <c r="C153" s="12" t="s">
        <v>56</v>
      </c>
      <c r="D153" s="85">
        <v>3.0</v>
      </c>
      <c r="E153" s="85">
        <v>12.5</v>
      </c>
      <c r="F153" s="85">
        <v>2.0</v>
      </c>
      <c r="G153" s="18">
        <v>4.165</v>
      </c>
      <c r="H153" s="85">
        <v>11.0</v>
      </c>
      <c r="I153" s="85">
        <v>1.5</v>
      </c>
      <c r="J153" s="85">
        <v>0.0</v>
      </c>
      <c r="K153" s="85">
        <v>0.0</v>
      </c>
      <c r="L153" s="85">
        <v>0.0</v>
      </c>
    </row>
    <row r="154" ht="15.75" customHeight="1">
      <c r="A154" s="12" t="s">
        <v>588</v>
      </c>
      <c r="B154" s="12" t="s">
        <v>47</v>
      </c>
      <c r="C154" s="12" t="s">
        <v>62</v>
      </c>
      <c r="D154" s="85">
        <v>3.5</v>
      </c>
      <c r="E154" s="85">
        <v>21.25</v>
      </c>
      <c r="F154" s="85">
        <v>1.5</v>
      </c>
      <c r="G154" s="18">
        <v>5.8125</v>
      </c>
      <c r="H154" s="85">
        <v>11.25</v>
      </c>
      <c r="I154" s="85">
        <v>2.25</v>
      </c>
      <c r="J154" s="85">
        <v>0.75</v>
      </c>
      <c r="K154" s="85">
        <v>0.25</v>
      </c>
      <c r="L154" s="85">
        <v>0.0</v>
      </c>
    </row>
    <row r="155" ht="15.75" customHeight="1">
      <c r="A155" s="12" t="s">
        <v>167</v>
      </c>
      <c r="B155" s="12" t="s">
        <v>47</v>
      </c>
      <c r="C155" s="12" t="s">
        <v>572</v>
      </c>
      <c r="D155" s="85">
        <v>1.5</v>
      </c>
      <c r="E155" s="85">
        <v>16.0</v>
      </c>
      <c r="F155" s="85">
        <v>0.0</v>
      </c>
      <c r="G155" s="18">
        <v>10.5</v>
      </c>
      <c r="H155" s="85">
        <v>2.0</v>
      </c>
      <c r="I155" s="85">
        <v>3.0</v>
      </c>
      <c r="J155" s="85">
        <v>0.0</v>
      </c>
      <c r="K155" s="85">
        <v>0.0</v>
      </c>
      <c r="L155" s="85">
        <v>0.0</v>
      </c>
    </row>
    <row r="156" ht="15.75" customHeight="1">
      <c r="A156" s="12" t="s">
        <v>167</v>
      </c>
      <c r="B156" s="12" t="s">
        <v>47</v>
      </c>
      <c r="C156" s="12" t="s">
        <v>58</v>
      </c>
      <c r="D156" s="85">
        <v>3.5</v>
      </c>
      <c r="E156" s="85">
        <v>31.0</v>
      </c>
      <c r="F156" s="85">
        <v>2.5</v>
      </c>
      <c r="G156" s="18">
        <v>8.955</v>
      </c>
      <c r="H156" s="85">
        <v>8.0</v>
      </c>
      <c r="I156" s="85">
        <v>2.5</v>
      </c>
      <c r="J156" s="85">
        <v>1.5</v>
      </c>
      <c r="K156" s="85">
        <v>0.5</v>
      </c>
      <c r="L156" s="85">
        <v>0.0</v>
      </c>
    </row>
    <row r="157" ht="15.75" customHeight="1">
      <c r="A157" s="12" t="s">
        <v>167</v>
      </c>
      <c r="B157" s="12" t="s">
        <v>47</v>
      </c>
      <c r="C157" s="12" t="s">
        <v>56</v>
      </c>
      <c r="D157" s="85">
        <v>3.6666666666666665</v>
      </c>
      <c r="E157" s="85">
        <v>24.666666666666668</v>
      </c>
      <c r="F157" s="85">
        <v>1.6666666666666667</v>
      </c>
      <c r="G157" s="18">
        <v>7.083333333333333</v>
      </c>
      <c r="H157" s="85">
        <v>8.666666666666666</v>
      </c>
      <c r="I157" s="85">
        <v>1.6666666666666667</v>
      </c>
      <c r="J157" s="85">
        <v>1.0</v>
      </c>
      <c r="K157" s="85">
        <v>0.6666666666666666</v>
      </c>
      <c r="L157" s="85">
        <v>0.0</v>
      </c>
    </row>
    <row r="158" ht="15.75" customHeight="1">
      <c r="A158" s="12" t="s">
        <v>167</v>
      </c>
      <c r="B158" s="12" t="s">
        <v>47</v>
      </c>
      <c r="C158" s="12" t="s">
        <v>54</v>
      </c>
      <c r="D158" s="85">
        <v>1.6666666666666667</v>
      </c>
      <c r="E158" s="85">
        <v>20.333333333333332</v>
      </c>
      <c r="F158" s="85">
        <v>0.0</v>
      </c>
      <c r="G158" s="18">
        <v>13.443333333333333</v>
      </c>
      <c r="H158" s="85">
        <v>3.3333333333333335</v>
      </c>
      <c r="I158" s="85">
        <v>1.6666666666666667</v>
      </c>
      <c r="J158" s="85">
        <v>1.6666666666666667</v>
      </c>
      <c r="K158" s="85">
        <v>0.0</v>
      </c>
      <c r="L158" s="85">
        <v>0.0</v>
      </c>
    </row>
    <row r="159" ht="15.75" customHeight="1">
      <c r="A159" s="12" t="s">
        <v>167</v>
      </c>
      <c r="B159" s="12" t="s">
        <v>47</v>
      </c>
      <c r="C159" s="12" t="s">
        <v>62</v>
      </c>
      <c r="D159" s="85">
        <v>3.0</v>
      </c>
      <c r="E159" s="85">
        <v>18.333333333333332</v>
      </c>
      <c r="F159" s="85">
        <v>0.6666666666666666</v>
      </c>
      <c r="G159" s="18">
        <v>6.0</v>
      </c>
      <c r="H159" s="85">
        <v>11.0</v>
      </c>
      <c r="I159" s="85">
        <v>1.3333333333333333</v>
      </c>
      <c r="J159" s="85">
        <v>1.0</v>
      </c>
      <c r="K159" s="85">
        <v>1.3333333333333333</v>
      </c>
      <c r="L159" s="85">
        <v>0.0</v>
      </c>
    </row>
    <row r="160" ht="15.75" customHeight="1">
      <c r="A160" s="12" t="s">
        <v>167</v>
      </c>
      <c r="B160" s="12" t="s">
        <v>47</v>
      </c>
      <c r="C160" s="12" t="s">
        <v>59</v>
      </c>
      <c r="D160" s="85">
        <v>3.0</v>
      </c>
      <c r="E160" s="85">
        <v>40.5</v>
      </c>
      <c r="F160" s="85">
        <v>0.0</v>
      </c>
      <c r="G160" s="18">
        <v>14.125</v>
      </c>
      <c r="H160" s="85">
        <v>4.5</v>
      </c>
      <c r="I160" s="85">
        <v>2.5</v>
      </c>
      <c r="J160" s="85">
        <v>3.5</v>
      </c>
      <c r="K160" s="85">
        <v>0.5</v>
      </c>
      <c r="L160" s="85">
        <v>0.0</v>
      </c>
    </row>
    <row r="161" ht="15.75" customHeight="1">
      <c r="A161" s="12" t="s">
        <v>167</v>
      </c>
      <c r="B161" s="12" t="s">
        <v>47</v>
      </c>
      <c r="C161" s="12" t="s">
        <v>61</v>
      </c>
      <c r="D161" s="85">
        <v>3.6666666666666665</v>
      </c>
      <c r="E161" s="85">
        <v>31.0</v>
      </c>
      <c r="F161" s="85">
        <v>1.3333333333333333</v>
      </c>
      <c r="G161" s="18">
        <v>8.416666666666666</v>
      </c>
      <c r="H161" s="85">
        <v>9.333333333333334</v>
      </c>
      <c r="I161" s="85">
        <v>3.3333333333333335</v>
      </c>
      <c r="J161" s="85">
        <v>1.3333333333333333</v>
      </c>
      <c r="K161" s="85">
        <v>0.3333333333333333</v>
      </c>
      <c r="L161" s="85">
        <v>0.0</v>
      </c>
    </row>
    <row r="162" ht="15.75" customHeight="1">
      <c r="A162" s="12" t="s">
        <v>522</v>
      </c>
      <c r="B162" s="12" t="s">
        <v>47</v>
      </c>
      <c r="C162" s="12" t="s">
        <v>572</v>
      </c>
      <c r="D162" s="85">
        <v>3.0</v>
      </c>
      <c r="E162" s="85">
        <v>40.5</v>
      </c>
      <c r="F162" s="85">
        <v>0.0</v>
      </c>
      <c r="G162" s="18">
        <v>14.125</v>
      </c>
      <c r="H162" s="85">
        <v>4.5</v>
      </c>
      <c r="I162" s="85">
        <v>2.5</v>
      </c>
      <c r="J162" s="85">
        <v>3.5</v>
      </c>
      <c r="K162" s="85">
        <v>0.5</v>
      </c>
      <c r="L162" s="85">
        <v>0.0</v>
      </c>
    </row>
    <row r="163" ht="15.75" customHeight="1">
      <c r="A163" s="12" t="s">
        <v>522</v>
      </c>
      <c r="B163" s="12" t="s">
        <v>47</v>
      </c>
      <c r="C163" s="12" t="s">
        <v>58</v>
      </c>
      <c r="D163" s="85">
        <v>3.6666666666666665</v>
      </c>
      <c r="E163" s="85">
        <v>31.0</v>
      </c>
      <c r="F163" s="85">
        <v>1.3333333333333333</v>
      </c>
      <c r="G163" s="18">
        <v>8.416666666666666</v>
      </c>
      <c r="H163" s="85">
        <v>9.333333333333334</v>
      </c>
      <c r="I163" s="85">
        <v>3.3333333333333335</v>
      </c>
      <c r="J163" s="85">
        <v>1.3333333333333333</v>
      </c>
      <c r="K163" s="85">
        <v>0.3333333333333333</v>
      </c>
      <c r="L163" s="85">
        <v>0.0</v>
      </c>
    </row>
    <row r="164" ht="15.75" customHeight="1">
      <c r="A164" s="12" t="s">
        <v>522</v>
      </c>
      <c r="B164" s="12" t="s">
        <v>47</v>
      </c>
      <c r="C164" s="12" t="s">
        <v>54</v>
      </c>
      <c r="D164" s="85">
        <v>3.025</v>
      </c>
      <c r="E164" s="85">
        <v>22.0</v>
      </c>
      <c r="F164" s="85">
        <v>1.75</v>
      </c>
      <c r="G164" s="18">
        <v>6.45</v>
      </c>
      <c r="H164" s="85">
        <v>7.5</v>
      </c>
      <c r="I164" s="85">
        <v>1.5</v>
      </c>
      <c r="J164" s="85">
        <v>1.25</v>
      </c>
      <c r="K164" s="85">
        <v>0.25</v>
      </c>
      <c r="L164" s="85">
        <v>0.0</v>
      </c>
    </row>
    <row r="165" ht="15.75" customHeight="1">
      <c r="A165" s="12" t="s">
        <v>522</v>
      </c>
      <c r="B165" s="12" t="s">
        <v>47</v>
      </c>
      <c r="C165" s="12" t="s">
        <v>62</v>
      </c>
      <c r="D165" s="85">
        <v>4.0</v>
      </c>
      <c r="E165" s="85">
        <v>41.0</v>
      </c>
      <c r="F165" s="85">
        <v>2.0</v>
      </c>
      <c r="G165" s="18">
        <v>10.25</v>
      </c>
      <c r="H165" s="85">
        <v>9.0</v>
      </c>
      <c r="I165" s="85">
        <v>3.0</v>
      </c>
      <c r="J165" s="85">
        <v>2.0</v>
      </c>
      <c r="K165" s="85">
        <v>1.0</v>
      </c>
      <c r="L165" s="85">
        <v>1.0</v>
      </c>
    </row>
    <row r="166" ht="15.75" customHeight="1">
      <c r="A166" s="12" t="s">
        <v>522</v>
      </c>
      <c r="B166" s="12" t="s">
        <v>47</v>
      </c>
      <c r="C166" s="12" t="s">
        <v>61</v>
      </c>
      <c r="D166" s="85">
        <v>3.6666666666666665</v>
      </c>
      <c r="E166" s="85">
        <v>31.0</v>
      </c>
      <c r="F166" s="85">
        <v>1.3333333333333333</v>
      </c>
      <c r="G166" s="18">
        <v>8.416666666666666</v>
      </c>
      <c r="H166" s="85">
        <v>9.333333333333334</v>
      </c>
      <c r="I166" s="85">
        <v>3.3333333333333335</v>
      </c>
      <c r="J166" s="85">
        <v>1.3333333333333333</v>
      </c>
      <c r="K166" s="85">
        <v>0.3333333333333333</v>
      </c>
      <c r="L166" s="85">
        <v>0.0</v>
      </c>
    </row>
    <row r="167" ht="15.75" customHeight="1">
      <c r="A167" s="12" t="s">
        <v>522</v>
      </c>
      <c r="B167" s="12" t="s">
        <v>47</v>
      </c>
      <c r="C167" s="12" t="s">
        <v>56</v>
      </c>
      <c r="D167" s="85">
        <v>3.025</v>
      </c>
      <c r="E167" s="85">
        <v>22.0</v>
      </c>
      <c r="F167" s="85">
        <v>1.75</v>
      </c>
      <c r="G167" s="18">
        <v>6.45</v>
      </c>
      <c r="H167" s="85">
        <v>7.5</v>
      </c>
      <c r="I167" s="85">
        <v>1.5</v>
      </c>
      <c r="J167" s="85">
        <v>1.25</v>
      </c>
      <c r="K167" s="85">
        <v>0.25</v>
      </c>
      <c r="L167" s="85">
        <v>0.0</v>
      </c>
    </row>
    <row r="168" ht="15.75" customHeight="1">
      <c r="A168" s="12" t="s">
        <v>173</v>
      </c>
      <c r="B168" s="12" t="s">
        <v>47</v>
      </c>
      <c r="C168" s="12" t="s">
        <v>572</v>
      </c>
      <c r="D168" s="85">
        <v>2.0</v>
      </c>
      <c r="E168" s="85">
        <v>23.0</v>
      </c>
      <c r="F168" s="85">
        <v>1.0</v>
      </c>
      <c r="G168" s="18">
        <v>11.5</v>
      </c>
      <c r="H168" s="85">
        <v>1.0</v>
      </c>
      <c r="I168" s="85">
        <v>3.0</v>
      </c>
      <c r="J168" s="85">
        <v>0.0</v>
      </c>
      <c r="K168" s="85">
        <v>1.0</v>
      </c>
      <c r="L168" s="85">
        <v>0.0</v>
      </c>
    </row>
    <row r="169" ht="15.75" customHeight="1">
      <c r="A169" s="12" t="s">
        <v>173</v>
      </c>
      <c r="B169" s="12" t="s">
        <v>47</v>
      </c>
      <c r="C169" s="12" t="s">
        <v>58</v>
      </c>
      <c r="D169" s="85">
        <v>3.0</v>
      </c>
      <c r="E169" s="85">
        <v>10.0</v>
      </c>
      <c r="F169" s="85">
        <v>2.0</v>
      </c>
      <c r="G169" s="18">
        <v>3.33</v>
      </c>
      <c r="H169" s="85">
        <v>11.0</v>
      </c>
      <c r="I169" s="85">
        <v>1.0</v>
      </c>
      <c r="J169" s="85">
        <v>0.0</v>
      </c>
      <c r="K169" s="85">
        <v>0.0</v>
      </c>
      <c r="L169" s="85">
        <v>0.0</v>
      </c>
    </row>
    <row r="170" ht="15.75" customHeight="1">
      <c r="A170" s="12" t="s">
        <v>173</v>
      </c>
      <c r="B170" s="12" t="s">
        <v>47</v>
      </c>
      <c r="C170" s="12" t="s">
        <v>62</v>
      </c>
      <c r="D170" s="85">
        <v>4.0</v>
      </c>
      <c r="E170" s="85">
        <v>41.0</v>
      </c>
      <c r="F170" s="85">
        <v>2.0</v>
      </c>
      <c r="G170" s="18">
        <v>10.25</v>
      </c>
      <c r="H170" s="85">
        <v>9.0</v>
      </c>
      <c r="I170" s="85">
        <v>3.0</v>
      </c>
      <c r="J170" s="85">
        <v>2.0</v>
      </c>
      <c r="K170" s="85">
        <v>1.0</v>
      </c>
      <c r="L170" s="85">
        <v>1.0</v>
      </c>
    </row>
    <row r="171" ht="15.75" customHeight="1">
      <c r="A171" s="12" t="s">
        <v>173</v>
      </c>
      <c r="B171" s="12" t="s">
        <v>47</v>
      </c>
      <c r="C171" s="12" t="s">
        <v>54</v>
      </c>
      <c r="D171" s="85">
        <v>3.6666666666666665</v>
      </c>
      <c r="E171" s="85">
        <v>31.0</v>
      </c>
      <c r="F171" s="85">
        <v>1.3333333333333333</v>
      </c>
      <c r="G171" s="18">
        <v>8.416666666666666</v>
      </c>
      <c r="H171" s="85">
        <v>9.333333333333334</v>
      </c>
      <c r="I171" s="85">
        <v>3.3333333333333335</v>
      </c>
      <c r="J171" s="85">
        <v>1.3333333333333333</v>
      </c>
      <c r="K171" s="85">
        <v>0.3333333333333333</v>
      </c>
      <c r="L171" s="85">
        <v>0.0</v>
      </c>
    </row>
    <row r="172" ht="15.75" customHeight="1">
      <c r="A172" s="12" t="s">
        <v>173</v>
      </c>
      <c r="B172" s="12" t="s">
        <v>47</v>
      </c>
      <c r="C172" s="12" t="s">
        <v>56</v>
      </c>
      <c r="D172" s="85">
        <v>3.025</v>
      </c>
      <c r="E172" s="85">
        <v>22.0</v>
      </c>
      <c r="F172" s="85">
        <v>1.75</v>
      </c>
      <c r="G172" s="18">
        <v>6.45</v>
      </c>
      <c r="H172" s="85">
        <v>7.5</v>
      </c>
      <c r="I172" s="85">
        <v>1.5</v>
      </c>
      <c r="J172" s="85">
        <v>1.25</v>
      </c>
      <c r="K172" s="85">
        <v>0.25</v>
      </c>
      <c r="L172" s="85">
        <v>0.0</v>
      </c>
    </row>
    <row r="173" ht="15.75" customHeight="1">
      <c r="A173" s="12" t="s">
        <v>173</v>
      </c>
      <c r="B173" s="12" t="s">
        <v>47</v>
      </c>
      <c r="C173" s="12" t="s">
        <v>61</v>
      </c>
      <c r="D173" s="85">
        <v>2.0</v>
      </c>
      <c r="E173" s="85">
        <v>23.0</v>
      </c>
      <c r="F173" s="85">
        <v>1.0</v>
      </c>
      <c r="G173" s="18">
        <v>11.5</v>
      </c>
      <c r="H173" s="85">
        <v>1.0</v>
      </c>
      <c r="I173" s="85">
        <v>3.0</v>
      </c>
      <c r="J173" s="85">
        <v>0.0</v>
      </c>
      <c r="K173" s="85">
        <v>1.0</v>
      </c>
      <c r="L173" s="85">
        <v>0.0</v>
      </c>
    </row>
    <row r="174" ht="15.75" customHeight="1">
      <c r="A174" s="12" t="s">
        <v>173</v>
      </c>
      <c r="B174" s="12" t="s">
        <v>47</v>
      </c>
      <c r="C174" s="12" t="s">
        <v>59</v>
      </c>
      <c r="D174" s="85">
        <v>3.0</v>
      </c>
      <c r="E174" s="85">
        <v>10.0</v>
      </c>
      <c r="F174" s="85">
        <v>2.0</v>
      </c>
      <c r="G174" s="18">
        <v>3.33</v>
      </c>
      <c r="H174" s="85">
        <v>11.0</v>
      </c>
      <c r="I174" s="85">
        <v>1.0</v>
      </c>
      <c r="J174" s="85">
        <v>0.0</v>
      </c>
      <c r="K174" s="85">
        <v>0.0</v>
      </c>
      <c r="L174" s="85">
        <v>0.0</v>
      </c>
    </row>
    <row r="175" ht="15.75" customHeight="1">
      <c r="A175" s="12" t="s">
        <v>612</v>
      </c>
      <c r="B175" s="12" t="s">
        <v>47</v>
      </c>
      <c r="C175" s="12" t="s">
        <v>572</v>
      </c>
      <c r="D175" s="85">
        <v>2.0</v>
      </c>
      <c r="E175" s="85">
        <v>27.0</v>
      </c>
      <c r="F175" s="85">
        <v>2.0</v>
      </c>
      <c r="G175" s="18">
        <v>13.5</v>
      </c>
      <c r="H175" s="85">
        <v>5.0</v>
      </c>
      <c r="I175" s="85">
        <v>5.0</v>
      </c>
      <c r="J175" s="85">
        <v>1.0</v>
      </c>
      <c r="K175" s="85">
        <v>0.0</v>
      </c>
      <c r="L175" s="85">
        <v>0.0</v>
      </c>
    </row>
    <row r="176" ht="15.75" customHeight="1">
      <c r="A176" s="12" t="s">
        <v>520</v>
      </c>
      <c r="B176" s="12" t="s">
        <v>47</v>
      </c>
      <c r="C176" s="12" t="s">
        <v>58</v>
      </c>
      <c r="D176" s="85">
        <v>4.0</v>
      </c>
      <c r="E176" s="85">
        <v>56.0</v>
      </c>
      <c r="F176" s="85">
        <v>1.0</v>
      </c>
      <c r="G176" s="18">
        <v>14.0</v>
      </c>
      <c r="H176" s="85">
        <v>7.0</v>
      </c>
      <c r="I176" s="85">
        <v>6.0</v>
      </c>
      <c r="J176" s="85">
        <v>3.0</v>
      </c>
      <c r="K176" s="85">
        <v>3.0</v>
      </c>
      <c r="L176" s="85">
        <v>0.0</v>
      </c>
    </row>
    <row r="177" ht="15.75" customHeight="1">
      <c r="A177" s="12" t="s">
        <v>520</v>
      </c>
      <c r="B177" s="12" t="s">
        <v>47</v>
      </c>
      <c r="C177" s="12" t="s">
        <v>56</v>
      </c>
      <c r="D177" s="85">
        <v>1.55</v>
      </c>
      <c r="E177" s="85">
        <v>12.5</v>
      </c>
      <c r="F177" s="85">
        <v>1.0</v>
      </c>
      <c r="G177" s="18">
        <v>10.075</v>
      </c>
      <c r="H177" s="85">
        <v>5.0</v>
      </c>
      <c r="I177" s="85">
        <v>1.5</v>
      </c>
      <c r="J177" s="85">
        <v>0.5</v>
      </c>
      <c r="K177" s="85">
        <v>0.5</v>
      </c>
      <c r="L177" s="85">
        <v>0.0</v>
      </c>
    </row>
    <row r="178" ht="15.75" customHeight="1">
      <c r="A178" s="12" t="s">
        <v>520</v>
      </c>
      <c r="B178" s="12" t="s">
        <v>47</v>
      </c>
      <c r="C178" s="12" t="s">
        <v>62</v>
      </c>
      <c r="D178" s="85">
        <v>3.6666666666666665</v>
      </c>
      <c r="E178" s="85">
        <v>35.333333333333336</v>
      </c>
      <c r="F178" s="85">
        <v>2.3333333333333335</v>
      </c>
      <c r="G178" s="18">
        <v>9.693333333333333</v>
      </c>
      <c r="H178" s="85">
        <v>9.0</v>
      </c>
      <c r="I178" s="85">
        <v>3.6666666666666665</v>
      </c>
      <c r="J178" s="85">
        <v>1.6666666666666667</v>
      </c>
      <c r="K178" s="85">
        <v>1.6666666666666667</v>
      </c>
      <c r="L178" s="85">
        <v>0.6666666666666666</v>
      </c>
    </row>
    <row r="179" ht="15.75" customHeight="1">
      <c r="A179" s="12" t="s">
        <v>520</v>
      </c>
      <c r="B179" s="12" t="s">
        <v>47</v>
      </c>
      <c r="C179" s="12" t="s">
        <v>61</v>
      </c>
      <c r="D179" s="85">
        <v>4.0</v>
      </c>
      <c r="E179" s="85">
        <v>56.0</v>
      </c>
      <c r="F179" s="85">
        <v>1.0</v>
      </c>
      <c r="G179" s="18">
        <v>14.0</v>
      </c>
      <c r="H179" s="85">
        <v>7.0</v>
      </c>
      <c r="I179" s="85">
        <v>6.0</v>
      </c>
      <c r="J179" s="85">
        <v>3.0</v>
      </c>
      <c r="K179" s="85">
        <v>3.0</v>
      </c>
      <c r="L179" s="85"/>
    </row>
    <row r="180" ht="15.75" customHeight="1">
      <c r="A180" s="12" t="s">
        <v>520</v>
      </c>
      <c r="B180" s="12" t="s">
        <v>47</v>
      </c>
      <c r="C180" s="12" t="s">
        <v>54</v>
      </c>
      <c r="D180" s="85">
        <v>1.55</v>
      </c>
      <c r="E180" s="85">
        <v>12.5</v>
      </c>
      <c r="F180" s="85">
        <v>1.0</v>
      </c>
      <c r="G180" s="18">
        <v>10.075</v>
      </c>
      <c r="H180" s="85">
        <v>5.0</v>
      </c>
      <c r="I180" s="85">
        <v>1.5</v>
      </c>
      <c r="J180" s="85">
        <v>0.5</v>
      </c>
      <c r="K180" s="85">
        <v>0.5</v>
      </c>
      <c r="L180" s="85"/>
    </row>
    <row r="181" ht="15.75" customHeight="1">
      <c r="A181" s="12" t="s">
        <v>520</v>
      </c>
      <c r="B181" s="12" t="s">
        <v>47</v>
      </c>
      <c r="C181" s="12" t="s">
        <v>59</v>
      </c>
      <c r="D181" s="85">
        <v>3.6666666666666665</v>
      </c>
      <c r="E181" s="85">
        <v>35.333333333333336</v>
      </c>
      <c r="F181" s="85">
        <v>2.3333333333333335</v>
      </c>
      <c r="G181" s="18">
        <v>9.693333333333333</v>
      </c>
      <c r="H181" s="85">
        <v>9.0</v>
      </c>
      <c r="I181" s="85">
        <v>3.6666666666666665</v>
      </c>
      <c r="J181" s="85">
        <v>1.6666666666666667</v>
      </c>
      <c r="K181" s="85">
        <v>1.6666666666666667</v>
      </c>
      <c r="L181" s="85"/>
    </row>
    <row r="182" ht="15.75" customHeight="1">
      <c r="A182" s="83" t="s">
        <v>521</v>
      </c>
      <c r="B182" s="12" t="s">
        <v>47</v>
      </c>
      <c r="C182" s="12" t="s">
        <v>572</v>
      </c>
      <c r="D182" s="86">
        <v>2.1</v>
      </c>
      <c r="E182" s="86">
        <v>27.0</v>
      </c>
      <c r="F182" s="86">
        <v>0.5</v>
      </c>
      <c r="G182" s="82">
        <v>12.3</v>
      </c>
      <c r="H182" s="86">
        <v>2.5</v>
      </c>
      <c r="I182" s="86">
        <v>2.5</v>
      </c>
      <c r="J182" s="86">
        <v>1.5</v>
      </c>
      <c r="K182" s="86">
        <v>0.5</v>
      </c>
      <c r="L182" s="86">
        <v>0.0</v>
      </c>
    </row>
    <row r="183" ht="15.75" customHeight="1">
      <c r="A183" s="83" t="s">
        <v>521</v>
      </c>
      <c r="B183" s="12" t="s">
        <v>47</v>
      </c>
      <c r="C183" s="12" t="s">
        <v>58</v>
      </c>
      <c r="D183" s="86">
        <v>3.0</v>
      </c>
      <c r="E183" s="86">
        <v>21.0</v>
      </c>
      <c r="F183" s="86">
        <v>2.0</v>
      </c>
      <c r="G183" s="82">
        <v>6.5</v>
      </c>
      <c r="H183" s="86">
        <v>7.0</v>
      </c>
      <c r="I183" s="86">
        <v>1.5</v>
      </c>
      <c r="J183" s="86">
        <v>1.0</v>
      </c>
      <c r="K183" s="86">
        <v>0.0</v>
      </c>
      <c r="L183" s="86">
        <v>0.0</v>
      </c>
    </row>
    <row r="184" ht="15.75" customHeight="1">
      <c r="A184" s="83" t="s">
        <v>521</v>
      </c>
      <c r="B184" s="12" t="s">
        <v>47</v>
      </c>
      <c r="C184" s="12" t="s">
        <v>56</v>
      </c>
      <c r="D184" s="86">
        <v>2.0</v>
      </c>
      <c r="E184" s="86">
        <v>4.0</v>
      </c>
      <c r="F184" s="86">
        <v>1.0</v>
      </c>
      <c r="G184" s="82">
        <v>2.0</v>
      </c>
      <c r="H184" s="86">
        <v>10.0</v>
      </c>
      <c r="I184" s="86">
        <v>0.0</v>
      </c>
      <c r="J184" s="86">
        <v>0.0</v>
      </c>
      <c r="K184" s="86">
        <v>1.0</v>
      </c>
      <c r="L184" s="86">
        <v>0.0</v>
      </c>
    </row>
    <row r="185" ht="15.75" customHeight="1">
      <c r="A185" s="83" t="s">
        <v>521</v>
      </c>
      <c r="B185" s="12" t="s">
        <v>47</v>
      </c>
      <c r="C185" s="12" t="s">
        <v>54</v>
      </c>
      <c r="D185" s="86">
        <v>3.525</v>
      </c>
      <c r="E185" s="86">
        <v>29.0</v>
      </c>
      <c r="F185" s="86">
        <v>1.5</v>
      </c>
      <c r="G185" s="82">
        <v>8.625</v>
      </c>
      <c r="H185" s="86">
        <v>8.5</v>
      </c>
      <c r="I185" s="86">
        <v>2.25</v>
      </c>
      <c r="J185" s="86">
        <v>1.5</v>
      </c>
      <c r="K185" s="86">
        <v>1.25</v>
      </c>
      <c r="L185" s="86">
        <v>0.0</v>
      </c>
    </row>
    <row r="186" ht="15.75" customHeight="1">
      <c r="A186" s="83" t="s">
        <v>521</v>
      </c>
      <c r="B186" s="12" t="s">
        <v>47</v>
      </c>
      <c r="C186" s="12" t="s">
        <v>62</v>
      </c>
      <c r="D186" s="86">
        <v>3.0</v>
      </c>
      <c r="E186" s="86">
        <v>28.666666666666668</v>
      </c>
      <c r="F186" s="86">
        <v>1.0</v>
      </c>
      <c r="G186" s="82">
        <v>10.166666666666666</v>
      </c>
      <c r="H186" s="86">
        <v>4.333333333333333</v>
      </c>
      <c r="I186" s="86">
        <v>0.0</v>
      </c>
      <c r="J186" s="86">
        <v>2.6666666666666665</v>
      </c>
      <c r="K186" s="86">
        <v>0.3333333333333333</v>
      </c>
      <c r="L186" s="86">
        <v>0.0</v>
      </c>
    </row>
    <row r="187" ht="15.75" customHeight="1">
      <c r="A187" s="83" t="s">
        <v>521</v>
      </c>
      <c r="B187" s="12" t="s">
        <v>47</v>
      </c>
      <c r="C187" s="12" t="s">
        <v>61</v>
      </c>
      <c r="D187" s="86">
        <v>3.0</v>
      </c>
      <c r="E187" s="86">
        <v>21.0</v>
      </c>
      <c r="F187" s="86">
        <v>2.0</v>
      </c>
      <c r="G187" s="82">
        <v>6.5</v>
      </c>
      <c r="H187" s="86">
        <v>7.0</v>
      </c>
      <c r="I187" s="86">
        <v>1.5</v>
      </c>
      <c r="J187" s="86">
        <v>1.0</v>
      </c>
      <c r="K187" s="86">
        <v>0.0</v>
      </c>
      <c r="L187" s="86">
        <v>0.0</v>
      </c>
    </row>
    <row r="188" ht="15.75" customHeight="1">
      <c r="A188" s="83" t="s">
        <v>521</v>
      </c>
      <c r="B188" s="12" t="s">
        <v>47</v>
      </c>
      <c r="C188" s="12" t="s">
        <v>59</v>
      </c>
      <c r="D188" s="86">
        <v>2.0</v>
      </c>
      <c r="E188" s="86">
        <v>4.0</v>
      </c>
      <c r="F188" s="86">
        <v>1.0</v>
      </c>
      <c r="G188" s="82">
        <v>2.0</v>
      </c>
      <c r="H188" s="86">
        <v>10.0</v>
      </c>
      <c r="I188" s="86">
        <v>0.0</v>
      </c>
      <c r="J188" s="86">
        <v>0.0</v>
      </c>
      <c r="K188" s="86">
        <v>1.0</v>
      </c>
      <c r="L188" s="86">
        <v>0.0</v>
      </c>
    </row>
    <row r="189" ht="15.75" customHeight="1">
      <c r="A189" s="12" t="s">
        <v>558</v>
      </c>
      <c r="B189" s="12" t="s">
        <v>56</v>
      </c>
      <c r="C189" s="12" t="s">
        <v>572</v>
      </c>
      <c r="D189" s="85">
        <v>3.5</v>
      </c>
      <c r="E189" s="85">
        <v>26.5</v>
      </c>
      <c r="F189" s="85">
        <v>0.0</v>
      </c>
      <c r="G189" s="18">
        <v>7.875</v>
      </c>
      <c r="H189" s="85">
        <v>9.0</v>
      </c>
      <c r="I189" s="85">
        <v>2.5</v>
      </c>
      <c r="J189" s="85">
        <v>0.5</v>
      </c>
      <c r="K189" s="85">
        <v>1.0</v>
      </c>
      <c r="L189" s="85">
        <v>0.5</v>
      </c>
    </row>
    <row r="190" ht="15.75" customHeight="1">
      <c r="A190" s="12" t="s">
        <v>558</v>
      </c>
      <c r="B190" s="12" t="s">
        <v>56</v>
      </c>
      <c r="C190" s="12" t="s">
        <v>58</v>
      </c>
      <c r="D190" s="85">
        <v>3.5</v>
      </c>
      <c r="E190" s="85">
        <v>26.5</v>
      </c>
      <c r="F190" s="85">
        <v>0.0</v>
      </c>
      <c r="G190" s="18">
        <v>7.875</v>
      </c>
      <c r="H190" s="85">
        <v>9.0</v>
      </c>
      <c r="I190" s="85">
        <v>2.5</v>
      </c>
      <c r="J190" s="85">
        <v>0.5</v>
      </c>
      <c r="K190" s="85">
        <v>1.0</v>
      </c>
      <c r="L190" s="85">
        <v>0.5</v>
      </c>
    </row>
    <row r="191" ht="15.75" customHeight="1">
      <c r="A191" s="12" t="s">
        <v>558</v>
      </c>
      <c r="B191" s="12" t="s">
        <v>56</v>
      </c>
      <c r="C191" s="12" t="s">
        <v>59</v>
      </c>
      <c r="D191" s="85">
        <v>4.0</v>
      </c>
      <c r="E191" s="85">
        <v>31.0</v>
      </c>
      <c r="F191" s="85">
        <v>0.0</v>
      </c>
      <c r="G191" s="18">
        <v>7.75</v>
      </c>
      <c r="H191" s="85">
        <v>9.0</v>
      </c>
      <c r="I191" s="85">
        <v>3.0</v>
      </c>
      <c r="J191" s="85">
        <v>1.0</v>
      </c>
      <c r="K191" s="85">
        <v>0.0</v>
      </c>
      <c r="L191" s="85">
        <v>0.0</v>
      </c>
    </row>
    <row r="192" ht="15.75" customHeight="1">
      <c r="A192" s="12" t="s">
        <v>558</v>
      </c>
      <c r="B192" s="12" t="s">
        <v>56</v>
      </c>
      <c r="C192" s="12" t="s">
        <v>62</v>
      </c>
      <c r="D192" s="85">
        <v>4.0</v>
      </c>
      <c r="E192" s="85">
        <v>31.0</v>
      </c>
      <c r="F192" s="85">
        <v>0.0</v>
      </c>
      <c r="G192" s="18">
        <v>7.75</v>
      </c>
      <c r="H192" s="85">
        <v>9.0</v>
      </c>
      <c r="I192" s="85">
        <v>3.0</v>
      </c>
      <c r="J192" s="85">
        <v>1.0</v>
      </c>
      <c r="K192" s="85">
        <v>0.0</v>
      </c>
      <c r="L192" s="85">
        <v>0.0</v>
      </c>
    </row>
    <row r="193" ht="15.75" customHeight="1">
      <c r="A193" s="12" t="s">
        <v>558</v>
      </c>
      <c r="B193" s="12" t="s">
        <v>56</v>
      </c>
      <c r="C193" s="12" t="s">
        <v>61</v>
      </c>
      <c r="D193" s="85">
        <v>3.5</v>
      </c>
      <c r="E193" s="85">
        <v>26.5</v>
      </c>
      <c r="F193" s="85">
        <v>0.0</v>
      </c>
      <c r="G193" s="18">
        <v>7.875</v>
      </c>
      <c r="H193" s="85">
        <v>9.0</v>
      </c>
      <c r="I193" s="85">
        <v>2.5</v>
      </c>
      <c r="J193" s="85">
        <v>0.5</v>
      </c>
      <c r="K193" s="85">
        <v>1.0</v>
      </c>
      <c r="L193" s="85">
        <v>0.5</v>
      </c>
    </row>
    <row r="194" ht="15.75" customHeight="1">
      <c r="A194" s="12" t="s">
        <v>558</v>
      </c>
      <c r="B194" s="12" t="s">
        <v>56</v>
      </c>
      <c r="C194" s="12" t="s">
        <v>54</v>
      </c>
      <c r="D194" s="85">
        <v>4.0</v>
      </c>
      <c r="E194" s="85">
        <v>31.0</v>
      </c>
      <c r="F194" s="85">
        <v>0.0</v>
      </c>
      <c r="G194" s="18">
        <v>7.75</v>
      </c>
      <c r="H194" s="85">
        <v>9.0</v>
      </c>
      <c r="I194" s="85">
        <v>3.0</v>
      </c>
      <c r="J194" s="85">
        <v>1.0</v>
      </c>
      <c r="K194" s="85">
        <v>0.0</v>
      </c>
      <c r="L194" s="85">
        <v>0.0</v>
      </c>
    </row>
    <row r="195" ht="15.75" customHeight="1">
      <c r="A195" s="12" t="s">
        <v>558</v>
      </c>
      <c r="B195" s="12" t="s">
        <v>56</v>
      </c>
      <c r="C195" s="12" t="s">
        <v>47</v>
      </c>
      <c r="D195" s="85">
        <v>4.0</v>
      </c>
      <c r="E195" s="85">
        <v>31.0</v>
      </c>
      <c r="F195" s="85">
        <v>0.0</v>
      </c>
      <c r="G195" s="18">
        <v>7.75</v>
      </c>
      <c r="H195" s="85">
        <v>9.0</v>
      </c>
      <c r="I195" s="85">
        <v>3.0</v>
      </c>
      <c r="J195" s="85">
        <v>1.0</v>
      </c>
      <c r="K195" s="85">
        <v>0.0</v>
      </c>
      <c r="L195" s="85">
        <v>0.0</v>
      </c>
    </row>
    <row r="196" ht="15.75" customHeight="1">
      <c r="A196" s="12" t="s">
        <v>538</v>
      </c>
      <c r="B196" s="12" t="s">
        <v>56</v>
      </c>
      <c r="C196" s="12" t="s">
        <v>47</v>
      </c>
      <c r="D196" s="85">
        <v>1.8333333333333333</v>
      </c>
      <c r="E196" s="85">
        <v>26.666666666666668</v>
      </c>
      <c r="F196" s="85">
        <v>0.3333333333333333</v>
      </c>
      <c r="G196" s="18">
        <v>12.186666666666667</v>
      </c>
      <c r="H196" s="85">
        <v>2.6666666666666665</v>
      </c>
      <c r="I196" s="85">
        <v>3.3333333333333335</v>
      </c>
      <c r="J196" s="85">
        <v>1.3333333333333333</v>
      </c>
      <c r="K196" s="85">
        <v>0.6666666666666666</v>
      </c>
      <c r="L196" s="85">
        <v>0.0</v>
      </c>
    </row>
    <row r="197" ht="15.75" customHeight="1">
      <c r="A197" s="12" t="s">
        <v>538</v>
      </c>
      <c r="B197" s="12" t="s">
        <v>56</v>
      </c>
      <c r="C197" s="12" t="s">
        <v>59</v>
      </c>
      <c r="D197" s="85">
        <v>4.0</v>
      </c>
      <c r="E197" s="85">
        <v>33.0</v>
      </c>
      <c r="F197" s="85">
        <v>3.0</v>
      </c>
      <c r="G197" s="18">
        <v>8.25</v>
      </c>
      <c r="H197" s="85">
        <v>7.0</v>
      </c>
      <c r="I197" s="85">
        <v>1.0</v>
      </c>
      <c r="J197" s="85">
        <v>2.0</v>
      </c>
      <c r="K197" s="85">
        <v>1.0</v>
      </c>
      <c r="L197" s="85">
        <v>0.0</v>
      </c>
    </row>
    <row r="198" ht="15.75" customHeight="1">
      <c r="A198" s="12" t="s">
        <v>538</v>
      </c>
      <c r="B198" s="12" t="s">
        <v>56</v>
      </c>
      <c r="C198" s="12" t="s">
        <v>54</v>
      </c>
      <c r="D198" s="85">
        <v>1.8333333333333333</v>
      </c>
      <c r="E198" s="85">
        <v>26.666666666666668</v>
      </c>
      <c r="F198" s="85">
        <v>0.3333333333333333</v>
      </c>
      <c r="G198" s="18">
        <v>12.186666666666667</v>
      </c>
      <c r="H198" s="85">
        <v>2.6666666666666665</v>
      </c>
      <c r="I198" s="85">
        <v>3.3333333333333335</v>
      </c>
      <c r="J198" s="85">
        <v>1.3333333333333333</v>
      </c>
      <c r="K198" s="85">
        <v>0.6666666666666666</v>
      </c>
      <c r="L198" s="85">
        <v>0.0</v>
      </c>
    </row>
    <row r="199" ht="15.75" customHeight="1">
      <c r="A199" s="12" t="s">
        <v>538</v>
      </c>
      <c r="B199" s="12" t="s">
        <v>56</v>
      </c>
      <c r="C199" s="12" t="s">
        <v>62</v>
      </c>
      <c r="D199" s="85">
        <v>4.0</v>
      </c>
      <c r="E199" s="85">
        <v>33.0</v>
      </c>
      <c r="F199" s="85">
        <v>3.0</v>
      </c>
      <c r="G199" s="18">
        <v>8.25</v>
      </c>
      <c r="H199" s="85">
        <v>7.0</v>
      </c>
      <c r="I199" s="85">
        <v>1.0</v>
      </c>
      <c r="J199" s="85">
        <v>2.0</v>
      </c>
      <c r="K199" s="85">
        <v>1.0</v>
      </c>
      <c r="L199" s="85">
        <v>0.0</v>
      </c>
    </row>
    <row r="200" ht="15.75" customHeight="1">
      <c r="A200" s="12" t="s">
        <v>538</v>
      </c>
      <c r="B200" s="12" t="s">
        <v>56</v>
      </c>
      <c r="C200" s="12" t="s">
        <v>572</v>
      </c>
      <c r="D200" s="85">
        <v>4.0</v>
      </c>
      <c r="E200" s="85">
        <v>33.0</v>
      </c>
      <c r="F200" s="85">
        <v>3.0</v>
      </c>
      <c r="G200" s="18">
        <v>8.25</v>
      </c>
      <c r="H200" s="85">
        <v>7.0</v>
      </c>
      <c r="I200" s="85">
        <v>1.0</v>
      </c>
      <c r="J200" s="85">
        <v>2.0</v>
      </c>
      <c r="K200" s="85">
        <v>1.0</v>
      </c>
      <c r="L200" s="85">
        <v>0.0</v>
      </c>
    </row>
    <row r="201" ht="15.75" customHeight="1">
      <c r="A201" s="12" t="s">
        <v>538</v>
      </c>
      <c r="B201" s="12" t="s">
        <v>56</v>
      </c>
      <c r="C201" s="12" t="s">
        <v>58</v>
      </c>
      <c r="D201" s="85">
        <v>1.8333333333333333</v>
      </c>
      <c r="E201" s="85">
        <v>26.666666666666668</v>
      </c>
      <c r="F201" s="85">
        <v>0.3333333333333333</v>
      </c>
      <c r="G201" s="18">
        <v>12.186666666666667</v>
      </c>
      <c r="H201" s="85">
        <v>2.6666666666666665</v>
      </c>
      <c r="I201" s="85">
        <v>3.3333333333333335</v>
      </c>
      <c r="J201" s="85">
        <v>1.3333333333333333</v>
      </c>
      <c r="K201" s="85">
        <v>0.6666666666666666</v>
      </c>
      <c r="L201" s="85">
        <v>0.0</v>
      </c>
    </row>
    <row r="202" ht="15.75" customHeight="1">
      <c r="A202" s="12" t="s">
        <v>538</v>
      </c>
      <c r="B202" s="12" t="s">
        <v>56</v>
      </c>
      <c r="C202" s="12" t="s">
        <v>56</v>
      </c>
      <c r="D202" s="85">
        <v>4.0</v>
      </c>
      <c r="E202" s="85">
        <v>33.0</v>
      </c>
      <c r="F202" s="85">
        <v>3.0</v>
      </c>
      <c r="G202" s="18">
        <v>8.25</v>
      </c>
      <c r="H202" s="85">
        <v>7.0</v>
      </c>
      <c r="I202" s="85">
        <v>1.0</v>
      </c>
      <c r="J202" s="85">
        <v>2.0</v>
      </c>
      <c r="K202" s="85">
        <v>1.0</v>
      </c>
      <c r="L202" s="85">
        <v>0.0</v>
      </c>
    </row>
    <row r="203" ht="15.75" customHeight="1">
      <c r="A203" s="12" t="s">
        <v>537</v>
      </c>
      <c r="B203" s="12" t="s">
        <v>56</v>
      </c>
      <c r="C203" s="12" t="s">
        <v>572</v>
      </c>
      <c r="D203" s="85">
        <v>3.5</v>
      </c>
      <c r="E203" s="85">
        <v>30.25</v>
      </c>
      <c r="F203" s="85">
        <v>2.0</v>
      </c>
      <c r="G203" s="18">
        <v>9.0</v>
      </c>
      <c r="H203" s="85">
        <v>8.25</v>
      </c>
      <c r="I203" s="85">
        <v>1.5</v>
      </c>
      <c r="J203" s="85">
        <v>2.25</v>
      </c>
      <c r="K203" s="85">
        <v>0.75</v>
      </c>
      <c r="L203" s="85">
        <v>0.0</v>
      </c>
    </row>
    <row r="204" ht="15.75" customHeight="1">
      <c r="A204" s="12" t="s">
        <v>537</v>
      </c>
      <c r="B204" s="12" t="s">
        <v>56</v>
      </c>
      <c r="C204" s="12" t="s">
        <v>58</v>
      </c>
      <c r="D204" s="85">
        <v>3.5</v>
      </c>
      <c r="E204" s="85">
        <v>30.25</v>
      </c>
      <c r="F204" s="85">
        <v>2.0</v>
      </c>
      <c r="G204" s="18">
        <v>9.0</v>
      </c>
      <c r="H204" s="85">
        <v>8.25</v>
      </c>
      <c r="I204" s="85">
        <v>1.5</v>
      </c>
      <c r="J204" s="85">
        <v>2.25</v>
      </c>
      <c r="K204" s="85">
        <v>0.75</v>
      </c>
      <c r="L204" s="85">
        <v>0.0</v>
      </c>
    </row>
    <row r="205" ht="15.75" customHeight="1">
      <c r="A205" s="12" t="s">
        <v>537</v>
      </c>
      <c r="B205" s="12" t="s">
        <v>56</v>
      </c>
      <c r="C205" s="12" t="s">
        <v>47</v>
      </c>
      <c r="D205" s="85">
        <v>3.3333333333333335</v>
      </c>
      <c r="E205" s="85">
        <v>29.333333333333332</v>
      </c>
      <c r="F205" s="85">
        <v>1.0</v>
      </c>
      <c r="G205" s="18">
        <v>9.11</v>
      </c>
      <c r="H205" s="85">
        <v>4.666666666666667</v>
      </c>
      <c r="I205" s="85">
        <v>2.0</v>
      </c>
      <c r="J205" s="85">
        <v>1.0</v>
      </c>
      <c r="K205" s="85">
        <v>0.6666666666666666</v>
      </c>
      <c r="L205" s="85">
        <v>0.0</v>
      </c>
    </row>
    <row r="206" ht="15.75" customHeight="1">
      <c r="A206" s="12" t="s">
        <v>537</v>
      </c>
      <c r="B206" s="12" t="s">
        <v>56</v>
      </c>
      <c r="C206" s="12" t="s">
        <v>59</v>
      </c>
      <c r="D206" s="85">
        <v>4.0</v>
      </c>
      <c r="E206" s="85">
        <v>21.0</v>
      </c>
      <c r="F206" s="85">
        <v>1.0</v>
      </c>
      <c r="G206" s="18">
        <v>5.25</v>
      </c>
      <c r="H206" s="85">
        <v>9.0</v>
      </c>
      <c r="I206" s="85">
        <v>1.0</v>
      </c>
      <c r="J206" s="85">
        <v>0.0</v>
      </c>
      <c r="K206" s="85">
        <v>0.0</v>
      </c>
      <c r="L206" s="85">
        <v>0.0</v>
      </c>
    </row>
    <row r="207" ht="15.75" customHeight="1">
      <c r="A207" s="12" t="s">
        <v>537</v>
      </c>
      <c r="B207" s="12" t="s">
        <v>56</v>
      </c>
      <c r="C207" s="12" t="s">
        <v>54</v>
      </c>
      <c r="D207" s="85">
        <v>3.3333333333333335</v>
      </c>
      <c r="E207" s="85">
        <v>29.333333333333332</v>
      </c>
      <c r="F207" s="85">
        <v>1.0</v>
      </c>
      <c r="G207" s="18">
        <v>9.11</v>
      </c>
      <c r="H207" s="85">
        <v>4.666666666666667</v>
      </c>
      <c r="I207" s="85">
        <v>2.0</v>
      </c>
      <c r="J207" s="85">
        <v>1.0</v>
      </c>
      <c r="K207" s="85">
        <v>0.6666666666666666</v>
      </c>
      <c r="L207" s="85">
        <v>0.0</v>
      </c>
    </row>
    <row r="208" ht="15.75" customHeight="1">
      <c r="A208" s="12" t="s">
        <v>537</v>
      </c>
      <c r="B208" s="12" t="s">
        <v>56</v>
      </c>
      <c r="C208" s="12" t="s">
        <v>62</v>
      </c>
      <c r="D208" s="85">
        <v>4.0</v>
      </c>
      <c r="E208" s="85">
        <v>21.0</v>
      </c>
      <c r="F208" s="85">
        <v>1.0</v>
      </c>
      <c r="G208" s="18">
        <v>5.25</v>
      </c>
      <c r="H208" s="85">
        <v>9.0</v>
      </c>
      <c r="I208" s="85">
        <v>1.0</v>
      </c>
      <c r="J208" s="85">
        <v>0.0</v>
      </c>
      <c r="K208" s="85">
        <v>0.0</v>
      </c>
      <c r="L208" s="85">
        <v>0.0</v>
      </c>
    </row>
    <row r="209" ht="15.75" customHeight="1">
      <c r="A209" s="12" t="s">
        <v>537</v>
      </c>
      <c r="B209" s="12" t="s">
        <v>56</v>
      </c>
      <c r="C209" s="12" t="s">
        <v>61</v>
      </c>
      <c r="D209" s="85">
        <v>4.0</v>
      </c>
      <c r="E209" s="85">
        <v>21.0</v>
      </c>
      <c r="F209" s="85">
        <v>1.0</v>
      </c>
      <c r="G209" s="18">
        <v>5.25</v>
      </c>
      <c r="H209" s="85">
        <v>9.0</v>
      </c>
      <c r="I209" s="85">
        <v>1.0</v>
      </c>
      <c r="J209" s="85">
        <v>0.0</v>
      </c>
      <c r="K209" s="85">
        <v>0.0</v>
      </c>
      <c r="L209" s="85">
        <v>0.0</v>
      </c>
    </row>
    <row r="210" ht="15.75" customHeight="1">
      <c r="A210" s="12" t="s">
        <v>536</v>
      </c>
      <c r="B210" s="12" t="s">
        <v>56</v>
      </c>
      <c r="C210" s="12" t="s">
        <v>572</v>
      </c>
      <c r="D210" s="85">
        <v>3.5</v>
      </c>
      <c r="E210" s="85">
        <v>38.5</v>
      </c>
      <c r="F210" s="85">
        <v>0.5</v>
      </c>
      <c r="G210" s="18">
        <v>11.04</v>
      </c>
      <c r="H210" s="85">
        <v>8.5</v>
      </c>
      <c r="I210" s="85">
        <v>3.5</v>
      </c>
      <c r="J210" s="85">
        <v>1.5</v>
      </c>
      <c r="K210" s="85">
        <v>0.5</v>
      </c>
      <c r="L210" s="85">
        <v>1.5</v>
      </c>
    </row>
    <row r="211" ht="15.75" customHeight="1">
      <c r="A211" s="12" t="s">
        <v>536</v>
      </c>
      <c r="B211" s="12" t="s">
        <v>56</v>
      </c>
      <c r="C211" s="12" t="s">
        <v>58</v>
      </c>
      <c r="D211" s="85">
        <v>3.5</v>
      </c>
      <c r="E211" s="85">
        <v>38.5</v>
      </c>
      <c r="F211" s="85">
        <v>0.5</v>
      </c>
      <c r="G211" s="18">
        <v>11.04</v>
      </c>
      <c r="H211" s="85">
        <v>8.5</v>
      </c>
      <c r="I211" s="85">
        <v>3.5</v>
      </c>
      <c r="J211" s="85">
        <v>1.5</v>
      </c>
      <c r="K211" s="85">
        <v>0.5</v>
      </c>
      <c r="L211" s="85">
        <v>1.5</v>
      </c>
    </row>
    <row r="212" ht="15.75" customHeight="1">
      <c r="A212" s="12" t="s">
        <v>536</v>
      </c>
      <c r="B212" s="12" t="s">
        <v>56</v>
      </c>
      <c r="C212" s="12" t="s">
        <v>61</v>
      </c>
      <c r="D212" s="85">
        <v>3.0</v>
      </c>
      <c r="E212" s="85">
        <v>29.0</v>
      </c>
      <c r="F212" s="85">
        <v>1.5</v>
      </c>
      <c r="G212" s="18">
        <v>11.625</v>
      </c>
      <c r="H212" s="85">
        <v>4.5</v>
      </c>
      <c r="I212" s="85">
        <v>2.5</v>
      </c>
      <c r="J212" s="85">
        <v>1.0</v>
      </c>
      <c r="K212" s="85">
        <v>2.5</v>
      </c>
      <c r="L212" s="85">
        <v>0.0</v>
      </c>
    </row>
    <row r="213" ht="15.75" customHeight="1">
      <c r="A213" s="12" t="s">
        <v>536</v>
      </c>
      <c r="B213" s="12" t="s">
        <v>56</v>
      </c>
      <c r="C213" s="12" t="s">
        <v>56</v>
      </c>
      <c r="D213" s="85">
        <v>3.0</v>
      </c>
      <c r="E213" s="85">
        <v>29.0</v>
      </c>
      <c r="F213" s="85">
        <v>1.5</v>
      </c>
      <c r="G213" s="18">
        <v>11.625</v>
      </c>
      <c r="H213" s="85">
        <v>4.5</v>
      </c>
      <c r="I213" s="85">
        <v>2.5</v>
      </c>
      <c r="J213" s="85">
        <v>1.0</v>
      </c>
      <c r="K213" s="85">
        <v>2.5</v>
      </c>
      <c r="L213" s="85">
        <v>0.0</v>
      </c>
    </row>
    <row r="214" ht="15.75" customHeight="1">
      <c r="A214" s="12" t="s">
        <v>536</v>
      </c>
      <c r="B214" s="12" t="s">
        <v>56</v>
      </c>
      <c r="C214" s="12" t="s">
        <v>59</v>
      </c>
      <c r="D214" s="85">
        <v>3.5</v>
      </c>
      <c r="E214" s="85">
        <v>38.5</v>
      </c>
      <c r="F214" s="85">
        <v>0.5</v>
      </c>
      <c r="G214" s="18">
        <v>11.04</v>
      </c>
      <c r="H214" s="85">
        <v>8.5</v>
      </c>
      <c r="I214" s="85">
        <v>3.5</v>
      </c>
      <c r="J214" s="85">
        <v>1.5</v>
      </c>
      <c r="K214" s="85">
        <v>0.5</v>
      </c>
      <c r="L214" s="85">
        <v>1.5</v>
      </c>
    </row>
    <row r="215" ht="15.75" customHeight="1">
      <c r="A215" s="12" t="s">
        <v>536</v>
      </c>
      <c r="B215" s="12" t="s">
        <v>56</v>
      </c>
      <c r="C215" s="12" t="s">
        <v>47</v>
      </c>
      <c r="D215" s="85">
        <v>3.0</v>
      </c>
      <c r="E215" s="85">
        <v>31.333333333333332</v>
      </c>
      <c r="F215" s="85">
        <v>0.6666666666666666</v>
      </c>
      <c r="G215" s="18">
        <v>9.583333333333334</v>
      </c>
      <c r="H215" s="85">
        <v>7.333333333333333</v>
      </c>
      <c r="I215" s="85">
        <v>3.0</v>
      </c>
      <c r="J215" s="85">
        <v>2.0</v>
      </c>
      <c r="K215" s="85">
        <v>1.3333333333333333</v>
      </c>
      <c r="L215" s="85">
        <v>0.0</v>
      </c>
    </row>
    <row r="216" ht="15.75" customHeight="1">
      <c r="A216" s="12" t="s">
        <v>536</v>
      </c>
      <c r="B216" s="12" t="s">
        <v>56</v>
      </c>
      <c r="C216" s="12" t="s">
        <v>54</v>
      </c>
      <c r="D216" s="85">
        <v>3.0</v>
      </c>
      <c r="E216" s="85">
        <v>31.333333333333332</v>
      </c>
      <c r="F216" s="85">
        <v>0.6666666666666666</v>
      </c>
      <c r="G216" s="18">
        <v>9.583333333333334</v>
      </c>
      <c r="H216" s="85">
        <v>7.333333333333333</v>
      </c>
      <c r="I216" s="85">
        <v>3.0</v>
      </c>
      <c r="J216" s="85">
        <v>2.0</v>
      </c>
      <c r="K216" s="85">
        <v>1.3333333333333333</v>
      </c>
      <c r="L216" s="85">
        <v>0.0</v>
      </c>
    </row>
    <row r="217" ht="15.75" customHeight="1">
      <c r="A217" s="12" t="s">
        <v>535</v>
      </c>
      <c r="B217" s="12" t="s">
        <v>56</v>
      </c>
      <c r="C217" s="12" t="s">
        <v>572</v>
      </c>
      <c r="D217" s="85">
        <v>3.5</v>
      </c>
      <c r="E217" s="85">
        <v>29.0</v>
      </c>
      <c r="F217" s="85">
        <v>1.25</v>
      </c>
      <c r="G217" s="18">
        <v>8.29</v>
      </c>
      <c r="H217" s="85">
        <v>7.75</v>
      </c>
      <c r="I217" s="85">
        <v>2.5</v>
      </c>
      <c r="J217" s="85">
        <v>1.0</v>
      </c>
      <c r="K217" s="85">
        <v>0.75</v>
      </c>
      <c r="L217" s="85">
        <v>0.0</v>
      </c>
    </row>
    <row r="218" ht="15.75" customHeight="1">
      <c r="A218" s="12" t="s">
        <v>535</v>
      </c>
      <c r="B218" s="12" t="s">
        <v>56</v>
      </c>
      <c r="C218" s="12" t="s">
        <v>58</v>
      </c>
      <c r="D218" s="85">
        <v>3.5</v>
      </c>
      <c r="E218" s="85">
        <v>29.0</v>
      </c>
      <c r="F218" s="85">
        <v>1.25</v>
      </c>
      <c r="G218" s="18">
        <v>8.29</v>
      </c>
      <c r="H218" s="85">
        <v>7.75</v>
      </c>
      <c r="I218" s="85">
        <v>2.5</v>
      </c>
      <c r="J218" s="85">
        <v>1.0</v>
      </c>
      <c r="K218" s="85">
        <v>0.75</v>
      </c>
      <c r="L218" s="85">
        <v>0.0</v>
      </c>
    </row>
    <row r="219" ht="15.75" customHeight="1">
      <c r="A219" s="12" t="s">
        <v>535</v>
      </c>
      <c r="B219" s="12" t="s">
        <v>56</v>
      </c>
      <c r="C219" s="12" t="s">
        <v>47</v>
      </c>
      <c r="D219" s="85">
        <v>4.0</v>
      </c>
      <c r="E219" s="85">
        <v>22.666666666666668</v>
      </c>
      <c r="F219" s="85">
        <v>0.6666666666666666</v>
      </c>
      <c r="G219" s="18">
        <v>5.666666666666667</v>
      </c>
      <c r="H219" s="85">
        <v>11.0</v>
      </c>
      <c r="I219" s="85">
        <v>2.0</v>
      </c>
      <c r="J219" s="85">
        <v>0.3333333333333333</v>
      </c>
      <c r="K219" s="85">
        <v>1.3333333333333333</v>
      </c>
      <c r="L219" s="85">
        <v>0.0</v>
      </c>
    </row>
    <row r="220" ht="15.75" customHeight="1">
      <c r="A220" s="12" t="s">
        <v>535</v>
      </c>
      <c r="B220" s="12" t="s">
        <v>56</v>
      </c>
      <c r="C220" s="12" t="s">
        <v>54</v>
      </c>
      <c r="D220" s="85">
        <v>4.0</v>
      </c>
      <c r="E220" s="85">
        <v>22.666666666666668</v>
      </c>
      <c r="F220" s="85">
        <v>0.6666666666666666</v>
      </c>
      <c r="G220" s="18">
        <v>5.666666666666667</v>
      </c>
      <c r="H220" s="85">
        <v>11.0</v>
      </c>
      <c r="I220" s="85">
        <v>2.0</v>
      </c>
      <c r="J220" s="85">
        <v>0.3333333333333333</v>
      </c>
      <c r="K220" s="85">
        <v>1.3333333333333333</v>
      </c>
      <c r="L220" s="85">
        <v>0.0</v>
      </c>
    </row>
    <row r="221" ht="15.75" customHeight="1">
      <c r="A221" s="12" t="s">
        <v>535</v>
      </c>
      <c r="B221" s="12" t="s">
        <v>56</v>
      </c>
      <c r="C221" s="12" t="s">
        <v>59</v>
      </c>
      <c r="D221" s="85">
        <v>3.0</v>
      </c>
      <c r="E221" s="85">
        <v>17.333333333333332</v>
      </c>
      <c r="F221" s="85">
        <v>1.3333333333333333</v>
      </c>
      <c r="G221" s="18">
        <v>6.333333333333333</v>
      </c>
      <c r="H221" s="85">
        <v>8.0</v>
      </c>
      <c r="I221" s="85">
        <v>1.0</v>
      </c>
      <c r="J221" s="85">
        <v>0.6666666666666666</v>
      </c>
      <c r="K221" s="85">
        <v>0.6666666666666666</v>
      </c>
      <c r="L221" s="85">
        <v>0.0</v>
      </c>
    </row>
    <row r="222" ht="15.75" customHeight="1">
      <c r="A222" s="12" t="s">
        <v>535</v>
      </c>
      <c r="B222" s="12" t="s">
        <v>56</v>
      </c>
      <c r="C222" s="12" t="s">
        <v>62</v>
      </c>
      <c r="D222" s="85">
        <v>3.5</v>
      </c>
      <c r="E222" s="85">
        <v>29.0</v>
      </c>
      <c r="F222" s="85">
        <v>1.25</v>
      </c>
      <c r="G222" s="18">
        <v>8.29</v>
      </c>
      <c r="H222" s="85">
        <v>7.75</v>
      </c>
      <c r="I222" s="85">
        <v>2.5</v>
      </c>
      <c r="J222" s="85">
        <v>1.0</v>
      </c>
      <c r="K222" s="85">
        <v>0.75</v>
      </c>
      <c r="L222" s="85">
        <v>0.0</v>
      </c>
    </row>
    <row r="223" ht="15.75" customHeight="1">
      <c r="A223" s="12" t="s">
        <v>535</v>
      </c>
      <c r="B223" s="12" t="s">
        <v>56</v>
      </c>
      <c r="C223" s="12" t="s">
        <v>56</v>
      </c>
      <c r="D223" s="85">
        <v>3.5</v>
      </c>
      <c r="E223" s="85">
        <v>29.0</v>
      </c>
      <c r="F223" s="85">
        <v>1.25</v>
      </c>
      <c r="G223" s="18">
        <v>8.29</v>
      </c>
      <c r="H223" s="85">
        <v>7.75</v>
      </c>
      <c r="I223" s="85">
        <v>2.5</v>
      </c>
      <c r="J223" s="85">
        <v>1.0</v>
      </c>
      <c r="K223" s="85">
        <v>0.75</v>
      </c>
      <c r="L223" s="85">
        <v>0.0</v>
      </c>
    </row>
    <row r="224" ht="15.75" customHeight="1">
      <c r="A224" s="12" t="s">
        <v>559</v>
      </c>
      <c r="B224" s="12" t="s">
        <v>56</v>
      </c>
      <c r="C224" s="12" t="s">
        <v>572</v>
      </c>
      <c r="D224" s="85">
        <v>2.0</v>
      </c>
      <c r="E224" s="85">
        <v>17.0</v>
      </c>
      <c r="F224" s="85">
        <v>1.0</v>
      </c>
      <c r="G224" s="18">
        <v>8.5</v>
      </c>
      <c r="H224" s="85">
        <v>7.0</v>
      </c>
      <c r="I224" s="85">
        <v>0.0</v>
      </c>
      <c r="J224" s="85">
        <v>2.0</v>
      </c>
      <c r="K224" s="85">
        <v>1.0</v>
      </c>
      <c r="L224" s="85">
        <v>0.0</v>
      </c>
    </row>
    <row r="225" ht="15.75" customHeight="1">
      <c r="A225" s="12" t="s">
        <v>559</v>
      </c>
      <c r="B225" s="12" t="s">
        <v>56</v>
      </c>
      <c r="C225" s="12" t="s">
        <v>58</v>
      </c>
      <c r="D225" s="85">
        <v>2.0</v>
      </c>
      <c r="E225" s="85">
        <v>17.0</v>
      </c>
      <c r="F225" s="85">
        <v>1.0</v>
      </c>
      <c r="G225" s="18">
        <v>8.5</v>
      </c>
      <c r="H225" s="85">
        <v>7.0</v>
      </c>
      <c r="I225" s="85">
        <v>0.0</v>
      </c>
      <c r="J225" s="85">
        <v>2.0</v>
      </c>
      <c r="K225" s="85">
        <v>1.0</v>
      </c>
      <c r="L225" s="85">
        <v>0.0</v>
      </c>
    </row>
    <row r="226" ht="15.75" customHeight="1">
      <c r="A226" s="12" t="s">
        <v>559</v>
      </c>
      <c r="B226" s="12" t="s">
        <v>56</v>
      </c>
      <c r="C226" s="12" t="s">
        <v>59</v>
      </c>
      <c r="D226" s="85">
        <v>2.0</v>
      </c>
      <c r="E226" s="85">
        <v>29.0</v>
      </c>
      <c r="F226" s="85">
        <v>0.0</v>
      </c>
      <c r="G226" s="18">
        <v>14.5</v>
      </c>
      <c r="H226" s="85">
        <v>3.0</v>
      </c>
      <c r="I226" s="85">
        <v>3.0</v>
      </c>
      <c r="J226" s="85">
        <v>2.0</v>
      </c>
      <c r="K226" s="85">
        <v>1.0</v>
      </c>
      <c r="L226" s="85">
        <v>0.0</v>
      </c>
    </row>
    <row r="227" ht="15.75" customHeight="1">
      <c r="A227" s="12" t="s">
        <v>559</v>
      </c>
      <c r="B227" s="12" t="s">
        <v>56</v>
      </c>
      <c r="C227" s="12" t="s">
        <v>62</v>
      </c>
      <c r="D227" s="85">
        <v>2.0</v>
      </c>
      <c r="E227" s="85">
        <v>29.0</v>
      </c>
      <c r="F227" s="85">
        <v>0.0</v>
      </c>
      <c r="G227" s="18">
        <v>14.5</v>
      </c>
      <c r="H227" s="85">
        <v>3.0</v>
      </c>
      <c r="I227" s="85">
        <v>3.0</v>
      </c>
      <c r="J227" s="85">
        <v>2.0</v>
      </c>
      <c r="K227" s="85">
        <v>1.0</v>
      </c>
      <c r="L227" s="85">
        <v>0.0</v>
      </c>
    </row>
    <row r="228" ht="15.75" customHeight="1">
      <c r="A228" s="12" t="s">
        <v>559</v>
      </c>
      <c r="B228" s="12" t="s">
        <v>56</v>
      </c>
      <c r="C228" s="12" t="s">
        <v>61</v>
      </c>
      <c r="D228" s="85">
        <v>2.0</v>
      </c>
      <c r="E228" s="85">
        <v>17.0</v>
      </c>
      <c r="F228" s="85">
        <v>1.0</v>
      </c>
      <c r="G228" s="18">
        <v>8.5</v>
      </c>
      <c r="H228" s="85">
        <v>7.0</v>
      </c>
      <c r="I228" s="85">
        <v>0.0</v>
      </c>
      <c r="J228" s="85">
        <v>2.0</v>
      </c>
      <c r="K228" s="85">
        <v>1.0</v>
      </c>
      <c r="L228" s="85">
        <v>0.0</v>
      </c>
    </row>
    <row r="229" ht="15.75" customHeight="1">
      <c r="A229" s="12" t="s">
        <v>559</v>
      </c>
      <c r="B229" s="12" t="s">
        <v>56</v>
      </c>
      <c r="C229" s="12" t="s">
        <v>54</v>
      </c>
      <c r="D229" s="85">
        <v>2.0</v>
      </c>
      <c r="E229" s="85">
        <v>29.0</v>
      </c>
      <c r="F229" s="85">
        <v>0.0</v>
      </c>
      <c r="G229" s="18">
        <v>14.5</v>
      </c>
      <c r="H229" s="85">
        <v>3.0</v>
      </c>
      <c r="I229" s="85">
        <v>3.0</v>
      </c>
      <c r="J229" s="85">
        <v>2.0</v>
      </c>
      <c r="K229" s="85">
        <v>1.0</v>
      </c>
      <c r="L229" s="85">
        <v>0.0</v>
      </c>
    </row>
    <row r="230" ht="15.75" customHeight="1">
      <c r="A230" s="12" t="s">
        <v>559</v>
      </c>
      <c r="B230" s="12" t="s">
        <v>56</v>
      </c>
      <c r="C230" s="12" t="s">
        <v>47</v>
      </c>
      <c r="D230" s="85">
        <v>2.0</v>
      </c>
      <c r="E230" s="85">
        <v>29.0</v>
      </c>
      <c r="F230" s="85">
        <v>0.0</v>
      </c>
      <c r="G230" s="18">
        <v>14.5</v>
      </c>
      <c r="H230" s="85">
        <v>3.0</v>
      </c>
      <c r="I230" s="85">
        <v>3.0</v>
      </c>
      <c r="J230" s="85">
        <v>2.0</v>
      </c>
      <c r="K230" s="85">
        <v>1.0</v>
      </c>
      <c r="L230" s="85">
        <v>0.0</v>
      </c>
    </row>
    <row r="231" ht="15.75" customHeight="1">
      <c r="A231" s="12" t="s">
        <v>566</v>
      </c>
      <c r="B231" s="12" t="s">
        <v>56</v>
      </c>
      <c r="C231" s="12" t="s">
        <v>58</v>
      </c>
      <c r="D231" s="85">
        <v>3.575</v>
      </c>
      <c r="E231" s="85">
        <v>35.5</v>
      </c>
      <c r="F231" s="85">
        <v>1.0</v>
      </c>
      <c r="G231" s="18">
        <v>9.6625</v>
      </c>
      <c r="H231" s="85">
        <v>8.25</v>
      </c>
      <c r="I231" s="85">
        <v>2.25</v>
      </c>
      <c r="J231" s="85">
        <v>2.5</v>
      </c>
      <c r="K231" s="85">
        <v>0.75</v>
      </c>
      <c r="L231" s="85">
        <v>0.0</v>
      </c>
    </row>
    <row r="232" ht="15.75" customHeight="1">
      <c r="A232" s="12" t="s">
        <v>566</v>
      </c>
      <c r="B232" s="12" t="s">
        <v>56</v>
      </c>
      <c r="C232" s="12" t="s">
        <v>47</v>
      </c>
      <c r="D232" s="85">
        <v>2.0</v>
      </c>
      <c r="E232" s="85">
        <v>29.0</v>
      </c>
      <c r="F232" s="85">
        <v>0.0</v>
      </c>
      <c r="G232" s="18">
        <v>14.5</v>
      </c>
      <c r="H232" s="85">
        <v>3.0</v>
      </c>
      <c r="I232" s="85">
        <v>3.0</v>
      </c>
      <c r="J232" s="85">
        <v>2.0</v>
      </c>
      <c r="K232" s="85">
        <v>1.0</v>
      </c>
      <c r="L232" s="85">
        <v>0.0</v>
      </c>
    </row>
    <row r="233" ht="15.75" customHeight="1">
      <c r="A233" s="12" t="s">
        <v>566</v>
      </c>
      <c r="B233" s="12" t="s">
        <v>56</v>
      </c>
      <c r="C233" s="12" t="s">
        <v>59</v>
      </c>
      <c r="D233" s="85">
        <v>2.0</v>
      </c>
      <c r="E233" s="85">
        <v>29.0</v>
      </c>
      <c r="F233" s="85">
        <v>0.0</v>
      </c>
      <c r="G233" s="18">
        <v>14.5</v>
      </c>
      <c r="H233" s="85">
        <v>3.0</v>
      </c>
      <c r="I233" s="85">
        <v>3.0</v>
      </c>
      <c r="J233" s="85">
        <v>2.0</v>
      </c>
      <c r="K233" s="85">
        <v>1.0</v>
      </c>
      <c r="L233" s="85">
        <v>0.0</v>
      </c>
    </row>
    <row r="234" ht="15.75" customHeight="1">
      <c r="A234" s="12" t="s">
        <v>566</v>
      </c>
      <c r="B234" s="12" t="s">
        <v>56</v>
      </c>
      <c r="C234" s="12" t="s">
        <v>54</v>
      </c>
      <c r="D234" s="85">
        <v>2.0</v>
      </c>
      <c r="E234" s="85">
        <v>17.0</v>
      </c>
      <c r="F234" s="85">
        <v>1.0</v>
      </c>
      <c r="G234" s="18">
        <v>8.5</v>
      </c>
      <c r="H234" s="85">
        <v>7.0</v>
      </c>
      <c r="I234" s="85">
        <v>0.0</v>
      </c>
      <c r="J234" s="85">
        <v>2.0</v>
      </c>
      <c r="K234" s="85">
        <v>1.0</v>
      </c>
      <c r="L234" s="85">
        <v>0.0</v>
      </c>
    </row>
    <row r="235" ht="15.75" customHeight="1">
      <c r="A235" s="12" t="s">
        <v>566</v>
      </c>
      <c r="B235" s="12" t="s">
        <v>56</v>
      </c>
      <c r="C235" s="12" t="s">
        <v>56</v>
      </c>
      <c r="D235" s="85">
        <v>2.0</v>
      </c>
      <c r="E235" s="85">
        <v>29.0</v>
      </c>
      <c r="F235" s="85">
        <v>0.0</v>
      </c>
      <c r="G235" s="18">
        <v>14.5</v>
      </c>
      <c r="H235" s="85">
        <v>3.0</v>
      </c>
      <c r="I235" s="85">
        <v>3.0</v>
      </c>
      <c r="J235" s="85">
        <v>2.0</v>
      </c>
      <c r="K235" s="85">
        <v>1.0</v>
      </c>
      <c r="L235" s="85">
        <v>0.0</v>
      </c>
    </row>
    <row r="236" ht="15.75" customHeight="1">
      <c r="A236" s="12" t="s">
        <v>566</v>
      </c>
      <c r="B236" s="12" t="s">
        <v>56</v>
      </c>
      <c r="C236" s="12" t="s">
        <v>62</v>
      </c>
      <c r="D236" s="85">
        <v>2.0</v>
      </c>
      <c r="E236" s="85">
        <v>29.0</v>
      </c>
      <c r="F236" s="85">
        <v>0.0</v>
      </c>
      <c r="G236" s="18">
        <v>14.5</v>
      </c>
      <c r="H236" s="85">
        <v>3.0</v>
      </c>
      <c r="I236" s="85">
        <v>3.0</v>
      </c>
      <c r="J236" s="85">
        <v>2.0</v>
      </c>
      <c r="K236" s="85">
        <v>1.0</v>
      </c>
      <c r="L236" s="85">
        <v>0.0</v>
      </c>
    </row>
    <row r="237" ht="15.75" customHeight="1">
      <c r="A237" s="12" t="s">
        <v>566</v>
      </c>
      <c r="B237" s="12" t="s">
        <v>56</v>
      </c>
      <c r="C237" s="12" t="s">
        <v>572</v>
      </c>
      <c r="D237" s="85">
        <v>3.575</v>
      </c>
      <c r="E237" s="85">
        <v>35.5</v>
      </c>
      <c r="F237" s="85">
        <v>1.0</v>
      </c>
      <c r="G237" s="18">
        <v>9.6625</v>
      </c>
      <c r="H237" s="85">
        <v>8.25</v>
      </c>
      <c r="I237" s="85">
        <v>2.25</v>
      </c>
      <c r="J237" s="85">
        <v>2.5</v>
      </c>
      <c r="K237" s="85">
        <v>0.75</v>
      </c>
      <c r="L237" s="85">
        <v>0.0</v>
      </c>
    </row>
    <row r="238" ht="15.75" customHeight="1">
      <c r="A238" s="12" t="s">
        <v>556</v>
      </c>
      <c r="B238" s="12" t="s">
        <v>59</v>
      </c>
      <c r="C238" s="12" t="s">
        <v>572</v>
      </c>
      <c r="D238" s="85">
        <v>3.1</v>
      </c>
      <c r="E238" s="85">
        <v>35.0</v>
      </c>
      <c r="F238" s="85">
        <v>1.0</v>
      </c>
      <c r="G238" s="18">
        <v>11.05</v>
      </c>
      <c r="H238" s="85">
        <v>8.0</v>
      </c>
      <c r="I238" s="85">
        <v>6.0</v>
      </c>
      <c r="J238" s="85">
        <v>1.0</v>
      </c>
      <c r="K238" s="85">
        <v>0.0</v>
      </c>
      <c r="L238" s="85">
        <v>0.0</v>
      </c>
    </row>
    <row r="239" ht="15.75" customHeight="1">
      <c r="A239" s="12" t="s">
        <v>556</v>
      </c>
      <c r="B239" s="12" t="s">
        <v>59</v>
      </c>
      <c r="C239" s="12" t="s">
        <v>58</v>
      </c>
      <c r="D239" s="85">
        <v>4.0</v>
      </c>
      <c r="E239" s="85">
        <v>26.5</v>
      </c>
      <c r="F239" s="85">
        <v>1.5</v>
      </c>
      <c r="G239" s="18">
        <v>6.625</v>
      </c>
      <c r="H239" s="85">
        <v>9.0</v>
      </c>
      <c r="I239" s="85">
        <v>2.5</v>
      </c>
      <c r="J239" s="85">
        <v>0.5</v>
      </c>
      <c r="K239" s="85">
        <v>0.0</v>
      </c>
      <c r="L239" s="85">
        <v>0.0</v>
      </c>
    </row>
    <row r="240" ht="15.75" customHeight="1">
      <c r="A240" s="12" t="s">
        <v>556</v>
      </c>
      <c r="B240" s="12" t="s">
        <v>59</v>
      </c>
      <c r="C240" s="12" t="s">
        <v>47</v>
      </c>
      <c r="D240" s="85">
        <v>3.1</v>
      </c>
      <c r="E240" s="85">
        <v>35.0</v>
      </c>
      <c r="F240" s="85">
        <v>1.0</v>
      </c>
      <c r="G240" s="18">
        <v>11.05</v>
      </c>
      <c r="H240" s="85">
        <v>8.0</v>
      </c>
      <c r="I240" s="85">
        <v>6.0</v>
      </c>
      <c r="J240" s="85">
        <v>1.0</v>
      </c>
      <c r="K240" s="85">
        <v>0.0</v>
      </c>
      <c r="L240" s="85">
        <v>0.0</v>
      </c>
    </row>
    <row r="241" ht="15.75" customHeight="1">
      <c r="A241" s="12" t="s">
        <v>556</v>
      </c>
      <c r="B241" s="12" t="s">
        <v>59</v>
      </c>
      <c r="C241" s="12" t="s">
        <v>56</v>
      </c>
      <c r="D241" s="85">
        <v>3.75</v>
      </c>
      <c r="E241" s="85">
        <v>37.0</v>
      </c>
      <c r="F241" s="85">
        <v>0.5</v>
      </c>
      <c r="G241" s="18">
        <v>9.440000000000001</v>
      </c>
      <c r="H241" s="85">
        <v>5.0</v>
      </c>
      <c r="I241" s="85">
        <v>3.0</v>
      </c>
      <c r="J241" s="85">
        <v>1.5</v>
      </c>
      <c r="K241" s="85">
        <v>1.0</v>
      </c>
      <c r="L241" s="85">
        <v>0.0</v>
      </c>
    </row>
    <row r="242" ht="15.75" customHeight="1">
      <c r="A242" s="12" t="s">
        <v>556</v>
      </c>
      <c r="B242" s="12" t="s">
        <v>59</v>
      </c>
      <c r="C242" s="12" t="s">
        <v>54</v>
      </c>
      <c r="D242" s="85">
        <v>3.75</v>
      </c>
      <c r="E242" s="85">
        <v>37.0</v>
      </c>
      <c r="F242" s="85">
        <v>0.5</v>
      </c>
      <c r="G242" s="18">
        <v>9.440000000000001</v>
      </c>
      <c r="H242" s="85">
        <v>5.0</v>
      </c>
      <c r="I242" s="85">
        <v>3.0</v>
      </c>
      <c r="J242" s="85">
        <v>1.5</v>
      </c>
      <c r="K242" s="85">
        <v>1.0</v>
      </c>
      <c r="L242" s="85">
        <v>0.0</v>
      </c>
    </row>
    <row r="243" ht="15.75" customHeight="1">
      <c r="A243" s="12" t="s">
        <v>556</v>
      </c>
      <c r="B243" s="12" t="s">
        <v>59</v>
      </c>
      <c r="C243" s="12" t="s">
        <v>62</v>
      </c>
      <c r="D243" s="85">
        <v>4.0</v>
      </c>
      <c r="E243" s="85">
        <v>26.5</v>
      </c>
      <c r="F243" s="85">
        <v>1.5</v>
      </c>
      <c r="G243" s="18">
        <v>6.625</v>
      </c>
      <c r="H243" s="85">
        <v>9.0</v>
      </c>
      <c r="I243" s="85">
        <v>2.5</v>
      </c>
      <c r="J243" s="85">
        <v>0.5</v>
      </c>
      <c r="K243" s="85">
        <v>0.0</v>
      </c>
      <c r="L243" s="85">
        <v>0.0</v>
      </c>
    </row>
    <row r="244" ht="15.75" customHeight="1">
      <c r="A244" s="12" t="s">
        <v>614</v>
      </c>
      <c r="B244" s="12" t="s">
        <v>59</v>
      </c>
      <c r="C244" s="12" t="s">
        <v>47</v>
      </c>
      <c r="D244" s="85">
        <v>4.0</v>
      </c>
      <c r="E244" s="85">
        <v>30.0</v>
      </c>
      <c r="F244" s="85">
        <v>0.5</v>
      </c>
      <c r="G244" s="18">
        <v>7.5</v>
      </c>
      <c r="H244" s="85">
        <v>7.0</v>
      </c>
      <c r="I244" s="85">
        <v>2.5</v>
      </c>
      <c r="J244" s="85">
        <v>0.5</v>
      </c>
      <c r="K244" s="85">
        <v>0.0</v>
      </c>
      <c r="L244" s="85">
        <v>0.0</v>
      </c>
    </row>
    <row r="245" ht="15.75" customHeight="1">
      <c r="A245" s="12" t="s">
        <v>614</v>
      </c>
      <c r="B245" s="12" t="s">
        <v>59</v>
      </c>
      <c r="C245" s="12" t="s">
        <v>54</v>
      </c>
      <c r="D245" s="85">
        <v>4.0</v>
      </c>
      <c r="E245" s="85">
        <v>30.0</v>
      </c>
      <c r="F245" s="85">
        <v>0.5</v>
      </c>
      <c r="G245" s="18">
        <v>7.5</v>
      </c>
      <c r="H245" s="85">
        <v>7.0</v>
      </c>
      <c r="I245" s="85">
        <v>2.5</v>
      </c>
      <c r="J245" s="85">
        <v>0.5</v>
      </c>
      <c r="K245" s="85">
        <v>0.0</v>
      </c>
      <c r="L245" s="85">
        <v>0.0</v>
      </c>
    </row>
    <row r="246" ht="15.75" customHeight="1">
      <c r="A246" s="12" t="s">
        <v>614</v>
      </c>
      <c r="B246" s="12" t="s">
        <v>59</v>
      </c>
      <c r="C246" s="12" t="s">
        <v>572</v>
      </c>
      <c r="D246" s="85">
        <v>3.75</v>
      </c>
      <c r="E246" s="85">
        <v>37.0</v>
      </c>
      <c r="F246" s="85">
        <v>0.5</v>
      </c>
      <c r="G246" s="18">
        <v>9.440000000000001</v>
      </c>
      <c r="H246" s="85">
        <v>5.0</v>
      </c>
      <c r="I246" s="85">
        <v>3.0</v>
      </c>
      <c r="J246" s="85">
        <v>1.5</v>
      </c>
      <c r="K246" s="85">
        <v>1.0</v>
      </c>
      <c r="L246" s="85">
        <v>0.0</v>
      </c>
    </row>
    <row r="247" ht="15.75" customHeight="1">
      <c r="A247" s="12" t="s">
        <v>614</v>
      </c>
      <c r="B247" s="12" t="s">
        <v>59</v>
      </c>
      <c r="C247" s="12" t="s">
        <v>56</v>
      </c>
      <c r="D247" s="85">
        <v>3.75</v>
      </c>
      <c r="E247" s="85">
        <v>37.0</v>
      </c>
      <c r="F247" s="85">
        <v>0.5</v>
      </c>
      <c r="G247" s="18">
        <v>9.440000000000001</v>
      </c>
      <c r="H247" s="85">
        <v>5.0</v>
      </c>
      <c r="I247" s="85">
        <v>3.0</v>
      </c>
      <c r="J247" s="85">
        <v>1.5</v>
      </c>
      <c r="K247" s="85">
        <v>1.0</v>
      </c>
      <c r="L247" s="85">
        <v>0.0</v>
      </c>
    </row>
    <row r="248" ht="15.75" customHeight="1">
      <c r="A248" s="12" t="s">
        <v>614</v>
      </c>
      <c r="B248" s="12" t="s">
        <v>59</v>
      </c>
      <c r="C248" s="12" t="s">
        <v>58</v>
      </c>
      <c r="D248" s="85">
        <v>4.0</v>
      </c>
      <c r="E248" s="85">
        <v>26.5</v>
      </c>
      <c r="F248" s="85">
        <v>1.5</v>
      </c>
      <c r="G248" s="18">
        <v>6.625</v>
      </c>
      <c r="H248" s="85">
        <v>9.0</v>
      </c>
      <c r="I248" s="85">
        <v>2.5</v>
      </c>
      <c r="J248" s="85">
        <v>0.5</v>
      </c>
      <c r="K248" s="85">
        <v>0.0</v>
      </c>
      <c r="L248" s="85">
        <v>0.0</v>
      </c>
    </row>
    <row r="249" ht="15.75" customHeight="1">
      <c r="A249" s="12" t="s">
        <v>614</v>
      </c>
      <c r="B249" s="12" t="s">
        <v>59</v>
      </c>
      <c r="C249" s="12" t="s">
        <v>61</v>
      </c>
      <c r="D249" s="85">
        <v>4.0</v>
      </c>
      <c r="E249" s="85">
        <v>30.0</v>
      </c>
      <c r="F249" s="85">
        <v>0.5</v>
      </c>
      <c r="G249" s="18">
        <v>7.5</v>
      </c>
      <c r="H249" s="85">
        <v>7.0</v>
      </c>
      <c r="I249" s="85">
        <v>2.5</v>
      </c>
      <c r="J249" s="85">
        <v>0.5</v>
      </c>
      <c r="K249" s="85">
        <v>0.0</v>
      </c>
      <c r="L249" s="85">
        <v>0.0</v>
      </c>
    </row>
    <row r="250" ht="15.75" customHeight="1">
      <c r="A250" s="12" t="s">
        <v>614</v>
      </c>
      <c r="B250" s="12" t="s">
        <v>59</v>
      </c>
      <c r="C250" s="12" t="s">
        <v>62</v>
      </c>
      <c r="D250" s="85">
        <v>4.0</v>
      </c>
      <c r="E250" s="85">
        <v>30.0</v>
      </c>
      <c r="F250" s="85">
        <v>0.5</v>
      </c>
      <c r="G250" s="18">
        <v>7.5</v>
      </c>
      <c r="H250" s="85">
        <v>7.0</v>
      </c>
      <c r="I250" s="85">
        <v>2.5</v>
      </c>
      <c r="J250" s="85">
        <v>0.5</v>
      </c>
      <c r="K250" s="85">
        <v>0.0</v>
      </c>
      <c r="L250" s="85">
        <v>0.0</v>
      </c>
    </row>
    <row r="251" ht="15.75" customHeight="1">
      <c r="A251" s="12" t="s">
        <v>553</v>
      </c>
      <c r="B251" s="12" t="s">
        <v>59</v>
      </c>
      <c r="C251" s="12" t="s">
        <v>572</v>
      </c>
      <c r="D251" s="85">
        <v>4.0</v>
      </c>
      <c r="E251" s="85">
        <v>21.0</v>
      </c>
      <c r="F251" s="85">
        <v>2.0</v>
      </c>
      <c r="G251" s="18">
        <v>5.25</v>
      </c>
      <c r="H251" s="85">
        <v>12.0</v>
      </c>
      <c r="I251" s="85">
        <v>2.0</v>
      </c>
      <c r="J251" s="85">
        <v>0.0</v>
      </c>
      <c r="K251" s="85">
        <v>1.0</v>
      </c>
      <c r="L251" s="85">
        <v>0.0</v>
      </c>
    </row>
    <row r="252" ht="15.75" customHeight="1">
      <c r="A252" s="12" t="s">
        <v>553</v>
      </c>
      <c r="B252" s="12" t="s">
        <v>59</v>
      </c>
      <c r="C252" s="12" t="s">
        <v>47</v>
      </c>
      <c r="D252" s="85">
        <v>4.0</v>
      </c>
      <c r="E252" s="85">
        <v>21.0</v>
      </c>
      <c r="F252" s="85">
        <v>2.0</v>
      </c>
      <c r="G252" s="18">
        <v>5.25</v>
      </c>
      <c r="H252" s="85">
        <v>12.0</v>
      </c>
      <c r="I252" s="85">
        <v>2.0</v>
      </c>
      <c r="J252" s="85">
        <v>0.0</v>
      </c>
      <c r="K252" s="85">
        <v>1.0</v>
      </c>
      <c r="L252" s="85">
        <v>0.0</v>
      </c>
    </row>
    <row r="253" ht="15.75" customHeight="1">
      <c r="A253" s="12" t="s">
        <v>553</v>
      </c>
      <c r="B253" s="12" t="s">
        <v>59</v>
      </c>
      <c r="C253" s="12" t="s">
        <v>56</v>
      </c>
      <c r="D253" s="85">
        <v>4.0</v>
      </c>
      <c r="E253" s="85">
        <v>44.0</v>
      </c>
      <c r="F253" s="85">
        <v>1.5</v>
      </c>
      <c r="G253" s="18">
        <v>11.0</v>
      </c>
      <c r="H253" s="85">
        <v>8.0</v>
      </c>
      <c r="I253" s="85">
        <v>7.5</v>
      </c>
      <c r="J253" s="85">
        <v>0.5</v>
      </c>
      <c r="K253" s="85">
        <v>1.0</v>
      </c>
      <c r="L253" s="85">
        <v>0.0</v>
      </c>
    </row>
    <row r="254" ht="15.75" customHeight="1">
      <c r="A254" s="12" t="s">
        <v>553</v>
      </c>
      <c r="B254" s="12" t="s">
        <v>59</v>
      </c>
      <c r="C254" s="12" t="s">
        <v>54</v>
      </c>
      <c r="D254" s="85">
        <v>4.0</v>
      </c>
      <c r="E254" s="85">
        <v>44.0</v>
      </c>
      <c r="F254" s="85">
        <v>1.5</v>
      </c>
      <c r="G254" s="18">
        <v>11.0</v>
      </c>
      <c r="H254" s="85">
        <v>8.0</v>
      </c>
      <c r="I254" s="85">
        <v>7.5</v>
      </c>
      <c r="J254" s="85">
        <v>0.5</v>
      </c>
      <c r="K254" s="85">
        <v>1.0</v>
      </c>
      <c r="L254" s="85">
        <v>0.0</v>
      </c>
    </row>
    <row r="255" ht="15.75" customHeight="1">
      <c r="A255" s="12" t="s">
        <v>553</v>
      </c>
      <c r="B255" s="12" t="s">
        <v>59</v>
      </c>
      <c r="C255" s="12" t="s">
        <v>61</v>
      </c>
      <c r="D255" s="85">
        <v>4.0</v>
      </c>
      <c r="E255" s="85">
        <v>21.0</v>
      </c>
      <c r="F255" s="85">
        <v>2.0</v>
      </c>
      <c r="G255" s="18">
        <v>5.25</v>
      </c>
      <c r="H255" s="85">
        <v>12.0</v>
      </c>
      <c r="I255" s="85">
        <v>2.0</v>
      </c>
      <c r="J255" s="85">
        <v>0.0</v>
      </c>
      <c r="K255" s="85">
        <v>1.0</v>
      </c>
      <c r="L255" s="85">
        <v>0.0</v>
      </c>
    </row>
    <row r="256" ht="15.75" customHeight="1">
      <c r="A256" s="12" t="s">
        <v>553</v>
      </c>
      <c r="B256" s="12" t="s">
        <v>59</v>
      </c>
      <c r="C256" s="12" t="s">
        <v>62</v>
      </c>
      <c r="D256" s="85">
        <v>4.0</v>
      </c>
      <c r="E256" s="85">
        <v>44.0</v>
      </c>
      <c r="F256" s="85">
        <v>1.5</v>
      </c>
      <c r="G256" s="18">
        <v>11.0</v>
      </c>
      <c r="H256" s="85">
        <v>8.0</v>
      </c>
      <c r="I256" s="85">
        <v>7.5</v>
      </c>
      <c r="J256" s="85">
        <v>0.5</v>
      </c>
      <c r="K256" s="85">
        <v>1.0</v>
      </c>
      <c r="L256" s="85">
        <v>0.0</v>
      </c>
    </row>
    <row r="257" ht="15.75" customHeight="1">
      <c r="A257" s="12" t="s">
        <v>553</v>
      </c>
      <c r="B257" s="12" t="s">
        <v>59</v>
      </c>
      <c r="C257" s="12" t="s">
        <v>59</v>
      </c>
      <c r="D257" s="85">
        <v>4.0</v>
      </c>
      <c r="E257" s="85">
        <v>44.0</v>
      </c>
      <c r="F257" s="85">
        <v>1.5</v>
      </c>
      <c r="G257" s="18">
        <v>11.0</v>
      </c>
      <c r="H257" s="85">
        <v>8.0</v>
      </c>
      <c r="I257" s="85">
        <v>7.5</v>
      </c>
      <c r="J257" s="85">
        <v>0.5</v>
      </c>
      <c r="K257" s="85">
        <v>1.0</v>
      </c>
      <c r="L257" s="85">
        <v>0.0</v>
      </c>
    </row>
    <row r="258" ht="15.75" customHeight="1">
      <c r="A258" s="12" t="s">
        <v>615</v>
      </c>
      <c r="B258" s="12" t="s">
        <v>59</v>
      </c>
      <c r="C258" s="12" t="s">
        <v>58</v>
      </c>
      <c r="D258" s="85">
        <v>3.6</v>
      </c>
      <c r="E258" s="85">
        <v>37.5</v>
      </c>
      <c r="F258" s="85">
        <v>1.5</v>
      </c>
      <c r="G258" s="18">
        <v>10.325</v>
      </c>
      <c r="H258" s="85">
        <v>7.0</v>
      </c>
      <c r="I258" s="85">
        <v>6.0</v>
      </c>
      <c r="J258" s="85">
        <v>0.5</v>
      </c>
      <c r="K258" s="85">
        <v>0.5</v>
      </c>
      <c r="L258" s="85">
        <v>0.0</v>
      </c>
    </row>
    <row r="259" ht="15.75" customHeight="1">
      <c r="A259" s="12" t="s">
        <v>615</v>
      </c>
      <c r="B259" s="12" t="s">
        <v>59</v>
      </c>
      <c r="C259" s="12" t="s">
        <v>62</v>
      </c>
      <c r="D259" s="85">
        <v>3.6</v>
      </c>
      <c r="E259" s="85">
        <v>37.5</v>
      </c>
      <c r="F259" s="85">
        <v>1.5</v>
      </c>
      <c r="G259" s="18">
        <v>10.325</v>
      </c>
      <c r="H259" s="85">
        <v>7.0</v>
      </c>
      <c r="I259" s="85">
        <v>6.0</v>
      </c>
      <c r="J259" s="85">
        <v>0.5</v>
      </c>
      <c r="K259" s="85">
        <v>0.5</v>
      </c>
      <c r="L259" s="85">
        <v>0.0</v>
      </c>
    </row>
    <row r="260" ht="15.75" customHeight="1">
      <c r="A260" s="12" t="s">
        <v>615</v>
      </c>
      <c r="B260" s="12" t="s">
        <v>59</v>
      </c>
      <c r="C260" s="12" t="s">
        <v>61</v>
      </c>
      <c r="D260" s="85">
        <v>4.0</v>
      </c>
      <c r="E260" s="85">
        <v>44.0</v>
      </c>
      <c r="F260" s="85">
        <v>1.5</v>
      </c>
      <c r="G260" s="18">
        <v>11.0</v>
      </c>
      <c r="H260" s="85">
        <v>8.0</v>
      </c>
      <c r="I260" s="85">
        <v>7.5</v>
      </c>
      <c r="J260" s="85">
        <v>0.5</v>
      </c>
      <c r="K260" s="85">
        <v>1.0</v>
      </c>
      <c r="L260" s="85"/>
    </row>
    <row r="261" ht="15.75" customHeight="1">
      <c r="A261" s="12" t="s">
        <v>582</v>
      </c>
      <c r="B261" s="12" t="s">
        <v>54</v>
      </c>
      <c r="C261" s="12" t="s">
        <v>572</v>
      </c>
      <c r="D261" s="85">
        <v>3.5</v>
      </c>
      <c r="E261" s="85">
        <v>32.5</v>
      </c>
      <c r="F261" s="85">
        <v>0.5</v>
      </c>
      <c r="G261" s="18">
        <v>9.58</v>
      </c>
      <c r="H261" s="85">
        <v>6.5</v>
      </c>
      <c r="I261" s="85">
        <v>3.0</v>
      </c>
      <c r="J261" s="85">
        <v>1.5</v>
      </c>
      <c r="K261" s="85">
        <v>1.0</v>
      </c>
      <c r="L261" s="85">
        <v>0.0</v>
      </c>
    </row>
    <row r="262" ht="15.75" customHeight="1">
      <c r="A262" s="12" t="s">
        <v>582</v>
      </c>
      <c r="B262" s="12" t="s">
        <v>54</v>
      </c>
      <c r="C262" s="12" t="s">
        <v>58</v>
      </c>
      <c r="D262" s="85">
        <v>3.5</v>
      </c>
      <c r="E262" s="85">
        <v>32.5</v>
      </c>
      <c r="F262" s="85">
        <v>0.5</v>
      </c>
      <c r="G262" s="18">
        <v>9.58</v>
      </c>
      <c r="H262" s="85">
        <v>6.5</v>
      </c>
      <c r="I262" s="85">
        <v>3.0</v>
      </c>
      <c r="J262" s="85">
        <v>1.5</v>
      </c>
      <c r="K262" s="85">
        <v>1.0</v>
      </c>
      <c r="L262" s="85">
        <v>0.0</v>
      </c>
    </row>
    <row r="263" ht="15.75" customHeight="1">
      <c r="A263" s="12" t="s">
        <v>582</v>
      </c>
      <c r="B263" s="12" t="s">
        <v>54</v>
      </c>
      <c r="C263" s="12" t="s">
        <v>47</v>
      </c>
      <c r="D263" s="85">
        <v>4.0</v>
      </c>
      <c r="E263" s="85">
        <v>15.333333333333334</v>
      </c>
      <c r="F263" s="85">
        <v>12.333333333333334</v>
      </c>
      <c r="G263" s="18">
        <v>3.8333333333333335</v>
      </c>
      <c r="H263" s="85">
        <v>10.25</v>
      </c>
      <c r="I263" s="85">
        <v>5.0</v>
      </c>
      <c r="J263" s="85">
        <v>1.6666666666666667</v>
      </c>
      <c r="K263" s="85">
        <v>0.6666666666666666</v>
      </c>
      <c r="L263" s="85">
        <v>1.3333333333333333</v>
      </c>
    </row>
    <row r="264" ht="15.75" customHeight="1">
      <c r="A264" s="12" t="s">
        <v>582</v>
      </c>
      <c r="B264" s="12" t="s">
        <v>54</v>
      </c>
      <c r="C264" s="12" t="s">
        <v>56</v>
      </c>
      <c r="D264" s="85">
        <v>4.0</v>
      </c>
      <c r="E264" s="85">
        <v>15.333333333333334</v>
      </c>
      <c r="F264" s="85">
        <v>12.333333333333334</v>
      </c>
      <c r="G264" s="18">
        <v>3.8333333333333335</v>
      </c>
      <c r="H264" s="85">
        <v>10.25</v>
      </c>
      <c r="I264" s="85">
        <v>5.0</v>
      </c>
      <c r="J264" s="85">
        <v>1.6666666666666667</v>
      </c>
      <c r="K264" s="85">
        <v>0.6666666666666666</v>
      </c>
      <c r="L264" s="85">
        <v>1.3333333333333333</v>
      </c>
    </row>
    <row r="265" ht="15.75" customHeight="1">
      <c r="A265" s="12" t="s">
        <v>582</v>
      </c>
      <c r="B265" s="12" t="s">
        <v>54</v>
      </c>
      <c r="C265" s="12" t="s">
        <v>59</v>
      </c>
      <c r="D265" s="85">
        <v>4.0</v>
      </c>
      <c r="E265" s="85">
        <v>15.333333333333334</v>
      </c>
      <c r="F265" s="85">
        <v>12.333333333333334</v>
      </c>
      <c r="G265" s="18">
        <v>3.8333333333333335</v>
      </c>
      <c r="H265" s="85">
        <v>10.25</v>
      </c>
      <c r="I265" s="85">
        <v>5.0</v>
      </c>
      <c r="J265" s="85">
        <v>1.6666666666666667</v>
      </c>
      <c r="K265" s="85">
        <v>0.6666666666666666</v>
      </c>
      <c r="L265" s="85">
        <v>1.3333333333333333</v>
      </c>
    </row>
    <row r="266" ht="15.75" customHeight="1">
      <c r="A266" s="12" t="s">
        <v>582</v>
      </c>
      <c r="B266" s="12" t="s">
        <v>54</v>
      </c>
      <c r="C266" s="12" t="s">
        <v>62</v>
      </c>
      <c r="D266" s="85">
        <v>3.5</v>
      </c>
      <c r="E266" s="85">
        <v>32.5</v>
      </c>
      <c r="F266" s="85">
        <v>0.5</v>
      </c>
      <c r="G266" s="18">
        <v>9.58</v>
      </c>
      <c r="H266" s="85">
        <v>6.5</v>
      </c>
      <c r="I266" s="85">
        <v>3.0</v>
      </c>
      <c r="J266" s="85">
        <v>1.5</v>
      </c>
      <c r="K266" s="85">
        <v>1.0</v>
      </c>
      <c r="L266" s="85">
        <v>0.0</v>
      </c>
    </row>
    <row r="267" ht="15.75" customHeight="1">
      <c r="A267" s="12" t="s">
        <v>582</v>
      </c>
      <c r="B267" s="12" t="s">
        <v>54</v>
      </c>
      <c r="C267" s="12" t="s">
        <v>61</v>
      </c>
      <c r="D267" s="85">
        <v>4.0</v>
      </c>
      <c r="E267" s="85">
        <v>15.333333333333334</v>
      </c>
      <c r="F267" s="85">
        <v>12.333333333333334</v>
      </c>
      <c r="G267" s="18">
        <v>3.8333333333333335</v>
      </c>
      <c r="H267" s="85">
        <v>10.25</v>
      </c>
      <c r="I267" s="85">
        <v>5.0</v>
      </c>
      <c r="J267" s="85">
        <v>1.6666666666666667</v>
      </c>
      <c r="K267" s="85">
        <v>0.6666666666666666</v>
      </c>
      <c r="L267" s="85"/>
    </row>
    <row r="268" ht="15.75" customHeight="1">
      <c r="A268" s="12" t="s">
        <v>587</v>
      </c>
      <c r="B268" s="12" t="s">
        <v>54</v>
      </c>
      <c r="C268" s="12" t="s">
        <v>572</v>
      </c>
      <c r="D268" s="85">
        <v>4.0</v>
      </c>
      <c r="E268" s="85">
        <v>34.0</v>
      </c>
      <c r="F268" s="85">
        <v>0.5</v>
      </c>
      <c r="G268" s="18">
        <v>8.5</v>
      </c>
      <c r="H268" s="85">
        <v>4.5</v>
      </c>
      <c r="I268" s="85">
        <v>2.5</v>
      </c>
      <c r="J268" s="85">
        <v>1.0</v>
      </c>
      <c r="K268" s="85">
        <v>0.5</v>
      </c>
      <c r="L268" s="85">
        <v>0.0</v>
      </c>
    </row>
    <row r="269" ht="15.75" customHeight="1">
      <c r="A269" s="12" t="s">
        <v>587</v>
      </c>
      <c r="B269" s="12" t="s">
        <v>54</v>
      </c>
      <c r="C269" s="12" t="s">
        <v>58</v>
      </c>
      <c r="D269" s="85">
        <v>4.0</v>
      </c>
      <c r="E269" s="85">
        <v>34.0</v>
      </c>
      <c r="F269" s="85">
        <v>0.5</v>
      </c>
      <c r="G269" s="18">
        <v>8.5</v>
      </c>
      <c r="H269" s="85">
        <v>4.5</v>
      </c>
      <c r="I269" s="85">
        <v>2.5</v>
      </c>
      <c r="J269" s="85">
        <v>1.0</v>
      </c>
      <c r="K269" s="85">
        <v>0.5</v>
      </c>
      <c r="L269" s="85">
        <v>0.0</v>
      </c>
    </row>
    <row r="270" ht="15.75" customHeight="1">
      <c r="A270" s="12" t="s">
        <v>587</v>
      </c>
      <c r="B270" s="12" t="s">
        <v>54</v>
      </c>
      <c r="C270" s="12" t="s">
        <v>47</v>
      </c>
      <c r="D270" s="85">
        <v>2.75</v>
      </c>
      <c r="E270" s="85">
        <v>16.25</v>
      </c>
      <c r="F270" s="85">
        <v>11.5</v>
      </c>
      <c r="G270" s="18">
        <v>6.5625</v>
      </c>
      <c r="H270" s="85">
        <v>8.0825</v>
      </c>
      <c r="I270" s="85">
        <v>3.75</v>
      </c>
      <c r="J270" s="85">
        <v>1.5</v>
      </c>
      <c r="K270" s="85">
        <v>0.75</v>
      </c>
      <c r="L270" s="85">
        <v>0.25</v>
      </c>
    </row>
    <row r="271" ht="15.75" customHeight="1">
      <c r="A271" s="12" t="s">
        <v>587</v>
      </c>
      <c r="B271" s="12" t="s">
        <v>54</v>
      </c>
      <c r="C271" s="12" t="s">
        <v>56</v>
      </c>
      <c r="D271" s="85">
        <v>2.75</v>
      </c>
      <c r="E271" s="85">
        <v>16.25</v>
      </c>
      <c r="F271" s="85">
        <v>11.5</v>
      </c>
      <c r="G271" s="18">
        <v>6.5625</v>
      </c>
      <c r="H271" s="85">
        <v>8.0825</v>
      </c>
      <c r="I271" s="85">
        <v>3.75</v>
      </c>
      <c r="J271" s="85">
        <v>1.5</v>
      </c>
      <c r="K271" s="85">
        <v>0.75</v>
      </c>
      <c r="L271" s="85">
        <v>0.25</v>
      </c>
    </row>
    <row r="272" ht="15.75" customHeight="1">
      <c r="A272" s="12" t="s">
        <v>587</v>
      </c>
      <c r="B272" s="12" t="s">
        <v>54</v>
      </c>
      <c r="C272" s="12" t="s">
        <v>59</v>
      </c>
      <c r="D272" s="85">
        <v>2.75</v>
      </c>
      <c r="E272" s="85">
        <v>16.25</v>
      </c>
      <c r="F272" s="85">
        <v>11.5</v>
      </c>
      <c r="G272" s="18">
        <v>6.5625</v>
      </c>
      <c r="H272" s="85">
        <v>8.0825</v>
      </c>
      <c r="I272" s="85">
        <v>3.75</v>
      </c>
      <c r="J272" s="85">
        <v>1.5</v>
      </c>
      <c r="K272" s="85">
        <v>0.75</v>
      </c>
      <c r="L272" s="85">
        <v>0.25</v>
      </c>
    </row>
    <row r="273" ht="15.75" customHeight="1">
      <c r="A273" s="12" t="s">
        <v>587</v>
      </c>
      <c r="B273" s="12" t="s">
        <v>54</v>
      </c>
      <c r="C273" s="12" t="s">
        <v>62</v>
      </c>
      <c r="D273" s="85">
        <v>4.0</v>
      </c>
      <c r="E273" s="85">
        <v>34.0</v>
      </c>
      <c r="F273" s="85">
        <v>0.5</v>
      </c>
      <c r="G273" s="18">
        <v>8.5</v>
      </c>
      <c r="H273" s="85">
        <v>4.5</v>
      </c>
      <c r="I273" s="85">
        <v>2.5</v>
      </c>
      <c r="J273" s="85">
        <v>1.0</v>
      </c>
      <c r="K273" s="85">
        <v>0.5</v>
      </c>
      <c r="L273" s="85">
        <v>0.0</v>
      </c>
    </row>
    <row r="274" ht="15.75" customHeight="1">
      <c r="A274" s="12" t="s">
        <v>587</v>
      </c>
      <c r="B274" s="12" t="s">
        <v>54</v>
      </c>
      <c r="C274" s="12" t="s">
        <v>61</v>
      </c>
      <c r="D274" s="85">
        <v>2.75</v>
      </c>
      <c r="E274" s="85">
        <v>16.25</v>
      </c>
      <c r="F274" s="85">
        <v>11.5</v>
      </c>
      <c r="G274" s="18">
        <v>6.5625</v>
      </c>
      <c r="H274" s="85">
        <v>8.0825</v>
      </c>
      <c r="I274" s="85">
        <v>3.75</v>
      </c>
      <c r="J274" s="85">
        <v>1.5</v>
      </c>
      <c r="K274" s="85">
        <v>0.75</v>
      </c>
      <c r="L274" s="85"/>
    </row>
    <row r="275" ht="15.75" customHeight="1">
      <c r="A275" s="12" t="s">
        <v>603</v>
      </c>
      <c r="B275" s="12" t="s">
        <v>54</v>
      </c>
      <c r="C275" s="12" t="s">
        <v>572</v>
      </c>
      <c r="D275" s="85">
        <v>3.2</v>
      </c>
      <c r="E275" s="85">
        <v>25.0</v>
      </c>
      <c r="F275" s="85">
        <v>3.5</v>
      </c>
      <c r="G275" s="18">
        <v>6.9350000000000005</v>
      </c>
      <c r="H275" s="85">
        <v>10.5</v>
      </c>
      <c r="I275" s="85">
        <v>2.5</v>
      </c>
      <c r="J275" s="85">
        <v>1.0</v>
      </c>
      <c r="K275" s="85">
        <v>1.0</v>
      </c>
      <c r="L275" s="85">
        <v>0.5</v>
      </c>
    </row>
    <row r="276" ht="15.75" customHeight="1">
      <c r="A276" s="12" t="s">
        <v>603</v>
      </c>
      <c r="B276" s="12" t="s">
        <v>54</v>
      </c>
      <c r="C276" s="12" t="s">
        <v>58</v>
      </c>
      <c r="D276" s="85">
        <v>3.2</v>
      </c>
      <c r="E276" s="85">
        <v>25.0</v>
      </c>
      <c r="F276" s="85">
        <v>3.5</v>
      </c>
      <c r="G276" s="18">
        <v>6.9350000000000005</v>
      </c>
      <c r="H276" s="85">
        <v>10.5</v>
      </c>
      <c r="I276" s="85">
        <v>2.5</v>
      </c>
      <c r="J276" s="85">
        <v>1.0</v>
      </c>
      <c r="K276" s="85">
        <v>1.0</v>
      </c>
      <c r="L276" s="85">
        <v>0.5</v>
      </c>
    </row>
    <row r="277" ht="15.75" customHeight="1">
      <c r="A277" s="12" t="s">
        <v>603</v>
      </c>
      <c r="B277" s="12" t="s">
        <v>54</v>
      </c>
      <c r="C277" s="12" t="s">
        <v>47</v>
      </c>
      <c r="D277" s="85">
        <v>3.0</v>
      </c>
      <c r="E277" s="85">
        <v>20.0</v>
      </c>
      <c r="F277" s="85">
        <v>2.0</v>
      </c>
      <c r="G277" s="18">
        <v>6.66</v>
      </c>
      <c r="H277" s="85">
        <v>11.0</v>
      </c>
      <c r="I277" s="85">
        <v>2.0</v>
      </c>
      <c r="J277" s="85">
        <v>1.0</v>
      </c>
      <c r="K277" s="85">
        <v>1.0</v>
      </c>
      <c r="L277" s="85">
        <v>0.0</v>
      </c>
    </row>
    <row r="278" ht="15.75" customHeight="1">
      <c r="A278" s="12" t="s">
        <v>603</v>
      </c>
      <c r="B278" s="12" t="s">
        <v>54</v>
      </c>
      <c r="C278" s="12" t="s">
        <v>56</v>
      </c>
      <c r="D278" s="85">
        <v>3.0</v>
      </c>
      <c r="E278" s="85">
        <v>20.0</v>
      </c>
      <c r="F278" s="85">
        <v>2.0</v>
      </c>
      <c r="G278" s="18">
        <v>6.66</v>
      </c>
      <c r="H278" s="85">
        <v>11.0</v>
      </c>
      <c r="I278" s="85">
        <v>2.0</v>
      </c>
      <c r="J278" s="85">
        <v>1.0</v>
      </c>
      <c r="K278" s="85">
        <v>1.0</v>
      </c>
      <c r="L278" s="85">
        <v>0.0</v>
      </c>
    </row>
    <row r="279" ht="15.75" customHeight="1">
      <c r="A279" s="12" t="s">
        <v>603</v>
      </c>
      <c r="B279" s="12" t="s">
        <v>54</v>
      </c>
      <c r="C279" s="12" t="s">
        <v>59</v>
      </c>
      <c r="D279" s="85">
        <v>3.0</v>
      </c>
      <c r="E279" s="85">
        <v>20.0</v>
      </c>
      <c r="F279" s="85">
        <v>2.0</v>
      </c>
      <c r="G279" s="18">
        <v>6.66</v>
      </c>
      <c r="H279" s="85">
        <v>11.0</v>
      </c>
      <c r="I279" s="85">
        <v>2.0</v>
      </c>
      <c r="J279" s="85">
        <v>1.0</v>
      </c>
      <c r="K279" s="85">
        <v>1.0</v>
      </c>
      <c r="L279" s="85">
        <v>0.0</v>
      </c>
    </row>
    <row r="280" ht="15.75" customHeight="1">
      <c r="A280" s="83" t="s">
        <v>603</v>
      </c>
      <c r="B280" s="12" t="s">
        <v>54</v>
      </c>
      <c r="C280" s="12" t="s">
        <v>62</v>
      </c>
      <c r="D280" s="86">
        <v>3.2</v>
      </c>
      <c r="E280" s="86">
        <v>25.0</v>
      </c>
      <c r="F280" s="86">
        <v>3.5</v>
      </c>
      <c r="G280" s="82">
        <v>6.9350000000000005</v>
      </c>
      <c r="H280" s="86">
        <v>10.5</v>
      </c>
      <c r="I280" s="86">
        <v>2.5</v>
      </c>
      <c r="J280" s="86">
        <v>1.0</v>
      </c>
      <c r="K280" s="86">
        <v>1.0</v>
      </c>
      <c r="L280" s="86">
        <v>0.5</v>
      </c>
    </row>
    <row r="281" ht="15.75" customHeight="1">
      <c r="A281" s="83" t="s">
        <v>586</v>
      </c>
      <c r="B281" s="12" t="s">
        <v>54</v>
      </c>
      <c r="C281" s="12" t="s">
        <v>572</v>
      </c>
      <c r="D281" s="86">
        <v>3.5</v>
      </c>
      <c r="E281" s="86">
        <v>38.0</v>
      </c>
      <c r="F281" s="86">
        <v>1.5</v>
      </c>
      <c r="G281" s="82">
        <v>11.54</v>
      </c>
      <c r="H281" s="86">
        <v>4.0</v>
      </c>
      <c r="I281" s="86">
        <v>1.5</v>
      </c>
      <c r="J281" s="86">
        <v>2.5</v>
      </c>
      <c r="K281" s="86">
        <v>2.0</v>
      </c>
      <c r="L281" s="86">
        <v>0.0</v>
      </c>
    </row>
    <row r="282" ht="15.75" customHeight="1">
      <c r="A282" s="12" t="s">
        <v>586</v>
      </c>
      <c r="B282" s="12" t="s">
        <v>54</v>
      </c>
      <c r="C282" s="12" t="s">
        <v>58</v>
      </c>
      <c r="D282" s="85">
        <v>3.5</v>
      </c>
      <c r="E282" s="85">
        <v>38.0</v>
      </c>
      <c r="F282" s="85">
        <v>1.5</v>
      </c>
      <c r="G282" s="18">
        <v>11.54</v>
      </c>
      <c r="H282" s="85">
        <v>4.0</v>
      </c>
      <c r="I282" s="85">
        <v>1.5</v>
      </c>
      <c r="J282" s="85">
        <v>2.5</v>
      </c>
      <c r="K282" s="85">
        <v>2.0</v>
      </c>
      <c r="L282" s="85">
        <v>0.0</v>
      </c>
    </row>
    <row r="283" ht="15.75" customHeight="1">
      <c r="A283" s="12" t="s">
        <v>586</v>
      </c>
      <c r="B283" s="12" t="s">
        <v>54</v>
      </c>
      <c r="C283" s="12" t="s">
        <v>47</v>
      </c>
      <c r="D283" s="85">
        <v>2.5</v>
      </c>
      <c r="E283" s="85">
        <v>18.75</v>
      </c>
      <c r="F283" s="85">
        <v>7.0</v>
      </c>
      <c r="G283" s="18">
        <v>7.125</v>
      </c>
      <c r="H283" s="85">
        <v>6.875</v>
      </c>
      <c r="I283" s="85">
        <v>1.5</v>
      </c>
      <c r="J283" s="85">
        <v>1.25</v>
      </c>
      <c r="K283" s="85">
        <v>1.25</v>
      </c>
      <c r="L283" s="85">
        <v>0.25</v>
      </c>
    </row>
    <row r="284" ht="15.75" customHeight="1">
      <c r="A284" s="12" t="s">
        <v>586</v>
      </c>
      <c r="B284" s="12" t="s">
        <v>54</v>
      </c>
      <c r="C284" s="12" t="s">
        <v>56</v>
      </c>
      <c r="D284" s="85">
        <v>2.5</v>
      </c>
      <c r="E284" s="85">
        <v>18.75</v>
      </c>
      <c r="F284" s="85">
        <v>7.0</v>
      </c>
      <c r="G284" s="18">
        <v>7.125</v>
      </c>
      <c r="H284" s="85">
        <v>6.875</v>
      </c>
      <c r="I284" s="85">
        <v>1.5</v>
      </c>
      <c r="J284" s="85">
        <v>1.25</v>
      </c>
      <c r="K284" s="85">
        <v>1.25</v>
      </c>
      <c r="L284" s="85">
        <v>0.25</v>
      </c>
    </row>
    <row r="285" ht="15.75" customHeight="1">
      <c r="A285" s="12" t="s">
        <v>586</v>
      </c>
      <c r="B285" s="12" t="s">
        <v>54</v>
      </c>
      <c r="C285" s="12" t="s">
        <v>59</v>
      </c>
      <c r="D285" s="85">
        <v>2.5</v>
      </c>
      <c r="E285" s="85">
        <v>18.75</v>
      </c>
      <c r="F285" s="85">
        <v>7.0</v>
      </c>
      <c r="G285" s="18">
        <v>7.125</v>
      </c>
      <c r="H285" s="85">
        <v>6.875</v>
      </c>
      <c r="I285" s="85">
        <v>1.5</v>
      </c>
      <c r="J285" s="85">
        <v>1.25</v>
      </c>
      <c r="K285" s="85">
        <v>1.25</v>
      </c>
      <c r="L285" s="85">
        <v>0.25</v>
      </c>
    </row>
    <row r="286" ht="15.75" customHeight="1">
      <c r="A286" s="12" t="s">
        <v>586</v>
      </c>
      <c r="B286" s="12" t="s">
        <v>54</v>
      </c>
      <c r="C286" s="12" t="s">
        <v>62</v>
      </c>
      <c r="D286" s="85">
        <v>3.5</v>
      </c>
      <c r="E286" s="85">
        <v>38.0</v>
      </c>
      <c r="F286" s="85">
        <v>1.5</v>
      </c>
      <c r="G286" s="18">
        <v>11.54</v>
      </c>
      <c r="H286" s="85">
        <v>4.0</v>
      </c>
      <c r="I286" s="85">
        <v>1.5</v>
      </c>
      <c r="J286" s="85">
        <v>2.5</v>
      </c>
      <c r="K286" s="85">
        <v>2.0</v>
      </c>
      <c r="L286" s="85">
        <v>0.0</v>
      </c>
    </row>
    <row r="287" ht="15.75" customHeight="1">
      <c r="A287" s="83" t="s">
        <v>573</v>
      </c>
      <c r="B287" s="12" t="s">
        <v>62</v>
      </c>
      <c r="C287" s="12" t="s">
        <v>572</v>
      </c>
      <c r="D287" s="86">
        <v>4.0</v>
      </c>
      <c r="E287" s="86">
        <v>12.0</v>
      </c>
      <c r="F287" s="86">
        <v>2.0</v>
      </c>
      <c r="G287" s="82">
        <v>3.0</v>
      </c>
      <c r="H287" s="86">
        <v>14.0</v>
      </c>
      <c r="I287" s="86">
        <v>0.0</v>
      </c>
      <c r="J287" s="86">
        <v>0.0</v>
      </c>
      <c r="K287" s="86">
        <v>0.0</v>
      </c>
      <c r="L287" s="86">
        <v>0.0</v>
      </c>
    </row>
    <row r="288" ht="15.75" customHeight="1">
      <c r="A288" s="83" t="s">
        <v>573</v>
      </c>
      <c r="B288" s="12" t="s">
        <v>62</v>
      </c>
      <c r="C288" s="12" t="s">
        <v>58</v>
      </c>
      <c r="D288" s="86">
        <v>4.0</v>
      </c>
      <c r="E288" s="86">
        <v>12.0</v>
      </c>
      <c r="F288" s="86">
        <v>2.0</v>
      </c>
      <c r="G288" s="82">
        <v>3.0</v>
      </c>
      <c r="H288" s="86">
        <v>14.0</v>
      </c>
      <c r="I288" s="86">
        <v>0.0</v>
      </c>
      <c r="J288" s="86">
        <v>0.0</v>
      </c>
      <c r="K288" s="86">
        <v>0.0</v>
      </c>
      <c r="L288" s="86">
        <v>0.0</v>
      </c>
    </row>
    <row r="289" ht="15.75" customHeight="1">
      <c r="A289" s="83" t="s">
        <v>573</v>
      </c>
      <c r="B289" s="12" t="s">
        <v>62</v>
      </c>
      <c r="C289" s="12" t="s">
        <v>54</v>
      </c>
      <c r="D289" s="86">
        <v>4.0</v>
      </c>
      <c r="E289" s="86">
        <v>12.0</v>
      </c>
      <c r="F289" s="86">
        <v>2.0</v>
      </c>
      <c r="G289" s="82">
        <v>3.0</v>
      </c>
      <c r="H289" s="86">
        <v>14.0</v>
      </c>
      <c r="I289" s="86">
        <v>0.0</v>
      </c>
      <c r="J289" s="86">
        <v>0.0</v>
      </c>
      <c r="K289" s="86">
        <v>0.0</v>
      </c>
      <c r="L289" s="86">
        <v>0.0</v>
      </c>
    </row>
    <row r="290" ht="15.75" customHeight="1">
      <c r="A290" s="83" t="s">
        <v>573</v>
      </c>
      <c r="B290" s="12" t="s">
        <v>62</v>
      </c>
      <c r="C290" s="12" t="s">
        <v>56</v>
      </c>
      <c r="D290" s="86">
        <v>4.0</v>
      </c>
      <c r="E290" s="86">
        <v>18.333333333333332</v>
      </c>
      <c r="F290" s="86">
        <v>11.0</v>
      </c>
      <c r="G290" s="82">
        <v>4.916666666666667</v>
      </c>
      <c r="H290" s="86">
        <v>8.666666666666666</v>
      </c>
      <c r="I290" s="86">
        <v>5.666666666666667</v>
      </c>
      <c r="J290" s="86">
        <v>1.0</v>
      </c>
      <c r="K290" s="86">
        <v>1.3333333333333333</v>
      </c>
      <c r="L290" s="86">
        <v>0.0</v>
      </c>
    </row>
    <row r="291" ht="15.75" customHeight="1">
      <c r="A291" s="83" t="s">
        <v>573</v>
      </c>
      <c r="B291" s="12" t="s">
        <v>62</v>
      </c>
      <c r="C291" s="12" t="s">
        <v>47</v>
      </c>
      <c r="D291" s="86">
        <v>4.0</v>
      </c>
      <c r="E291" s="86">
        <v>12.0</v>
      </c>
      <c r="F291" s="86">
        <v>2.0</v>
      </c>
      <c r="G291" s="82">
        <v>3.0</v>
      </c>
      <c r="H291" s="86">
        <v>14.0</v>
      </c>
      <c r="I291" s="86">
        <v>0.0</v>
      </c>
      <c r="J291" s="86">
        <v>0.0</v>
      </c>
      <c r="K291" s="86">
        <v>0.0</v>
      </c>
      <c r="L291" s="86">
        <v>0.0</v>
      </c>
    </row>
    <row r="292" ht="15.75" customHeight="1">
      <c r="A292" s="83" t="s">
        <v>573</v>
      </c>
      <c r="B292" s="12" t="s">
        <v>62</v>
      </c>
      <c r="C292" s="12" t="s">
        <v>62</v>
      </c>
      <c r="D292" s="86">
        <v>4.0</v>
      </c>
      <c r="E292" s="86">
        <v>12.0</v>
      </c>
      <c r="F292" s="86">
        <v>2.0</v>
      </c>
      <c r="G292" s="82">
        <v>3.0</v>
      </c>
      <c r="H292" s="86">
        <v>14.0</v>
      </c>
      <c r="I292" s="86">
        <v>0.0</v>
      </c>
      <c r="J292" s="86">
        <v>0.0</v>
      </c>
      <c r="K292" s="86">
        <v>0.0</v>
      </c>
      <c r="L292" s="86">
        <v>0.0</v>
      </c>
    </row>
    <row r="293" ht="15.75" customHeight="1">
      <c r="A293" s="83" t="s">
        <v>573</v>
      </c>
      <c r="B293" s="12" t="s">
        <v>62</v>
      </c>
      <c r="C293" s="12" t="s">
        <v>61</v>
      </c>
      <c r="D293" s="86">
        <v>4.0</v>
      </c>
      <c r="E293" s="86">
        <v>12.0</v>
      </c>
      <c r="F293" s="86">
        <v>2.0</v>
      </c>
      <c r="G293" s="82">
        <v>3.0</v>
      </c>
      <c r="H293" s="86">
        <v>14.0</v>
      </c>
      <c r="I293" s="86">
        <v>0.0</v>
      </c>
      <c r="J293" s="86">
        <v>0.0</v>
      </c>
      <c r="K293" s="86">
        <v>0.0</v>
      </c>
      <c r="L293" s="86">
        <v>0.0</v>
      </c>
    </row>
    <row r="294" ht="15.75" customHeight="1">
      <c r="A294" s="83" t="s">
        <v>527</v>
      </c>
      <c r="B294" s="12" t="s">
        <v>62</v>
      </c>
      <c r="C294" s="12" t="s">
        <v>572</v>
      </c>
      <c r="D294" s="86">
        <v>3.1</v>
      </c>
      <c r="E294" s="86">
        <v>20.8</v>
      </c>
      <c r="F294" s="86">
        <v>0.4</v>
      </c>
      <c r="G294" s="82">
        <v>6.617999999999999</v>
      </c>
      <c r="H294" s="86">
        <v>6.4</v>
      </c>
      <c r="I294" s="86">
        <v>1.6</v>
      </c>
      <c r="J294" s="86">
        <v>0.2</v>
      </c>
      <c r="K294" s="86">
        <v>1.4</v>
      </c>
      <c r="L294" s="86">
        <v>0.0</v>
      </c>
    </row>
    <row r="295" ht="15.75" customHeight="1">
      <c r="A295" s="12" t="s">
        <v>527</v>
      </c>
      <c r="B295" s="12" t="s">
        <v>62</v>
      </c>
      <c r="C295" s="12" t="s">
        <v>58</v>
      </c>
      <c r="D295" s="85">
        <v>3.1</v>
      </c>
      <c r="E295" s="85">
        <v>20.8</v>
      </c>
      <c r="F295" s="85">
        <v>0.4</v>
      </c>
      <c r="G295" s="18">
        <v>6.617999999999999</v>
      </c>
      <c r="H295" s="85">
        <v>6.4</v>
      </c>
      <c r="I295" s="85">
        <v>1.6</v>
      </c>
      <c r="J295" s="85">
        <v>0.2</v>
      </c>
      <c r="K295" s="85">
        <v>1.4</v>
      </c>
      <c r="L295" s="85">
        <v>0.0</v>
      </c>
    </row>
    <row r="296" ht="15.75" customHeight="1">
      <c r="A296" s="12" t="s">
        <v>527</v>
      </c>
      <c r="B296" s="12" t="s">
        <v>62</v>
      </c>
      <c r="C296" s="12" t="s">
        <v>47</v>
      </c>
      <c r="D296" s="85">
        <v>3.6666666666666665</v>
      </c>
      <c r="E296" s="85">
        <v>38.333333333333336</v>
      </c>
      <c r="F296" s="85">
        <v>1.0</v>
      </c>
      <c r="G296" s="18">
        <v>10.193333333333333</v>
      </c>
      <c r="H296" s="85">
        <v>7.333333333333333</v>
      </c>
      <c r="I296" s="85">
        <v>3.0</v>
      </c>
      <c r="J296" s="85">
        <v>2.6666666666666665</v>
      </c>
      <c r="K296" s="85">
        <v>0.6666666666666666</v>
      </c>
      <c r="L296" s="85">
        <v>0.0</v>
      </c>
    </row>
    <row r="297" ht="15.75" customHeight="1">
      <c r="A297" s="12" t="s">
        <v>527</v>
      </c>
      <c r="B297" s="12" t="s">
        <v>62</v>
      </c>
      <c r="C297" s="12" t="s">
        <v>47</v>
      </c>
      <c r="D297" s="85">
        <v>3.6666666666666665</v>
      </c>
      <c r="E297" s="85">
        <v>38.333333333333336</v>
      </c>
      <c r="F297" s="85">
        <v>1.0</v>
      </c>
      <c r="G297" s="18">
        <v>10.193333333333333</v>
      </c>
      <c r="H297" s="85">
        <v>7.333333333333333</v>
      </c>
      <c r="I297" s="85">
        <v>3.0</v>
      </c>
      <c r="J297" s="85">
        <v>2.6666666666666665</v>
      </c>
      <c r="K297" s="85">
        <v>0.6666666666666666</v>
      </c>
      <c r="L297" s="85">
        <v>0.0</v>
      </c>
    </row>
    <row r="298" ht="15.75" customHeight="1">
      <c r="A298" s="12" t="s">
        <v>527</v>
      </c>
      <c r="B298" s="12" t="s">
        <v>62</v>
      </c>
      <c r="C298" s="12" t="s">
        <v>56</v>
      </c>
      <c r="D298" s="85">
        <v>3.6666666666666665</v>
      </c>
      <c r="E298" s="85">
        <v>38.333333333333336</v>
      </c>
      <c r="F298" s="85">
        <v>1.0</v>
      </c>
      <c r="G298" s="18">
        <v>10.193333333333333</v>
      </c>
      <c r="H298" s="85">
        <v>7.333333333333333</v>
      </c>
      <c r="I298" s="85">
        <v>3.0</v>
      </c>
      <c r="J298" s="85">
        <v>2.6666666666666665</v>
      </c>
      <c r="K298" s="85">
        <v>0.6666666666666666</v>
      </c>
      <c r="L298" s="85">
        <v>0.0</v>
      </c>
    </row>
    <row r="299" ht="15.75" customHeight="1">
      <c r="A299" s="12" t="s">
        <v>527</v>
      </c>
      <c r="B299" s="12" t="s">
        <v>62</v>
      </c>
      <c r="C299" s="12" t="s">
        <v>54</v>
      </c>
      <c r="D299" s="85">
        <v>3.1</v>
      </c>
      <c r="E299" s="85">
        <v>20.8</v>
      </c>
      <c r="F299" s="85">
        <v>0.4</v>
      </c>
      <c r="G299" s="18">
        <v>6.617999999999999</v>
      </c>
      <c r="H299" s="85">
        <v>6.4</v>
      </c>
      <c r="I299" s="85">
        <v>1.6</v>
      </c>
      <c r="J299" s="85">
        <v>0.2</v>
      </c>
      <c r="K299" s="85">
        <v>1.4</v>
      </c>
      <c r="L299" s="85">
        <v>0.0</v>
      </c>
    </row>
    <row r="300" ht="15.75" customHeight="1">
      <c r="A300" s="12" t="s">
        <v>527</v>
      </c>
      <c r="B300" s="12" t="s">
        <v>62</v>
      </c>
      <c r="C300" s="12" t="s">
        <v>61</v>
      </c>
      <c r="D300" s="85">
        <v>3.6666666666666665</v>
      </c>
      <c r="E300" s="85">
        <v>38.333333333333336</v>
      </c>
      <c r="F300" s="85">
        <v>1.0</v>
      </c>
      <c r="G300" s="18">
        <v>10.193333333333333</v>
      </c>
      <c r="H300" s="85">
        <v>7.333333333333333</v>
      </c>
      <c r="I300" s="85">
        <v>3.0</v>
      </c>
      <c r="J300" s="85">
        <v>2.6666666666666665</v>
      </c>
      <c r="K300" s="85">
        <v>0.6666666666666666</v>
      </c>
      <c r="L300" s="85"/>
    </row>
    <row r="301" ht="15.75" customHeight="1">
      <c r="A301" s="12" t="s">
        <v>530</v>
      </c>
      <c r="B301" s="12" t="s">
        <v>62</v>
      </c>
      <c r="C301" s="12" t="s">
        <v>572</v>
      </c>
      <c r="D301" s="85">
        <v>0.8333333333333334</v>
      </c>
      <c r="E301" s="85">
        <v>9.666666666666666</v>
      </c>
      <c r="F301" s="85">
        <v>0.0</v>
      </c>
      <c r="G301" s="18">
        <v>10.4</v>
      </c>
      <c r="H301" s="85">
        <v>1.0</v>
      </c>
      <c r="I301" s="85">
        <v>1.3333333333333333</v>
      </c>
      <c r="J301" s="85">
        <v>0.0</v>
      </c>
      <c r="K301" s="85">
        <v>0.0</v>
      </c>
      <c r="L301" s="85">
        <v>0.0</v>
      </c>
    </row>
    <row r="302" ht="15.75" customHeight="1">
      <c r="A302" s="12" t="s">
        <v>530</v>
      </c>
      <c r="B302" s="12" t="s">
        <v>62</v>
      </c>
      <c r="C302" s="12" t="s">
        <v>58</v>
      </c>
      <c r="D302" s="85">
        <v>0.8333333333333334</v>
      </c>
      <c r="E302" s="85">
        <v>9.666666666666666</v>
      </c>
      <c r="F302" s="85">
        <v>0.0</v>
      </c>
      <c r="G302" s="18">
        <v>10.4</v>
      </c>
      <c r="H302" s="85">
        <v>1.0</v>
      </c>
      <c r="I302" s="85">
        <v>1.3333333333333333</v>
      </c>
      <c r="J302" s="85">
        <v>0.0</v>
      </c>
      <c r="K302" s="85">
        <v>0.0</v>
      </c>
      <c r="L302" s="85">
        <v>0.0</v>
      </c>
    </row>
    <row r="303" ht="15.75" customHeight="1">
      <c r="A303" s="12" t="s">
        <v>530</v>
      </c>
      <c r="B303" s="12" t="s">
        <v>62</v>
      </c>
      <c r="C303" s="12" t="s">
        <v>47</v>
      </c>
      <c r="D303" s="85">
        <v>1.0</v>
      </c>
      <c r="E303" s="85">
        <v>4.0</v>
      </c>
      <c r="F303" s="85">
        <v>2.0</v>
      </c>
      <c r="G303" s="18">
        <v>4.0</v>
      </c>
      <c r="H303" s="85">
        <v>3.0</v>
      </c>
      <c r="I303" s="85">
        <v>0.0</v>
      </c>
      <c r="J303" s="85">
        <v>0.0</v>
      </c>
      <c r="K303" s="85">
        <v>0.0</v>
      </c>
      <c r="L303" s="85">
        <v>0.0</v>
      </c>
    </row>
    <row r="304" ht="15.75" customHeight="1">
      <c r="A304" s="12" t="s">
        <v>530</v>
      </c>
      <c r="B304" s="12" t="s">
        <v>62</v>
      </c>
      <c r="C304" s="12" t="s">
        <v>56</v>
      </c>
      <c r="D304" s="85">
        <v>1.0</v>
      </c>
      <c r="E304" s="85">
        <v>4.0</v>
      </c>
      <c r="F304" s="85">
        <v>2.0</v>
      </c>
      <c r="G304" s="18">
        <v>4.0</v>
      </c>
      <c r="H304" s="85">
        <v>3.0</v>
      </c>
      <c r="I304" s="85">
        <v>0.0</v>
      </c>
      <c r="J304" s="85">
        <v>0.0</v>
      </c>
      <c r="K304" s="85">
        <v>0.0</v>
      </c>
      <c r="L304" s="85">
        <v>0.0</v>
      </c>
    </row>
    <row r="305" ht="15.75" customHeight="1">
      <c r="A305" s="12" t="s">
        <v>530</v>
      </c>
      <c r="B305" s="12" t="s">
        <v>62</v>
      </c>
      <c r="C305" s="12" t="s">
        <v>59</v>
      </c>
      <c r="D305" s="85">
        <v>1.0</v>
      </c>
      <c r="E305" s="85">
        <v>4.0</v>
      </c>
      <c r="F305" s="85">
        <v>2.0</v>
      </c>
      <c r="G305" s="18">
        <v>4.0</v>
      </c>
      <c r="H305" s="85">
        <v>3.0</v>
      </c>
      <c r="I305" s="85">
        <v>0.0</v>
      </c>
      <c r="J305" s="85">
        <v>0.0</v>
      </c>
      <c r="K305" s="85">
        <v>0.0</v>
      </c>
      <c r="L305" s="85">
        <v>0.0</v>
      </c>
    </row>
    <row r="306" ht="15.75" customHeight="1">
      <c r="A306" s="12" t="s">
        <v>530</v>
      </c>
      <c r="B306" s="12" t="s">
        <v>62</v>
      </c>
      <c r="C306" s="12" t="s">
        <v>54</v>
      </c>
      <c r="D306" s="85">
        <v>0.8333333333333334</v>
      </c>
      <c r="E306" s="85">
        <v>9.666666666666666</v>
      </c>
      <c r="F306" s="85">
        <v>0.0</v>
      </c>
      <c r="G306" s="18">
        <v>10.4</v>
      </c>
      <c r="H306" s="85">
        <v>1.0</v>
      </c>
      <c r="I306" s="85">
        <v>1.3333333333333333</v>
      </c>
      <c r="J306" s="85">
        <v>0.0</v>
      </c>
      <c r="K306" s="85">
        <v>0.0</v>
      </c>
      <c r="L306" s="85">
        <v>0.0</v>
      </c>
    </row>
    <row r="307" ht="15.75" customHeight="1">
      <c r="A307" s="12" t="s">
        <v>530</v>
      </c>
      <c r="B307" s="12" t="s">
        <v>62</v>
      </c>
      <c r="C307" s="12" t="s">
        <v>61</v>
      </c>
      <c r="D307" s="85">
        <v>1.0</v>
      </c>
      <c r="E307" s="85">
        <v>4.0</v>
      </c>
      <c r="F307" s="85">
        <v>2.0</v>
      </c>
      <c r="G307" s="18">
        <v>4.0</v>
      </c>
      <c r="H307" s="85">
        <v>3.0</v>
      </c>
      <c r="I307" s="85">
        <v>0.0</v>
      </c>
      <c r="J307" s="85">
        <v>0.0</v>
      </c>
      <c r="K307" s="85">
        <v>0.0</v>
      </c>
      <c r="L307" s="85">
        <v>0.0</v>
      </c>
    </row>
    <row r="308" ht="15.75" customHeight="1">
      <c r="A308" s="12" t="s">
        <v>526</v>
      </c>
      <c r="B308" s="12" t="s">
        <v>62</v>
      </c>
      <c r="C308" s="12" t="s">
        <v>572</v>
      </c>
      <c r="D308" s="85">
        <v>3.8333333333333335</v>
      </c>
      <c r="E308" s="85">
        <v>26.833333333333332</v>
      </c>
      <c r="F308" s="85">
        <v>1.0</v>
      </c>
      <c r="G308" s="18">
        <v>7.083333333333333</v>
      </c>
      <c r="H308" s="85">
        <v>9.5</v>
      </c>
      <c r="I308" s="85">
        <v>2.6666666666666665</v>
      </c>
      <c r="J308" s="85">
        <v>0.5</v>
      </c>
      <c r="K308" s="85">
        <v>0.3333333333333333</v>
      </c>
      <c r="L308" s="85">
        <v>0.0</v>
      </c>
    </row>
    <row r="309" ht="15.75" customHeight="1">
      <c r="A309" s="12" t="s">
        <v>526</v>
      </c>
      <c r="B309" s="12" t="s">
        <v>62</v>
      </c>
      <c r="C309" s="12" t="s">
        <v>58</v>
      </c>
      <c r="D309" s="85">
        <v>3.8333333333333335</v>
      </c>
      <c r="E309" s="85">
        <v>26.833333333333332</v>
      </c>
      <c r="F309" s="85">
        <v>1.0</v>
      </c>
      <c r="G309" s="18">
        <v>7.083333333333333</v>
      </c>
      <c r="H309" s="85">
        <v>9.5</v>
      </c>
      <c r="I309" s="85">
        <v>2.6666666666666665</v>
      </c>
      <c r="J309" s="85">
        <v>0.5</v>
      </c>
      <c r="K309" s="85">
        <v>0.3333333333333333</v>
      </c>
      <c r="L309" s="85">
        <v>0.0</v>
      </c>
    </row>
    <row r="310" ht="15.75" customHeight="1">
      <c r="A310" s="12" t="s">
        <v>526</v>
      </c>
      <c r="B310" s="12" t="s">
        <v>62</v>
      </c>
      <c r="C310" s="12" t="s">
        <v>47</v>
      </c>
      <c r="D310" s="85">
        <v>4.0</v>
      </c>
      <c r="E310" s="85">
        <v>36.666666666666664</v>
      </c>
      <c r="F310" s="85">
        <v>0.3333333333333333</v>
      </c>
      <c r="G310" s="18">
        <v>9.166666666666666</v>
      </c>
      <c r="H310" s="85">
        <v>5.666666666666667</v>
      </c>
      <c r="I310" s="85">
        <v>2.6666666666666665</v>
      </c>
      <c r="J310" s="85">
        <v>1.6666666666666667</v>
      </c>
      <c r="K310" s="85">
        <v>0.0</v>
      </c>
      <c r="L310" s="85">
        <v>0.0</v>
      </c>
    </row>
    <row r="311" ht="15.75" customHeight="1">
      <c r="A311" s="12" t="s">
        <v>526</v>
      </c>
      <c r="B311" s="12" t="s">
        <v>62</v>
      </c>
      <c r="C311" s="12" t="s">
        <v>56</v>
      </c>
      <c r="D311" s="85">
        <v>4.0</v>
      </c>
      <c r="E311" s="85">
        <v>36.666666666666664</v>
      </c>
      <c r="F311" s="85">
        <v>0.3333333333333333</v>
      </c>
      <c r="G311" s="18">
        <v>9.166666666666666</v>
      </c>
      <c r="H311" s="85">
        <v>5.666666666666667</v>
      </c>
      <c r="I311" s="85">
        <v>2.6666666666666665</v>
      </c>
      <c r="J311" s="85">
        <v>1.6666666666666667</v>
      </c>
      <c r="K311" s="85">
        <v>0.0</v>
      </c>
      <c r="L311" s="85">
        <v>0.0</v>
      </c>
    </row>
    <row r="312" ht="15.75" customHeight="1">
      <c r="A312" s="12" t="s">
        <v>526</v>
      </c>
      <c r="B312" s="12" t="s">
        <v>62</v>
      </c>
      <c r="C312" s="12" t="s">
        <v>59</v>
      </c>
      <c r="D312" s="85">
        <v>4.0</v>
      </c>
      <c r="E312" s="85">
        <v>36.666666666666664</v>
      </c>
      <c r="F312" s="85">
        <v>0.3333333333333333</v>
      </c>
      <c r="G312" s="18">
        <v>9.166666666666666</v>
      </c>
      <c r="H312" s="85">
        <v>5.666666666666667</v>
      </c>
      <c r="I312" s="85">
        <v>2.6666666666666665</v>
      </c>
      <c r="J312" s="85">
        <v>1.6666666666666667</v>
      </c>
      <c r="K312" s="85">
        <v>0.0</v>
      </c>
      <c r="L312" s="85">
        <v>0.0</v>
      </c>
    </row>
    <row r="313" ht="15.75" customHeight="1">
      <c r="A313" s="12" t="s">
        <v>526</v>
      </c>
      <c r="B313" s="12" t="s">
        <v>62</v>
      </c>
      <c r="C313" s="12" t="s">
        <v>54</v>
      </c>
      <c r="D313" s="85">
        <v>3.8333333333333335</v>
      </c>
      <c r="E313" s="85">
        <v>26.833333333333332</v>
      </c>
      <c r="F313" s="85">
        <v>1.0</v>
      </c>
      <c r="G313" s="18">
        <v>7.083333333333333</v>
      </c>
      <c r="H313" s="85">
        <v>9.5</v>
      </c>
      <c r="I313" s="85">
        <v>2.6666666666666665</v>
      </c>
      <c r="J313" s="85">
        <v>0.5</v>
      </c>
      <c r="K313" s="85">
        <v>0.3333333333333333</v>
      </c>
      <c r="L313" s="85">
        <v>0.0</v>
      </c>
    </row>
    <row r="314" ht="15.75" customHeight="1">
      <c r="A314" s="12" t="s">
        <v>526</v>
      </c>
      <c r="B314" s="12" t="s">
        <v>62</v>
      </c>
      <c r="C314" s="12" t="s">
        <v>61</v>
      </c>
      <c r="D314" s="85">
        <v>4.0</v>
      </c>
      <c r="E314" s="85">
        <v>36.666666666666664</v>
      </c>
      <c r="F314" s="85">
        <v>0.3333333333333333</v>
      </c>
      <c r="G314" s="18">
        <v>9.166666666666666</v>
      </c>
      <c r="H314" s="85">
        <v>5.666666666666667</v>
      </c>
      <c r="I314" s="85">
        <v>2.6666666666666665</v>
      </c>
      <c r="J314" s="85">
        <v>1.6666666666666667</v>
      </c>
      <c r="K314" s="85">
        <v>0.0</v>
      </c>
      <c r="L314" s="85">
        <v>0.0</v>
      </c>
    </row>
    <row r="315" ht="15.75" customHeight="1">
      <c r="A315" s="12" t="s">
        <v>577</v>
      </c>
      <c r="B315" s="12" t="s">
        <v>62</v>
      </c>
      <c r="C315" s="12" t="s">
        <v>572</v>
      </c>
      <c r="D315" s="85">
        <v>2.275</v>
      </c>
      <c r="E315" s="85">
        <v>22.25</v>
      </c>
      <c r="F315" s="85">
        <v>0.5</v>
      </c>
      <c r="G315" s="18">
        <v>9.5175</v>
      </c>
      <c r="H315" s="85">
        <v>4.25</v>
      </c>
      <c r="I315" s="85">
        <v>2.5</v>
      </c>
      <c r="J315" s="85">
        <v>0.25</v>
      </c>
      <c r="K315" s="85">
        <v>0.75</v>
      </c>
      <c r="L315" s="85">
        <v>0.25</v>
      </c>
    </row>
    <row r="316" ht="15.75" customHeight="1">
      <c r="A316" s="12" t="s">
        <v>577</v>
      </c>
      <c r="B316" s="12" t="s">
        <v>62</v>
      </c>
      <c r="C316" s="12" t="s">
        <v>58</v>
      </c>
      <c r="D316" s="85">
        <v>2.275</v>
      </c>
      <c r="E316" s="85">
        <v>22.25</v>
      </c>
      <c r="F316" s="85">
        <v>0.5</v>
      </c>
      <c r="G316" s="18">
        <v>9.5175</v>
      </c>
      <c r="H316" s="85">
        <v>4.25</v>
      </c>
      <c r="I316" s="85">
        <v>2.5</v>
      </c>
      <c r="J316" s="85">
        <v>0.25</v>
      </c>
      <c r="K316" s="85">
        <v>0.75</v>
      </c>
      <c r="L316" s="85">
        <v>0.25</v>
      </c>
    </row>
    <row r="317" ht="15.75" customHeight="1">
      <c r="A317" s="12" t="s">
        <v>577</v>
      </c>
      <c r="B317" s="12" t="s">
        <v>62</v>
      </c>
      <c r="C317" s="12" t="s">
        <v>54</v>
      </c>
      <c r="D317" s="85">
        <v>2.275</v>
      </c>
      <c r="E317" s="85">
        <v>22.25</v>
      </c>
      <c r="F317" s="85">
        <v>0.5</v>
      </c>
      <c r="G317" s="18">
        <v>9.5175</v>
      </c>
      <c r="H317" s="85">
        <v>4.25</v>
      </c>
      <c r="I317" s="85">
        <v>2.5</v>
      </c>
      <c r="J317" s="85">
        <v>0.25</v>
      </c>
      <c r="K317" s="85">
        <v>0.75</v>
      </c>
      <c r="L317" s="85">
        <v>0.25</v>
      </c>
    </row>
    <row r="318" ht="15.75" customHeight="1">
      <c r="A318" s="12" t="s">
        <v>577</v>
      </c>
      <c r="B318" s="12" t="s">
        <v>62</v>
      </c>
      <c r="C318" s="12" t="s">
        <v>47</v>
      </c>
      <c r="D318" s="85">
        <v>4.0</v>
      </c>
      <c r="E318" s="85">
        <v>36.666666666666664</v>
      </c>
      <c r="F318" s="85">
        <v>0.3333333333333333</v>
      </c>
      <c r="G318" s="18">
        <v>9.166666666666666</v>
      </c>
      <c r="H318" s="85">
        <v>5.666666666666667</v>
      </c>
      <c r="I318" s="85">
        <v>2.6666666666666665</v>
      </c>
      <c r="J318" s="85">
        <v>1.6666666666666667</v>
      </c>
      <c r="K318" s="85">
        <v>0.0</v>
      </c>
      <c r="L318" s="85"/>
    </row>
    <row r="319" ht="15.75" customHeight="1">
      <c r="A319" s="12" t="s">
        <v>577</v>
      </c>
      <c r="B319" s="12" t="s">
        <v>62</v>
      </c>
      <c r="C319" s="12" t="s">
        <v>59</v>
      </c>
      <c r="D319" s="85">
        <v>2.275</v>
      </c>
      <c r="E319" s="85">
        <v>22.25</v>
      </c>
      <c r="F319" s="85">
        <v>0.5</v>
      </c>
      <c r="G319" s="18">
        <v>9.5175</v>
      </c>
      <c r="H319" s="85">
        <v>4.25</v>
      </c>
      <c r="I319" s="85">
        <v>2.5</v>
      </c>
      <c r="J319" s="85">
        <v>0.25</v>
      </c>
      <c r="K319" s="85">
        <v>0.75</v>
      </c>
      <c r="L319" s="85"/>
    </row>
    <row r="320" ht="15.75" customHeight="1">
      <c r="A320" s="12" t="s">
        <v>577</v>
      </c>
      <c r="B320" s="12" t="s">
        <v>62</v>
      </c>
      <c r="C320" s="12" t="s">
        <v>56</v>
      </c>
      <c r="D320" s="85">
        <v>2.275</v>
      </c>
      <c r="E320" s="85">
        <v>22.25</v>
      </c>
      <c r="F320" s="85">
        <v>0.5</v>
      </c>
      <c r="G320" s="18">
        <v>9.5175</v>
      </c>
      <c r="H320" s="85">
        <v>4.25</v>
      </c>
      <c r="I320" s="85">
        <v>2.5</v>
      </c>
      <c r="J320" s="85">
        <v>0.25</v>
      </c>
      <c r="K320" s="85">
        <v>0.75</v>
      </c>
      <c r="L320" s="85"/>
    </row>
    <row r="321" ht="15.75" customHeight="1">
      <c r="A321" s="12" t="s">
        <v>577</v>
      </c>
      <c r="B321" s="12" t="s">
        <v>62</v>
      </c>
      <c r="C321" s="12" t="s">
        <v>61</v>
      </c>
      <c r="D321" s="85">
        <v>2.275</v>
      </c>
      <c r="E321" s="85">
        <v>22.25</v>
      </c>
      <c r="F321" s="85">
        <v>0.5</v>
      </c>
      <c r="G321" s="18">
        <v>9.5175</v>
      </c>
      <c r="H321" s="85">
        <v>4.25</v>
      </c>
      <c r="I321" s="85">
        <v>2.5</v>
      </c>
      <c r="J321" s="85">
        <v>0.25</v>
      </c>
      <c r="K321" s="85">
        <v>0.75</v>
      </c>
      <c r="L321" s="85"/>
    </row>
    <row r="322" ht="15.75" customHeight="1">
      <c r="A322" s="12" t="s">
        <v>601</v>
      </c>
      <c r="B322" s="12" t="s">
        <v>62</v>
      </c>
      <c r="C322" s="12" t="s">
        <v>572</v>
      </c>
      <c r="D322" s="85">
        <v>4.0</v>
      </c>
      <c r="E322" s="85">
        <v>43.0</v>
      </c>
      <c r="F322" s="85">
        <v>1.0</v>
      </c>
      <c r="G322" s="18">
        <v>10.75</v>
      </c>
      <c r="H322" s="85">
        <v>4.0</v>
      </c>
      <c r="I322" s="85">
        <v>4.0</v>
      </c>
      <c r="J322" s="85">
        <v>1.0</v>
      </c>
      <c r="K322" s="85">
        <v>0.0</v>
      </c>
      <c r="L322" s="85">
        <v>0.0</v>
      </c>
    </row>
    <row r="323" ht="15.75" customHeight="1">
      <c r="A323" s="12" t="s">
        <v>601</v>
      </c>
      <c r="B323" s="12" t="s">
        <v>62</v>
      </c>
      <c r="C323" s="12" t="s">
        <v>58</v>
      </c>
      <c r="D323" s="85">
        <v>4.0</v>
      </c>
      <c r="E323" s="85">
        <v>43.0</v>
      </c>
      <c r="F323" s="85">
        <v>1.0</v>
      </c>
      <c r="G323" s="18">
        <v>10.75</v>
      </c>
      <c r="H323" s="85">
        <v>4.0</v>
      </c>
      <c r="I323" s="85">
        <v>4.0</v>
      </c>
      <c r="J323" s="85">
        <v>1.0</v>
      </c>
      <c r="K323" s="85">
        <v>0.0</v>
      </c>
      <c r="L323" s="85">
        <v>0.0</v>
      </c>
    </row>
    <row r="324" ht="15.75" customHeight="1">
      <c r="A324" s="12" t="s">
        <v>601</v>
      </c>
      <c r="B324" s="12" t="s">
        <v>62</v>
      </c>
      <c r="C324" s="12" t="s">
        <v>54</v>
      </c>
      <c r="D324" s="85">
        <v>4.0</v>
      </c>
      <c r="E324" s="85">
        <v>43.0</v>
      </c>
      <c r="F324" s="85">
        <v>1.0</v>
      </c>
      <c r="G324" s="18">
        <v>10.75</v>
      </c>
      <c r="H324" s="85">
        <v>4.0</v>
      </c>
      <c r="I324" s="85">
        <v>4.0</v>
      </c>
      <c r="J324" s="85">
        <v>1.0</v>
      </c>
      <c r="K324" s="85">
        <v>0.0</v>
      </c>
      <c r="L324" s="85">
        <v>0.0</v>
      </c>
    </row>
    <row r="325" ht="15.75" customHeight="1">
      <c r="A325" s="12" t="s">
        <v>601</v>
      </c>
      <c r="B325" s="12" t="s">
        <v>62</v>
      </c>
      <c r="C325" s="12" t="s">
        <v>61</v>
      </c>
      <c r="D325" s="85">
        <v>2.275</v>
      </c>
      <c r="E325" s="85">
        <v>22.25</v>
      </c>
      <c r="F325" s="85">
        <v>0.5</v>
      </c>
      <c r="G325" s="18">
        <v>9.5175</v>
      </c>
      <c r="H325" s="85">
        <v>4.25</v>
      </c>
      <c r="I325" s="85">
        <v>2.5</v>
      </c>
      <c r="J325" s="85">
        <v>0.25</v>
      </c>
      <c r="K325" s="85">
        <v>0.75</v>
      </c>
      <c r="L325" s="85">
        <v>0.25</v>
      </c>
    </row>
    <row r="326" ht="15.75" customHeight="1">
      <c r="A326" s="12" t="s">
        <v>601</v>
      </c>
      <c r="B326" s="12" t="s">
        <v>62</v>
      </c>
      <c r="C326" s="12" t="s">
        <v>56</v>
      </c>
      <c r="D326" s="85">
        <v>2.275</v>
      </c>
      <c r="E326" s="85">
        <v>22.25</v>
      </c>
      <c r="F326" s="85">
        <v>0.5</v>
      </c>
      <c r="G326" s="18">
        <v>9.5175</v>
      </c>
      <c r="H326" s="85">
        <v>4.25</v>
      </c>
      <c r="I326" s="85">
        <v>2.5</v>
      </c>
      <c r="J326" s="85">
        <v>0.25</v>
      </c>
      <c r="K326" s="85">
        <v>0.75</v>
      </c>
      <c r="L326" s="85">
        <v>0.25</v>
      </c>
    </row>
    <row r="327" ht="15.75" customHeight="1">
      <c r="A327" s="12" t="s">
        <v>601</v>
      </c>
      <c r="B327" s="12" t="s">
        <v>62</v>
      </c>
      <c r="C327" s="12" t="s">
        <v>59</v>
      </c>
      <c r="D327" s="85">
        <v>4.0</v>
      </c>
      <c r="E327" s="85">
        <v>43.0</v>
      </c>
      <c r="F327" s="85">
        <v>1.0</v>
      </c>
      <c r="G327" s="18">
        <v>10.75</v>
      </c>
      <c r="H327" s="85">
        <v>4.0</v>
      </c>
      <c r="I327" s="85">
        <v>4.0</v>
      </c>
      <c r="J327" s="85">
        <v>1.0</v>
      </c>
      <c r="K327" s="85">
        <v>0.0</v>
      </c>
      <c r="L327" s="85">
        <v>0.0</v>
      </c>
    </row>
    <row r="328" ht="15.75" customHeight="1">
      <c r="A328" s="12" t="s">
        <v>601</v>
      </c>
      <c r="B328" s="12" t="s">
        <v>62</v>
      </c>
      <c r="C328" s="12" t="s">
        <v>47</v>
      </c>
      <c r="D328" s="85">
        <v>4.0</v>
      </c>
      <c r="E328" s="85">
        <v>43.0</v>
      </c>
      <c r="F328" s="85">
        <v>1.0</v>
      </c>
      <c r="G328" s="18">
        <v>10.75</v>
      </c>
      <c r="H328" s="85">
        <v>4.0</v>
      </c>
      <c r="I328" s="85">
        <v>4.0</v>
      </c>
      <c r="J328" s="85">
        <v>1.0</v>
      </c>
      <c r="K328" s="85">
        <v>0.0</v>
      </c>
      <c r="L328" s="85">
        <v>0.0</v>
      </c>
    </row>
    <row r="329" ht="15.75" customHeight="1">
      <c r="A329" s="12" t="s">
        <v>528</v>
      </c>
      <c r="B329" s="12" t="s">
        <v>62</v>
      </c>
      <c r="C329" s="12" t="s">
        <v>572</v>
      </c>
      <c r="D329" s="85">
        <v>4.0</v>
      </c>
      <c r="E329" s="85">
        <v>43.0</v>
      </c>
      <c r="F329" s="85">
        <v>1.0</v>
      </c>
      <c r="G329" s="18">
        <v>10.75</v>
      </c>
      <c r="H329" s="85">
        <v>4.0</v>
      </c>
      <c r="I329" s="85">
        <v>4.0</v>
      </c>
      <c r="J329" s="85">
        <v>1.0</v>
      </c>
      <c r="K329" s="85">
        <v>0.0</v>
      </c>
      <c r="L329" s="85">
        <v>0.0</v>
      </c>
    </row>
    <row r="330" ht="15.75" customHeight="1">
      <c r="A330" s="12" t="s">
        <v>528</v>
      </c>
      <c r="B330" s="12" t="s">
        <v>62</v>
      </c>
      <c r="C330" s="12" t="s">
        <v>58</v>
      </c>
      <c r="D330" s="85">
        <v>3.6</v>
      </c>
      <c r="E330" s="85">
        <v>32.8</v>
      </c>
      <c r="F330" s="85">
        <v>2.0</v>
      </c>
      <c r="G330" s="18">
        <v>9.55</v>
      </c>
      <c r="H330" s="85">
        <v>7.2</v>
      </c>
      <c r="I330" s="85">
        <v>2.8</v>
      </c>
      <c r="J330" s="85">
        <v>1.4</v>
      </c>
      <c r="K330" s="85">
        <v>0.0</v>
      </c>
      <c r="L330" s="85">
        <v>0.0</v>
      </c>
    </row>
    <row r="331" ht="15.75" customHeight="1">
      <c r="A331" s="12" t="s">
        <v>528</v>
      </c>
      <c r="B331" s="12" t="s">
        <v>62</v>
      </c>
      <c r="C331" s="12" t="s">
        <v>47</v>
      </c>
      <c r="D331" s="85">
        <v>3.6666666666666665</v>
      </c>
      <c r="E331" s="85">
        <v>33.0</v>
      </c>
      <c r="F331" s="85">
        <v>1.0</v>
      </c>
      <c r="G331" s="18">
        <v>9.386666666666667</v>
      </c>
      <c r="H331" s="85">
        <v>6.666666666666667</v>
      </c>
      <c r="I331" s="85">
        <v>0.6666666666666666</v>
      </c>
      <c r="J331" s="85">
        <v>2.6666666666666665</v>
      </c>
      <c r="K331" s="85">
        <v>0.3333333333333333</v>
      </c>
      <c r="L331" s="85">
        <v>0.0</v>
      </c>
    </row>
    <row r="332" ht="15.75" customHeight="1">
      <c r="A332" s="12" t="s">
        <v>528</v>
      </c>
      <c r="B332" s="12" t="s">
        <v>62</v>
      </c>
      <c r="C332" s="12" t="s">
        <v>56</v>
      </c>
      <c r="D332" s="85">
        <v>3.6666666666666665</v>
      </c>
      <c r="E332" s="85">
        <v>33.0</v>
      </c>
      <c r="F332" s="85">
        <v>1.0</v>
      </c>
      <c r="G332" s="18">
        <v>9.386666666666667</v>
      </c>
      <c r="H332" s="85">
        <v>6.666666666666667</v>
      </c>
      <c r="I332" s="85">
        <v>0.6666666666666666</v>
      </c>
      <c r="J332" s="85">
        <v>2.6666666666666665</v>
      </c>
      <c r="K332" s="85">
        <v>0.3333333333333333</v>
      </c>
      <c r="L332" s="85">
        <v>0.0</v>
      </c>
    </row>
    <row r="333" ht="15.75" customHeight="1">
      <c r="A333" s="12" t="s">
        <v>528</v>
      </c>
      <c r="B333" s="12" t="s">
        <v>62</v>
      </c>
      <c r="C333" s="12" t="s">
        <v>59</v>
      </c>
      <c r="D333" s="85">
        <v>3.6666666666666665</v>
      </c>
      <c r="E333" s="85">
        <v>33.0</v>
      </c>
      <c r="F333" s="85">
        <v>1.0</v>
      </c>
      <c r="G333" s="18">
        <v>9.386666666666667</v>
      </c>
      <c r="H333" s="85">
        <v>6.666666666666667</v>
      </c>
      <c r="I333" s="85">
        <v>0.6666666666666666</v>
      </c>
      <c r="J333" s="85">
        <v>2.6666666666666665</v>
      </c>
      <c r="K333" s="85">
        <v>0.3333333333333333</v>
      </c>
      <c r="L333" s="85">
        <v>0.0</v>
      </c>
    </row>
    <row r="334" ht="15.75" customHeight="1">
      <c r="A334" s="12" t="s">
        <v>528</v>
      </c>
      <c r="B334" s="12" t="s">
        <v>62</v>
      </c>
      <c r="C334" s="12" t="s">
        <v>54</v>
      </c>
      <c r="D334" s="85">
        <v>3.6</v>
      </c>
      <c r="E334" s="85">
        <v>32.8</v>
      </c>
      <c r="F334" s="85">
        <v>2.0</v>
      </c>
      <c r="G334" s="18">
        <v>9.55</v>
      </c>
      <c r="H334" s="85">
        <v>7.2</v>
      </c>
      <c r="I334" s="85">
        <v>2.8</v>
      </c>
      <c r="J334" s="85">
        <v>1.4</v>
      </c>
      <c r="K334" s="85">
        <v>0.0</v>
      </c>
      <c r="L334" s="85">
        <v>0.0</v>
      </c>
    </row>
    <row r="335" ht="15.75" customHeight="1">
      <c r="A335" s="12" t="s">
        <v>528</v>
      </c>
      <c r="B335" s="12" t="s">
        <v>62</v>
      </c>
      <c r="C335" s="28" t="s">
        <v>61</v>
      </c>
      <c r="D335" s="85">
        <v>3.6666666666666665</v>
      </c>
      <c r="E335" s="85">
        <v>33.0</v>
      </c>
      <c r="F335" s="85">
        <v>1.0</v>
      </c>
      <c r="G335" s="18">
        <v>9.386666666666667</v>
      </c>
      <c r="H335" s="85">
        <v>6.666666666666667</v>
      </c>
      <c r="I335" s="85">
        <v>0.6666666666666666</v>
      </c>
      <c r="J335" s="85">
        <v>2.6666666666666665</v>
      </c>
      <c r="K335" s="85">
        <v>0.3333333333333333</v>
      </c>
      <c r="L335" s="85">
        <v>0.0</v>
      </c>
    </row>
    <row r="336" ht="15.75" customHeight="1">
      <c r="C336" s="28"/>
      <c r="D336" s="87"/>
      <c r="E336" s="87"/>
      <c r="F336" s="87"/>
      <c r="H336" s="87"/>
      <c r="I336" s="87"/>
      <c r="J336" s="87"/>
      <c r="K336" s="87"/>
      <c r="L336" s="87"/>
    </row>
    <row r="337" ht="15.75" customHeight="1">
      <c r="C337" s="28"/>
      <c r="D337" s="87"/>
      <c r="E337" s="87"/>
      <c r="F337" s="87"/>
      <c r="H337" s="87"/>
      <c r="I337" s="87"/>
      <c r="J337" s="87"/>
      <c r="K337" s="87"/>
      <c r="L337" s="87"/>
    </row>
    <row r="338" ht="15.75" customHeight="1">
      <c r="C338" s="28"/>
      <c r="D338" s="87"/>
      <c r="E338" s="87"/>
      <c r="F338" s="87"/>
      <c r="H338" s="87"/>
      <c r="I338" s="87"/>
      <c r="J338" s="87"/>
      <c r="K338" s="87"/>
      <c r="L338" s="87"/>
    </row>
    <row r="339" ht="15.75" customHeight="1">
      <c r="C339" s="28"/>
      <c r="D339" s="87"/>
      <c r="E339" s="87"/>
      <c r="F339" s="87"/>
      <c r="H339" s="87"/>
      <c r="I339" s="87"/>
      <c r="J339" s="87"/>
      <c r="K339" s="87"/>
      <c r="L339" s="87"/>
    </row>
    <row r="340" ht="15.75" customHeight="1">
      <c r="C340" s="28"/>
      <c r="D340" s="87"/>
      <c r="E340" s="87"/>
      <c r="F340" s="87"/>
      <c r="H340" s="87"/>
      <c r="I340" s="87"/>
      <c r="J340" s="87"/>
      <c r="K340" s="87"/>
      <c r="L340" s="87"/>
    </row>
    <row r="341" ht="15.75" customHeight="1">
      <c r="C341" s="28"/>
      <c r="D341" s="87"/>
      <c r="E341" s="87"/>
      <c r="F341" s="87"/>
      <c r="H341" s="87"/>
      <c r="I341" s="87"/>
      <c r="J341" s="87"/>
      <c r="K341" s="87"/>
      <c r="L341" s="87"/>
    </row>
    <row r="342" ht="15.75" customHeight="1">
      <c r="C342" s="28"/>
      <c r="D342" s="87"/>
      <c r="E342" s="87"/>
      <c r="F342" s="87"/>
      <c r="H342" s="87"/>
      <c r="I342" s="87"/>
      <c r="J342" s="87"/>
      <c r="K342" s="87"/>
      <c r="L342" s="87"/>
    </row>
    <row r="343" ht="15.75" customHeight="1">
      <c r="C343" s="28"/>
      <c r="D343" s="87"/>
      <c r="E343" s="87"/>
      <c r="F343" s="87"/>
      <c r="H343" s="87"/>
      <c r="I343" s="87"/>
      <c r="J343" s="87"/>
      <c r="K343" s="87"/>
      <c r="L343" s="87"/>
    </row>
    <row r="344" ht="15.75" customHeight="1">
      <c r="C344" s="28"/>
      <c r="D344" s="87"/>
      <c r="E344" s="87"/>
      <c r="F344" s="87"/>
      <c r="H344" s="87"/>
      <c r="I344" s="87"/>
      <c r="J344" s="87"/>
      <c r="K344" s="87"/>
      <c r="L344" s="87"/>
    </row>
    <row r="345" ht="15.75" customHeight="1">
      <c r="C345" s="28"/>
      <c r="D345" s="87"/>
      <c r="E345" s="87"/>
      <c r="F345" s="87"/>
      <c r="H345" s="87"/>
      <c r="I345" s="87"/>
      <c r="J345" s="87"/>
      <c r="K345" s="87"/>
      <c r="L345" s="87"/>
    </row>
    <row r="346" ht="15.75" customHeight="1">
      <c r="C346" s="28"/>
      <c r="D346" s="87"/>
      <c r="E346" s="87"/>
      <c r="F346" s="87"/>
      <c r="H346" s="87"/>
      <c r="I346" s="87"/>
      <c r="J346" s="87"/>
      <c r="K346" s="87"/>
      <c r="L346" s="87"/>
    </row>
    <row r="347" ht="15.75" customHeight="1">
      <c r="C347" s="28"/>
      <c r="D347" s="87"/>
      <c r="E347" s="87"/>
      <c r="F347" s="87"/>
      <c r="H347" s="87"/>
      <c r="I347" s="87"/>
      <c r="J347" s="87"/>
      <c r="K347" s="87"/>
      <c r="L347" s="87"/>
    </row>
    <row r="348" ht="15.75" customHeight="1">
      <c r="C348" s="28"/>
      <c r="D348" s="87"/>
      <c r="E348" s="87"/>
      <c r="F348" s="87"/>
      <c r="H348" s="87"/>
      <c r="I348" s="87"/>
      <c r="J348" s="87"/>
      <c r="K348" s="87"/>
      <c r="L348" s="87"/>
    </row>
    <row r="349" ht="15.75" customHeight="1">
      <c r="C349" s="28"/>
      <c r="D349" s="87"/>
      <c r="E349" s="87"/>
      <c r="F349" s="87"/>
      <c r="H349" s="87"/>
      <c r="I349" s="87"/>
      <c r="J349" s="87"/>
      <c r="K349" s="87"/>
      <c r="L349" s="87"/>
    </row>
    <row r="350" ht="15.75" customHeight="1">
      <c r="C350" s="28"/>
      <c r="D350" s="87"/>
      <c r="E350" s="87"/>
      <c r="F350" s="87"/>
      <c r="H350" s="87"/>
      <c r="I350" s="87"/>
      <c r="J350" s="87"/>
      <c r="K350" s="87"/>
      <c r="L350" s="87"/>
    </row>
    <row r="351" ht="15.75" customHeight="1">
      <c r="C351" s="28"/>
      <c r="D351" s="87"/>
      <c r="E351" s="87"/>
      <c r="F351" s="87"/>
      <c r="H351" s="87"/>
      <c r="I351" s="87"/>
      <c r="J351" s="87"/>
      <c r="K351" s="87"/>
      <c r="L351" s="87"/>
    </row>
    <row r="352" ht="15.75" customHeight="1">
      <c r="C352" s="28"/>
      <c r="D352" s="87"/>
      <c r="E352" s="87"/>
      <c r="F352" s="87"/>
      <c r="H352" s="87"/>
      <c r="I352" s="87"/>
      <c r="J352" s="87"/>
      <c r="K352" s="87"/>
      <c r="L352" s="87"/>
    </row>
    <row r="353" ht="15.75" customHeight="1">
      <c r="C353" s="28"/>
      <c r="D353" s="87"/>
      <c r="E353" s="87"/>
      <c r="F353" s="87"/>
      <c r="H353" s="87"/>
      <c r="I353" s="87"/>
      <c r="J353" s="87"/>
      <c r="K353" s="87"/>
      <c r="L353" s="87"/>
    </row>
    <row r="354" ht="15.75" customHeight="1">
      <c r="C354" s="28"/>
      <c r="D354" s="87"/>
      <c r="E354" s="87"/>
      <c r="F354" s="87"/>
      <c r="H354" s="87"/>
      <c r="I354" s="87"/>
      <c r="J354" s="87"/>
      <c r="K354" s="87"/>
      <c r="L354" s="87"/>
    </row>
    <row r="355" ht="15.75" customHeight="1">
      <c r="C355" s="28"/>
      <c r="D355" s="87"/>
      <c r="E355" s="87"/>
      <c r="F355" s="87"/>
      <c r="H355" s="87"/>
      <c r="I355" s="87"/>
      <c r="J355" s="87"/>
      <c r="K355" s="87"/>
      <c r="L355" s="87"/>
    </row>
    <row r="356" ht="15.75" customHeight="1">
      <c r="C356" s="28"/>
      <c r="D356" s="87"/>
      <c r="E356" s="87"/>
      <c r="F356" s="87"/>
      <c r="H356" s="87"/>
      <c r="I356" s="87"/>
      <c r="J356" s="87"/>
      <c r="K356" s="87"/>
      <c r="L356" s="87"/>
    </row>
    <row r="357" ht="15.75" customHeight="1">
      <c r="C357" s="28"/>
      <c r="D357" s="87"/>
      <c r="E357" s="87"/>
      <c r="F357" s="87"/>
      <c r="H357" s="87"/>
      <c r="I357" s="87"/>
      <c r="J357" s="87"/>
      <c r="K357" s="87"/>
      <c r="L357" s="87"/>
    </row>
    <row r="358" ht="15.75" customHeight="1">
      <c r="C358" s="28"/>
      <c r="D358" s="87"/>
      <c r="E358" s="87"/>
      <c r="F358" s="87"/>
      <c r="H358" s="87"/>
      <c r="I358" s="87"/>
      <c r="J358" s="87"/>
      <c r="K358" s="87"/>
      <c r="L358" s="87"/>
    </row>
    <row r="359" ht="15.75" customHeight="1">
      <c r="C359" s="28"/>
      <c r="D359" s="87"/>
      <c r="E359" s="87"/>
      <c r="F359" s="87"/>
      <c r="H359" s="87"/>
      <c r="I359" s="87"/>
      <c r="J359" s="87"/>
      <c r="K359" s="87"/>
      <c r="L359" s="87"/>
    </row>
    <row r="360" ht="15.75" customHeight="1">
      <c r="C360" s="28"/>
      <c r="D360" s="87"/>
      <c r="E360" s="87"/>
      <c r="F360" s="87"/>
      <c r="H360" s="87"/>
      <c r="I360" s="87"/>
      <c r="J360" s="87"/>
      <c r="K360" s="87"/>
      <c r="L360" s="87"/>
    </row>
    <row r="361" ht="15.75" customHeight="1">
      <c r="C361" s="28"/>
      <c r="D361" s="87"/>
      <c r="E361" s="87"/>
      <c r="F361" s="87"/>
      <c r="H361" s="87"/>
      <c r="I361" s="87"/>
      <c r="J361" s="87"/>
      <c r="K361" s="87"/>
      <c r="L361" s="87"/>
    </row>
    <row r="362" ht="15.75" customHeight="1">
      <c r="C362" s="28"/>
      <c r="D362" s="87"/>
      <c r="E362" s="87"/>
      <c r="F362" s="87"/>
      <c r="H362" s="87"/>
      <c r="I362" s="87"/>
      <c r="J362" s="87"/>
      <c r="K362" s="87"/>
      <c r="L362" s="87"/>
    </row>
    <row r="363" ht="15.75" customHeight="1">
      <c r="C363" s="28"/>
      <c r="D363" s="87"/>
      <c r="E363" s="87"/>
      <c r="F363" s="87"/>
      <c r="H363" s="87"/>
      <c r="I363" s="87"/>
      <c r="J363" s="87"/>
      <c r="K363" s="87"/>
      <c r="L363" s="87"/>
    </row>
    <row r="364" ht="15.75" customHeight="1">
      <c r="C364" s="28"/>
      <c r="D364" s="87"/>
      <c r="E364" s="87"/>
      <c r="F364" s="87"/>
      <c r="H364" s="87"/>
      <c r="I364" s="87"/>
      <c r="J364" s="87"/>
      <c r="K364" s="87"/>
      <c r="L364" s="87"/>
    </row>
    <row r="365" ht="15.75" customHeight="1">
      <c r="C365" s="28"/>
      <c r="D365" s="87"/>
      <c r="E365" s="87"/>
      <c r="F365" s="87"/>
      <c r="H365" s="87"/>
      <c r="I365" s="87"/>
      <c r="J365" s="87"/>
      <c r="K365" s="87"/>
      <c r="L365" s="87"/>
    </row>
    <row r="366" ht="15.75" customHeight="1">
      <c r="C366" s="28"/>
      <c r="D366" s="87"/>
      <c r="E366" s="87"/>
      <c r="F366" s="87"/>
      <c r="H366" s="87"/>
      <c r="I366" s="87"/>
      <c r="J366" s="87"/>
      <c r="K366" s="87"/>
      <c r="L366" s="87"/>
    </row>
    <row r="367" ht="15.75" customHeight="1">
      <c r="C367" s="28"/>
      <c r="D367" s="87"/>
      <c r="E367" s="87"/>
      <c r="F367" s="87"/>
      <c r="H367" s="87"/>
      <c r="I367" s="87"/>
      <c r="J367" s="87"/>
      <c r="K367" s="87"/>
      <c r="L367" s="87"/>
    </row>
    <row r="368" ht="15.75" customHeight="1">
      <c r="C368" s="28"/>
      <c r="D368" s="87"/>
      <c r="E368" s="87"/>
      <c r="F368" s="87"/>
      <c r="H368" s="87"/>
      <c r="I368" s="87"/>
      <c r="J368" s="87"/>
      <c r="K368" s="87"/>
      <c r="L368" s="87"/>
    </row>
    <row r="369" ht="15.75" customHeight="1">
      <c r="C369" s="28"/>
      <c r="D369" s="87"/>
      <c r="E369" s="87"/>
      <c r="F369" s="87"/>
      <c r="H369" s="87"/>
      <c r="I369" s="87"/>
      <c r="J369" s="87"/>
      <c r="K369" s="87"/>
      <c r="L369" s="87"/>
    </row>
    <row r="370" ht="15.75" customHeight="1">
      <c r="C370" s="28"/>
      <c r="D370" s="87"/>
      <c r="E370" s="87"/>
      <c r="F370" s="87"/>
      <c r="H370" s="87"/>
      <c r="I370" s="87"/>
      <c r="J370" s="87"/>
      <c r="K370" s="87"/>
      <c r="L370" s="87"/>
    </row>
    <row r="371" ht="15.75" customHeight="1">
      <c r="C371" s="28"/>
      <c r="D371" s="87"/>
      <c r="E371" s="87"/>
      <c r="F371" s="87"/>
      <c r="H371" s="87"/>
      <c r="I371" s="87"/>
      <c r="J371" s="87"/>
      <c r="K371" s="87"/>
      <c r="L371" s="87"/>
    </row>
    <row r="372" ht="15.75" customHeight="1">
      <c r="C372" s="28"/>
      <c r="D372" s="87"/>
      <c r="E372" s="87"/>
      <c r="F372" s="87"/>
      <c r="H372" s="87"/>
      <c r="I372" s="87"/>
      <c r="J372" s="87"/>
      <c r="K372" s="87"/>
      <c r="L372" s="87"/>
    </row>
    <row r="373" ht="15.75" customHeight="1">
      <c r="C373" s="28"/>
      <c r="D373" s="87"/>
      <c r="E373" s="87"/>
      <c r="F373" s="87"/>
      <c r="H373" s="87"/>
      <c r="I373" s="87"/>
      <c r="J373" s="87"/>
      <c r="K373" s="87"/>
      <c r="L373" s="87"/>
    </row>
    <row r="374" ht="15.75" customHeight="1">
      <c r="C374" s="28"/>
      <c r="D374" s="87"/>
      <c r="E374" s="87"/>
      <c r="F374" s="87"/>
      <c r="H374" s="87"/>
      <c r="I374" s="87"/>
      <c r="J374" s="87"/>
      <c r="K374" s="87"/>
      <c r="L374" s="87"/>
    </row>
    <row r="375" ht="15.75" customHeight="1">
      <c r="C375" s="28"/>
      <c r="D375" s="87"/>
      <c r="E375" s="87"/>
      <c r="F375" s="87"/>
      <c r="H375" s="87"/>
      <c r="I375" s="87"/>
      <c r="J375" s="87"/>
      <c r="K375" s="87"/>
      <c r="L375" s="87"/>
    </row>
    <row r="376" ht="15.75" customHeight="1">
      <c r="C376" s="28"/>
      <c r="D376" s="87"/>
      <c r="E376" s="87"/>
      <c r="F376" s="87"/>
      <c r="H376" s="87"/>
      <c r="I376" s="87"/>
      <c r="J376" s="87"/>
      <c r="K376" s="87"/>
      <c r="L376" s="87"/>
    </row>
    <row r="377" ht="15.75" customHeight="1">
      <c r="C377" s="28"/>
      <c r="D377" s="87"/>
      <c r="E377" s="87"/>
      <c r="F377" s="87"/>
      <c r="H377" s="87"/>
      <c r="I377" s="87"/>
      <c r="J377" s="87"/>
      <c r="K377" s="87"/>
      <c r="L377" s="87"/>
    </row>
    <row r="378" ht="15.75" customHeight="1">
      <c r="C378" s="28"/>
      <c r="D378" s="87"/>
      <c r="E378" s="87"/>
      <c r="F378" s="87"/>
      <c r="H378" s="87"/>
      <c r="I378" s="87"/>
      <c r="J378" s="87"/>
      <c r="K378" s="87"/>
      <c r="L378" s="87"/>
    </row>
    <row r="379" ht="15.75" customHeight="1">
      <c r="C379" s="28"/>
      <c r="D379" s="87"/>
      <c r="E379" s="87"/>
      <c r="F379" s="87"/>
      <c r="H379" s="87"/>
      <c r="I379" s="87"/>
      <c r="J379" s="87"/>
      <c r="K379" s="87"/>
      <c r="L379" s="87"/>
    </row>
    <row r="380" ht="15.75" customHeight="1">
      <c r="C380" s="28"/>
      <c r="D380" s="87"/>
      <c r="E380" s="87"/>
      <c r="F380" s="87"/>
      <c r="H380" s="87"/>
      <c r="I380" s="87"/>
      <c r="J380" s="87"/>
      <c r="K380" s="87"/>
      <c r="L380" s="87"/>
    </row>
    <row r="381" ht="15.75" customHeight="1">
      <c r="C381" s="28"/>
      <c r="D381" s="87"/>
      <c r="E381" s="87"/>
      <c r="F381" s="87"/>
      <c r="H381" s="87"/>
      <c r="I381" s="87"/>
      <c r="J381" s="87"/>
      <c r="K381" s="87"/>
      <c r="L381" s="87"/>
    </row>
    <row r="382" ht="15.75" customHeight="1">
      <c r="C382" s="28"/>
      <c r="D382" s="87"/>
      <c r="E382" s="87"/>
      <c r="F382" s="87"/>
      <c r="H382" s="87"/>
      <c r="I382" s="87"/>
      <c r="J382" s="87"/>
      <c r="K382" s="87"/>
      <c r="L382" s="87"/>
    </row>
    <row r="383" ht="15.75" customHeight="1">
      <c r="C383" s="28"/>
      <c r="D383" s="87"/>
      <c r="E383" s="87"/>
      <c r="F383" s="87"/>
      <c r="H383" s="87"/>
      <c r="I383" s="87"/>
      <c r="J383" s="87"/>
      <c r="K383" s="87"/>
      <c r="L383" s="87"/>
    </row>
    <row r="384" ht="15.75" customHeight="1">
      <c r="C384" s="28"/>
      <c r="D384" s="87"/>
      <c r="E384" s="87"/>
      <c r="F384" s="87"/>
      <c r="H384" s="87"/>
      <c r="I384" s="87"/>
      <c r="J384" s="87"/>
      <c r="K384" s="87"/>
      <c r="L384" s="87"/>
    </row>
    <row r="385" ht="15.75" customHeight="1">
      <c r="C385" s="28"/>
      <c r="D385" s="87"/>
      <c r="E385" s="87"/>
      <c r="F385" s="87"/>
      <c r="H385" s="87"/>
      <c r="I385" s="87"/>
      <c r="J385" s="87"/>
      <c r="K385" s="87"/>
      <c r="L385" s="87"/>
    </row>
    <row r="386" ht="15.75" customHeight="1">
      <c r="C386" s="28"/>
      <c r="D386" s="87"/>
      <c r="E386" s="87"/>
      <c r="F386" s="87"/>
      <c r="H386" s="87"/>
      <c r="I386" s="87"/>
      <c r="J386" s="87"/>
      <c r="K386" s="87"/>
      <c r="L386" s="87"/>
    </row>
    <row r="387" ht="15.75" customHeight="1">
      <c r="C387" s="28"/>
      <c r="D387" s="87"/>
      <c r="E387" s="87"/>
      <c r="F387" s="87"/>
      <c r="H387" s="87"/>
      <c r="I387" s="87"/>
      <c r="J387" s="87"/>
      <c r="K387" s="87"/>
      <c r="L387" s="87"/>
    </row>
    <row r="388" ht="15.75" customHeight="1">
      <c r="C388" s="28"/>
      <c r="D388" s="87"/>
      <c r="E388" s="87"/>
      <c r="F388" s="87"/>
      <c r="H388" s="87"/>
      <c r="I388" s="87"/>
      <c r="J388" s="87"/>
      <c r="K388" s="87"/>
      <c r="L388" s="87"/>
    </row>
    <row r="389" ht="15.75" customHeight="1">
      <c r="C389" s="28"/>
      <c r="D389" s="87"/>
      <c r="E389" s="87"/>
      <c r="F389" s="87"/>
      <c r="H389" s="87"/>
      <c r="I389" s="87"/>
      <c r="J389" s="87"/>
      <c r="K389" s="87"/>
      <c r="L389" s="87"/>
    </row>
    <row r="390" ht="15.75" customHeight="1">
      <c r="C390" s="28"/>
      <c r="D390" s="87"/>
      <c r="E390" s="87"/>
      <c r="F390" s="87"/>
      <c r="H390" s="87"/>
      <c r="I390" s="87"/>
      <c r="J390" s="87"/>
      <c r="K390" s="87"/>
      <c r="L390" s="87"/>
    </row>
    <row r="391" ht="15.75" customHeight="1">
      <c r="C391" s="28"/>
      <c r="D391" s="87"/>
      <c r="E391" s="87"/>
      <c r="F391" s="87"/>
      <c r="H391" s="87"/>
      <c r="I391" s="87"/>
      <c r="J391" s="87"/>
      <c r="K391" s="87"/>
      <c r="L391" s="87"/>
    </row>
    <row r="392" ht="15.75" customHeight="1">
      <c r="C392" s="28"/>
      <c r="D392" s="87"/>
      <c r="E392" s="87"/>
      <c r="F392" s="87"/>
      <c r="H392" s="87"/>
      <c r="I392" s="87"/>
      <c r="J392" s="87"/>
      <c r="K392" s="87"/>
      <c r="L392" s="87"/>
    </row>
    <row r="393" ht="15.75" customHeight="1">
      <c r="C393" s="28"/>
      <c r="D393" s="87"/>
      <c r="E393" s="87"/>
      <c r="F393" s="87"/>
      <c r="H393" s="87"/>
      <c r="I393" s="87"/>
      <c r="J393" s="87"/>
      <c r="K393" s="87"/>
      <c r="L393" s="87"/>
    </row>
    <row r="394" ht="15.75" customHeight="1">
      <c r="C394" s="28"/>
      <c r="D394" s="87"/>
      <c r="E394" s="87"/>
      <c r="F394" s="87"/>
      <c r="H394" s="87"/>
      <c r="I394" s="87"/>
      <c r="J394" s="87"/>
      <c r="K394" s="87"/>
      <c r="L394" s="87"/>
    </row>
    <row r="395" ht="15.75" customHeight="1">
      <c r="C395" s="28"/>
      <c r="D395" s="87"/>
      <c r="E395" s="87"/>
      <c r="F395" s="87"/>
      <c r="H395" s="87"/>
      <c r="I395" s="87"/>
      <c r="J395" s="87"/>
      <c r="K395" s="87"/>
      <c r="L395" s="87"/>
    </row>
    <row r="396" ht="15.75" customHeight="1">
      <c r="C396" s="28"/>
      <c r="D396" s="87"/>
      <c r="E396" s="87"/>
      <c r="F396" s="87"/>
      <c r="H396" s="87"/>
      <c r="I396" s="87"/>
      <c r="J396" s="87"/>
      <c r="K396" s="87"/>
      <c r="L396" s="87"/>
    </row>
    <row r="397" ht="15.75" customHeight="1">
      <c r="C397" s="28"/>
      <c r="D397" s="87"/>
      <c r="E397" s="87"/>
      <c r="F397" s="87"/>
      <c r="H397" s="87"/>
      <c r="I397" s="87"/>
      <c r="J397" s="87"/>
      <c r="K397" s="87"/>
      <c r="L397" s="87"/>
    </row>
    <row r="398" ht="15.75" customHeight="1">
      <c r="C398" s="28"/>
      <c r="D398" s="87"/>
      <c r="E398" s="87"/>
      <c r="F398" s="87"/>
      <c r="H398" s="87"/>
      <c r="I398" s="87"/>
      <c r="J398" s="87"/>
      <c r="K398" s="87"/>
      <c r="L398" s="87"/>
    </row>
    <row r="399" ht="15.75" customHeight="1">
      <c r="C399" s="28"/>
      <c r="D399" s="87"/>
      <c r="E399" s="87"/>
      <c r="F399" s="87"/>
      <c r="H399" s="87"/>
      <c r="I399" s="87"/>
      <c r="J399" s="87"/>
      <c r="K399" s="87"/>
      <c r="L399" s="87"/>
    </row>
    <row r="400" ht="15.75" customHeight="1">
      <c r="C400" s="28"/>
      <c r="D400" s="87"/>
      <c r="E400" s="87"/>
      <c r="F400" s="87"/>
      <c r="H400" s="87"/>
      <c r="I400" s="87"/>
      <c r="J400" s="87"/>
      <c r="K400" s="87"/>
      <c r="L400" s="87"/>
    </row>
    <row r="401" ht="15.75" customHeight="1">
      <c r="C401" s="28"/>
      <c r="D401" s="87"/>
      <c r="E401" s="87"/>
      <c r="F401" s="87"/>
      <c r="H401" s="87"/>
      <c r="I401" s="87"/>
      <c r="J401" s="87"/>
      <c r="K401" s="87"/>
      <c r="L401" s="87"/>
    </row>
    <row r="402" ht="15.75" customHeight="1">
      <c r="C402" s="28"/>
      <c r="D402" s="87"/>
      <c r="E402" s="87"/>
      <c r="F402" s="87"/>
      <c r="H402" s="87"/>
      <c r="I402" s="87"/>
      <c r="J402" s="87"/>
      <c r="K402" s="87"/>
      <c r="L402" s="87"/>
    </row>
    <row r="403" ht="15.75" customHeight="1">
      <c r="C403" s="28"/>
      <c r="D403" s="87"/>
      <c r="E403" s="87"/>
      <c r="F403" s="87"/>
      <c r="H403" s="87"/>
      <c r="I403" s="87"/>
      <c r="J403" s="87"/>
      <c r="K403" s="87"/>
      <c r="L403" s="87"/>
    </row>
    <row r="404" ht="15.75" customHeight="1">
      <c r="C404" s="28"/>
      <c r="D404" s="87"/>
      <c r="E404" s="87"/>
      <c r="F404" s="87"/>
      <c r="H404" s="87"/>
      <c r="I404" s="87"/>
      <c r="J404" s="87"/>
      <c r="K404" s="87"/>
      <c r="L404" s="87"/>
    </row>
    <row r="405" ht="15.75" customHeight="1">
      <c r="C405" s="28"/>
      <c r="D405" s="87"/>
      <c r="E405" s="87"/>
      <c r="F405" s="87"/>
      <c r="H405" s="87"/>
      <c r="I405" s="87"/>
      <c r="J405" s="87"/>
      <c r="K405" s="87"/>
      <c r="L405" s="87"/>
    </row>
    <row r="406" ht="15.75" customHeight="1">
      <c r="C406" s="28"/>
      <c r="D406" s="87"/>
      <c r="E406" s="87"/>
      <c r="F406" s="87"/>
      <c r="H406" s="87"/>
      <c r="I406" s="87"/>
      <c r="J406" s="87"/>
      <c r="K406" s="87"/>
      <c r="L406" s="87"/>
    </row>
    <row r="407" ht="15.75" customHeight="1">
      <c r="C407" s="28"/>
      <c r="D407" s="87"/>
      <c r="E407" s="87"/>
      <c r="F407" s="87"/>
      <c r="H407" s="87"/>
      <c r="I407" s="87"/>
      <c r="J407" s="87"/>
      <c r="K407" s="87"/>
      <c r="L407" s="87"/>
    </row>
    <row r="408" ht="15.75" customHeight="1">
      <c r="C408" s="28"/>
      <c r="D408" s="87"/>
      <c r="E408" s="87"/>
      <c r="F408" s="87"/>
      <c r="H408" s="87"/>
      <c r="I408" s="87"/>
      <c r="J408" s="87"/>
      <c r="K408" s="87"/>
      <c r="L408" s="87"/>
    </row>
    <row r="409" ht="15.75" customHeight="1">
      <c r="C409" s="28"/>
      <c r="D409" s="87"/>
      <c r="E409" s="87"/>
      <c r="F409" s="87"/>
      <c r="H409" s="87"/>
      <c r="I409" s="87"/>
      <c r="J409" s="87"/>
      <c r="K409" s="87"/>
      <c r="L409" s="87"/>
    </row>
    <row r="410" ht="15.75" customHeight="1">
      <c r="C410" s="28"/>
      <c r="D410" s="87"/>
      <c r="E410" s="87"/>
      <c r="F410" s="87"/>
      <c r="H410" s="87"/>
      <c r="I410" s="87"/>
      <c r="J410" s="87"/>
      <c r="K410" s="87"/>
      <c r="L410" s="87"/>
    </row>
    <row r="411" ht="15.75" customHeight="1">
      <c r="C411" s="28"/>
      <c r="D411" s="87"/>
      <c r="E411" s="87"/>
      <c r="F411" s="87"/>
      <c r="H411" s="87"/>
      <c r="I411" s="87"/>
      <c r="J411" s="87"/>
      <c r="K411" s="87"/>
      <c r="L411" s="87"/>
    </row>
    <row r="412" ht="15.75" customHeight="1">
      <c r="C412" s="28"/>
      <c r="D412" s="87"/>
      <c r="E412" s="87"/>
      <c r="F412" s="87"/>
      <c r="H412" s="87"/>
      <c r="I412" s="87"/>
      <c r="J412" s="87"/>
      <c r="K412" s="87"/>
      <c r="L412" s="87"/>
    </row>
    <row r="413" ht="15.75" customHeight="1">
      <c r="C413" s="28"/>
      <c r="D413" s="87"/>
      <c r="E413" s="87"/>
      <c r="F413" s="87"/>
      <c r="H413" s="87"/>
      <c r="I413" s="87"/>
      <c r="J413" s="87"/>
      <c r="K413" s="87"/>
      <c r="L413" s="87"/>
    </row>
    <row r="414" ht="15.75" customHeight="1">
      <c r="C414" s="28"/>
      <c r="D414" s="87"/>
      <c r="E414" s="87"/>
      <c r="F414" s="87"/>
      <c r="H414" s="87"/>
      <c r="I414" s="87"/>
      <c r="J414" s="87"/>
      <c r="K414" s="87"/>
      <c r="L414" s="87"/>
    </row>
    <row r="415" ht="15.75" customHeight="1">
      <c r="C415" s="28"/>
      <c r="D415" s="87"/>
      <c r="E415" s="87"/>
      <c r="F415" s="87"/>
      <c r="H415" s="87"/>
      <c r="I415" s="87"/>
      <c r="J415" s="87"/>
      <c r="K415" s="87"/>
      <c r="L415" s="87"/>
    </row>
    <row r="416" ht="15.75" customHeight="1">
      <c r="C416" s="28"/>
      <c r="D416" s="87"/>
      <c r="E416" s="87"/>
      <c r="F416" s="87"/>
      <c r="H416" s="87"/>
      <c r="I416" s="87"/>
      <c r="J416" s="87"/>
      <c r="K416" s="87"/>
      <c r="L416" s="87"/>
    </row>
    <row r="417" ht="15.75" customHeight="1">
      <c r="C417" s="28"/>
      <c r="D417" s="87"/>
      <c r="E417" s="87"/>
      <c r="F417" s="87"/>
      <c r="H417" s="87"/>
      <c r="I417" s="87"/>
      <c r="J417" s="87"/>
      <c r="K417" s="87"/>
      <c r="L417" s="87"/>
    </row>
    <row r="418" ht="15.75" customHeight="1">
      <c r="C418" s="28"/>
      <c r="D418" s="87"/>
      <c r="E418" s="87"/>
      <c r="F418" s="87"/>
      <c r="H418" s="87"/>
      <c r="I418" s="87"/>
      <c r="J418" s="87"/>
      <c r="K418" s="87"/>
      <c r="L418" s="87"/>
    </row>
    <row r="419" ht="15.75" customHeight="1">
      <c r="C419" s="28"/>
      <c r="D419" s="87"/>
      <c r="E419" s="87"/>
      <c r="F419" s="87"/>
      <c r="H419" s="87"/>
      <c r="I419" s="87"/>
      <c r="J419" s="87"/>
      <c r="K419" s="87"/>
      <c r="L419" s="87"/>
    </row>
    <row r="420" ht="15.75" customHeight="1">
      <c r="C420" s="28"/>
      <c r="D420" s="87"/>
      <c r="E420" s="87"/>
      <c r="F420" s="87"/>
      <c r="H420" s="87"/>
      <c r="I420" s="87"/>
      <c r="J420" s="87"/>
      <c r="K420" s="87"/>
      <c r="L420" s="87"/>
    </row>
    <row r="421" ht="15.75" customHeight="1">
      <c r="C421" s="28"/>
      <c r="D421" s="87"/>
      <c r="E421" s="87"/>
      <c r="F421" s="87"/>
      <c r="H421" s="87"/>
      <c r="I421" s="87"/>
      <c r="J421" s="87"/>
      <c r="K421" s="87"/>
      <c r="L421" s="87"/>
    </row>
    <row r="422" ht="15.75" customHeight="1">
      <c r="C422" s="28"/>
      <c r="D422" s="87"/>
      <c r="E422" s="87"/>
      <c r="F422" s="87"/>
      <c r="H422" s="87"/>
      <c r="I422" s="87"/>
      <c r="J422" s="87"/>
      <c r="K422" s="87"/>
      <c r="L422" s="87"/>
    </row>
    <row r="423" ht="15.75" customHeight="1">
      <c r="C423" s="28"/>
      <c r="D423" s="87"/>
      <c r="E423" s="87"/>
      <c r="F423" s="87"/>
      <c r="H423" s="87"/>
      <c r="I423" s="87"/>
      <c r="J423" s="87"/>
      <c r="K423" s="87"/>
      <c r="L423" s="87"/>
    </row>
    <row r="424" ht="15.75" customHeight="1">
      <c r="C424" s="28"/>
      <c r="D424" s="87"/>
      <c r="E424" s="87"/>
      <c r="F424" s="87"/>
      <c r="H424" s="87"/>
      <c r="I424" s="87"/>
      <c r="J424" s="87"/>
      <c r="K424" s="87"/>
      <c r="L424" s="87"/>
    </row>
    <row r="425" ht="15.75" customHeight="1">
      <c r="C425" s="28"/>
      <c r="D425" s="87"/>
      <c r="E425" s="87"/>
      <c r="F425" s="87"/>
      <c r="H425" s="87"/>
      <c r="I425" s="87"/>
      <c r="J425" s="87"/>
      <c r="K425" s="87"/>
      <c r="L425" s="87"/>
    </row>
    <row r="426" ht="15.75" customHeight="1">
      <c r="C426" s="28"/>
      <c r="D426" s="87"/>
      <c r="E426" s="87"/>
      <c r="F426" s="87"/>
      <c r="H426" s="87"/>
      <c r="I426" s="87"/>
      <c r="J426" s="87"/>
      <c r="K426" s="87"/>
      <c r="L426" s="87"/>
    </row>
    <row r="427" ht="15.75" customHeight="1">
      <c r="C427" s="28"/>
      <c r="D427" s="87"/>
      <c r="E427" s="87"/>
      <c r="F427" s="87"/>
      <c r="H427" s="87"/>
      <c r="I427" s="87"/>
      <c r="J427" s="87"/>
      <c r="K427" s="87"/>
      <c r="L427" s="87"/>
    </row>
    <row r="428" ht="15.75" customHeight="1">
      <c r="C428" s="28"/>
      <c r="D428" s="87"/>
      <c r="E428" s="87"/>
      <c r="F428" s="87"/>
      <c r="H428" s="87"/>
      <c r="I428" s="87"/>
      <c r="J428" s="87"/>
      <c r="K428" s="87"/>
      <c r="L428" s="87"/>
    </row>
    <row r="429" ht="15.75" customHeight="1">
      <c r="C429" s="28"/>
      <c r="D429" s="87"/>
      <c r="E429" s="87"/>
      <c r="F429" s="87"/>
      <c r="H429" s="87"/>
      <c r="I429" s="87"/>
      <c r="J429" s="87"/>
      <c r="K429" s="87"/>
      <c r="L429" s="87"/>
    </row>
    <row r="430" ht="15.75" customHeight="1">
      <c r="C430" s="28"/>
      <c r="D430" s="87"/>
      <c r="E430" s="87"/>
      <c r="F430" s="87"/>
      <c r="H430" s="87"/>
      <c r="I430" s="87"/>
      <c r="J430" s="87"/>
      <c r="K430" s="87"/>
      <c r="L430" s="87"/>
    </row>
    <row r="431" ht="15.75" customHeight="1">
      <c r="C431" s="28"/>
      <c r="D431" s="87"/>
      <c r="E431" s="87"/>
      <c r="F431" s="87"/>
      <c r="H431" s="87"/>
      <c r="I431" s="87"/>
      <c r="J431" s="87"/>
      <c r="K431" s="87"/>
      <c r="L431" s="87"/>
    </row>
    <row r="432" ht="15.75" customHeight="1">
      <c r="C432" s="28"/>
      <c r="D432" s="87"/>
      <c r="E432" s="87"/>
      <c r="F432" s="87"/>
      <c r="H432" s="87"/>
      <c r="I432" s="87"/>
      <c r="J432" s="87"/>
      <c r="K432" s="87"/>
      <c r="L432" s="87"/>
    </row>
    <row r="433" ht="15.75" customHeight="1">
      <c r="C433" s="28"/>
      <c r="D433" s="87"/>
      <c r="E433" s="87"/>
      <c r="F433" s="87"/>
      <c r="H433" s="87"/>
      <c r="I433" s="87"/>
      <c r="J433" s="87"/>
      <c r="K433" s="87"/>
      <c r="L433" s="87"/>
    </row>
    <row r="434" ht="15.75" customHeight="1">
      <c r="C434" s="28"/>
      <c r="D434" s="87"/>
      <c r="E434" s="87"/>
      <c r="F434" s="87"/>
      <c r="H434" s="87"/>
      <c r="I434" s="87"/>
      <c r="J434" s="87"/>
      <c r="K434" s="87"/>
      <c r="L434" s="87"/>
    </row>
    <row r="435" ht="15.75" customHeight="1">
      <c r="C435" s="28"/>
      <c r="D435" s="87"/>
      <c r="E435" s="87"/>
      <c r="F435" s="87"/>
      <c r="H435" s="87"/>
      <c r="I435" s="87"/>
      <c r="J435" s="87"/>
      <c r="K435" s="87"/>
      <c r="L435" s="87"/>
    </row>
    <row r="436" ht="15.75" customHeight="1">
      <c r="C436" s="28"/>
      <c r="D436" s="87"/>
      <c r="E436" s="87"/>
      <c r="F436" s="87"/>
      <c r="H436" s="87"/>
      <c r="I436" s="87"/>
      <c r="J436" s="87"/>
      <c r="K436" s="87"/>
      <c r="L436" s="87"/>
    </row>
    <row r="437" ht="15.75" customHeight="1">
      <c r="C437" s="28"/>
      <c r="D437" s="87"/>
      <c r="E437" s="87"/>
      <c r="F437" s="87"/>
      <c r="H437" s="87"/>
      <c r="I437" s="87"/>
      <c r="J437" s="87"/>
      <c r="K437" s="87"/>
      <c r="L437" s="87"/>
    </row>
    <row r="438" ht="15.75" customHeight="1">
      <c r="C438" s="28"/>
      <c r="D438" s="87"/>
      <c r="E438" s="87"/>
      <c r="F438" s="87"/>
      <c r="H438" s="87"/>
      <c r="I438" s="87"/>
      <c r="J438" s="87"/>
      <c r="K438" s="87"/>
      <c r="L438" s="87"/>
    </row>
    <row r="439" ht="15.75" customHeight="1">
      <c r="C439" s="28"/>
      <c r="D439" s="87"/>
      <c r="E439" s="87"/>
      <c r="F439" s="87"/>
      <c r="H439" s="87"/>
      <c r="I439" s="87"/>
      <c r="J439" s="87"/>
      <c r="K439" s="87"/>
      <c r="L439" s="87"/>
    </row>
    <row r="440" ht="15.75" customHeight="1">
      <c r="C440" s="28"/>
      <c r="D440" s="87"/>
      <c r="E440" s="87"/>
      <c r="F440" s="87"/>
      <c r="H440" s="87"/>
      <c r="I440" s="87"/>
      <c r="J440" s="87"/>
      <c r="K440" s="87"/>
      <c r="L440" s="87"/>
    </row>
    <row r="441" ht="15.75" customHeight="1">
      <c r="C441" s="28"/>
      <c r="D441" s="87"/>
      <c r="E441" s="87"/>
      <c r="F441" s="87"/>
      <c r="H441" s="87"/>
      <c r="I441" s="87"/>
      <c r="J441" s="87"/>
      <c r="K441" s="87"/>
      <c r="L441" s="87"/>
    </row>
    <row r="442" ht="15.75" customHeight="1">
      <c r="C442" s="28"/>
      <c r="D442" s="87"/>
      <c r="E442" s="87"/>
      <c r="F442" s="87"/>
      <c r="H442" s="87"/>
      <c r="I442" s="87"/>
      <c r="J442" s="87"/>
      <c r="K442" s="87"/>
      <c r="L442" s="87"/>
    </row>
    <row r="443" ht="15.75" customHeight="1">
      <c r="C443" s="28"/>
      <c r="D443" s="87"/>
      <c r="E443" s="87"/>
      <c r="F443" s="87"/>
      <c r="H443" s="87"/>
      <c r="I443" s="87"/>
      <c r="J443" s="87"/>
      <c r="K443" s="87"/>
      <c r="L443" s="87"/>
    </row>
    <row r="444" ht="15.75" customHeight="1">
      <c r="C444" s="28"/>
      <c r="D444" s="87"/>
      <c r="E444" s="87"/>
      <c r="F444" s="87"/>
      <c r="H444" s="87"/>
      <c r="I444" s="87"/>
      <c r="J444" s="87"/>
      <c r="K444" s="87"/>
      <c r="L444" s="87"/>
    </row>
    <row r="445" ht="15.75" customHeight="1">
      <c r="C445" s="28"/>
      <c r="D445" s="87"/>
      <c r="E445" s="87"/>
      <c r="F445" s="87"/>
      <c r="H445" s="87"/>
      <c r="I445" s="87"/>
      <c r="J445" s="87"/>
      <c r="K445" s="87"/>
      <c r="L445" s="87"/>
    </row>
    <row r="446" ht="15.75" customHeight="1">
      <c r="C446" s="28"/>
      <c r="D446" s="87"/>
      <c r="E446" s="87"/>
      <c r="F446" s="87"/>
      <c r="H446" s="87"/>
      <c r="I446" s="87"/>
      <c r="J446" s="87"/>
      <c r="K446" s="87"/>
      <c r="L446" s="87"/>
    </row>
    <row r="447" ht="15.75" customHeight="1">
      <c r="C447" s="28"/>
      <c r="D447" s="87"/>
      <c r="E447" s="87"/>
      <c r="F447" s="87"/>
      <c r="H447" s="87"/>
      <c r="I447" s="87"/>
      <c r="J447" s="87"/>
      <c r="K447" s="87"/>
      <c r="L447" s="87"/>
    </row>
    <row r="448" ht="15.75" customHeight="1">
      <c r="C448" s="28"/>
      <c r="D448" s="87"/>
      <c r="E448" s="87"/>
      <c r="F448" s="87"/>
      <c r="H448" s="87"/>
      <c r="I448" s="87"/>
      <c r="J448" s="87"/>
      <c r="K448" s="87"/>
      <c r="L448" s="87"/>
    </row>
    <row r="449" ht="15.75" customHeight="1">
      <c r="C449" s="28"/>
      <c r="D449" s="87"/>
      <c r="E449" s="87"/>
      <c r="F449" s="87"/>
      <c r="H449" s="87"/>
      <c r="I449" s="87"/>
      <c r="J449" s="87"/>
      <c r="K449" s="87"/>
      <c r="L449" s="87"/>
    </row>
    <row r="450" ht="15.75" customHeight="1">
      <c r="C450" s="28"/>
      <c r="D450" s="87"/>
      <c r="E450" s="87"/>
      <c r="F450" s="87"/>
      <c r="H450" s="87"/>
      <c r="I450" s="87"/>
      <c r="J450" s="87"/>
      <c r="K450" s="87"/>
      <c r="L450" s="87"/>
    </row>
    <row r="451" ht="15.75" customHeight="1">
      <c r="C451" s="28"/>
      <c r="D451" s="87"/>
      <c r="E451" s="87"/>
      <c r="F451" s="87"/>
      <c r="H451" s="87"/>
      <c r="I451" s="87"/>
      <c r="J451" s="87"/>
      <c r="K451" s="87"/>
      <c r="L451" s="87"/>
    </row>
    <row r="452" ht="15.75" customHeight="1">
      <c r="C452" s="28"/>
      <c r="D452" s="87"/>
      <c r="E452" s="87"/>
      <c r="F452" s="87"/>
      <c r="H452" s="87"/>
      <c r="I452" s="87"/>
      <c r="J452" s="87"/>
      <c r="K452" s="87"/>
      <c r="L452" s="87"/>
    </row>
    <row r="453" ht="15.75" customHeight="1">
      <c r="C453" s="28"/>
      <c r="D453" s="87"/>
      <c r="E453" s="87"/>
      <c r="F453" s="87"/>
      <c r="H453" s="87"/>
      <c r="I453" s="87"/>
      <c r="J453" s="87"/>
      <c r="K453" s="87"/>
      <c r="L453" s="87"/>
    </row>
    <row r="454" ht="15.75" customHeight="1">
      <c r="C454" s="28"/>
      <c r="D454" s="87"/>
      <c r="E454" s="87"/>
      <c r="F454" s="87"/>
      <c r="H454" s="87"/>
      <c r="I454" s="87"/>
      <c r="J454" s="87"/>
      <c r="K454" s="87"/>
      <c r="L454" s="87"/>
    </row>
    <row r="455" ht="15.75" customHeight="1">
      <c r="C455" s="28"/>
      <c r="D455" s="87"/>
      <c r="E455" s="87"/>
      <c r="F455" s="87"/>
      <c r="H455" s="87"/>
      <c r="I455" s="87"/>
      <c r="J455" s="87"/>
      <c r="K455" s="87"/>
      <c r="L455" s="87"/>
    </row>
    <row r="456" ht="15.75" customHeight="1">
      <c r="C456" s="28"/>
      <c r="D456" s="87"/>
      <c r="E456" s="87"/>
      <c r="F456" s="87"/>
      <c r="H456" s="87"/>
      <c r="I456" s="87"/>
      <c r="J456" s="87"/>
      <c r="K456" s="87"/>
      <c r="L456" s="87"/>
    </row>
    <row r="457" ht="15.75" customHeight="1">
      <c r="C457" s="28"/>
      <c r="D457" s="87"/>
      <c r="E457" s="87"/>
      <c r="F457" s="87"/>
      <c r="H457" s="87"/>
      <c r="I457" s="87"/>
      <c r="J457" s="87"/>
      <c r="K457" s="87"/>
      <c r="L457" s="87"/>
    </row>
    <row r="458" ht="15.75" customHeight="1">
      <c r="C458" s="28"/>
      <c r="D458" s="87"/>
      <c r="E458" s="87"/>
      <c r="F458" s="87"/>
      <c r="H458" s="87"/>
      <c r="I458" s="87"/>
      <c r="J458" s="87"/>
      <c r="K458" s="87"/>
      <c r="L458" s="87"/>
    </row>
    <row r="459" ht="15.75" customHeight="1">
      <c r="C459" s="28"/>
      <c r="D459" s="87"/>
      <c r="E459" s="87"/>
      <c r="F459" s="87"/>
      <c r="H459" s="87"/>
      <c r="I459" s="87"/>
      <c r="J459" s="87"/>
      <c r="K459" s="87"/>
      <c r="L459" s="87"/>
    </row>
    <row r="460" ht="15.75" customHeight="1">
      <c r="C460" s="28"/>
      <c r="D460" s="87"/>
      <c r="E460" s="87"/>
      <c r="F460" s="87"/>
      <c r="H460" s="87"/>
      <c r="I460" s="87"/>
      <c r="J460" s="87"/>
      <c r="K460" s="87"/>
      <c r="L460" s="87"/>
    </row>
    <row r="461" ht="15.75" customHeight="1">
      <c r="C461" s="28"/>
      <c r="D461" s="87"/>
      <c r="E461" s="87"/>
      <c r="F461" s="87"/>
      <c r="H461" s="87"/>
      <c r="I461" s="87"/>
      <c r="J461" s="87"/>
      <c r="K461" s="87"/>
      <c r="L461" s="87"/>
    </row>
    <row r="462" ht="15.75" customHeight="1">
      <c r="C462" s="28"/>
      <c r="D462" s="87"/>
      <c r="E462" s="87"/>
      <c r="F462" s="87"/>
      <c r="H462" s="87"/>
      <c r="I462" s="87"/>
      <c r="J462" s="87"/>
      <c r="K462" s="87"/>
      <c r="L462" s="87"/>
    </row>
    <row r="463" ht="15.75" customHeight="1">
      <c r="C463" s="28"/>
      <c r="D463" s="87"/>
      <c r="E463" s="87"/>
      <c r="F463" s="87"/>
      <c r="H463" s="87"/>
      <c r="I463" s="87"/>
      <c r="J463" s="87"/>
      <c r="K463" s="87"/>
      <c r="L463" s="87"/>
    </row>
    <row r="464" ht="15.75" customHeight="1">
      <c r="C464" s="28"/>
      <c r="D464" s="87"/>
      <c r="E464" s="87"/>
      <c r="F464" s="87"/>
      <c r="H464" s="87"/>
      <c r="I464" s="87"/>
      <c r="J464" s="87"/>
      <c r="K464" s="87"/>
      <c r="L464" s="87"/>
    </row>
    <row r="465" ht="15.75" customHeight="1">
      <c r="C465" s="28"/>
      <c r="D465" s="87"/>
      <c r="E465" s="87"/>
      <c r="F465" s="87"/>
      <c r="H465" s="87"/>
      <c r="I465" s="87"/>
      <c r="J465" s="87"/>
      <c r="K465" s="87"/>
      <c r="L465" s="87"/>
    </row>
    <row r="466" ht="15.75" customHeight="1">
      <c r="C466" s="28"/>
      <c r="D466" s="87"/>
      <c r="E466" s="87"/>
      <c r="F466" s="87"/>
      <c r="H466" s="87"/>
      <c r="I466" s="87"/>
      <c r="J466" s="87"/>
      <c r="K466" s="87"/>
      <c r="L466" s="87"/>
    </row>
    <row r="467" ht="15.75" customHeight="1">
      <c r="C467" s="28"/>
      <c r="D467" s="87"/>
      <c r="E467" s="87"/>
      <c r="F467" s="87"/>
      <c r="H467" s="87"/>
      <c r="I467" s="87"/>
      <c r="J467" s="87"/>
      <c r="K467" s="87"/>
      <c r="L467" s="87"/>
    </row>
    <row r="468" ht="15.75" customHeight="1">
      <c r="C468" s="28"/>
      <c r="D468" s="87"/>
      <c r="E468" s="87"/>
      <c r="F468" s="87"/>
      <c r="H468" s="87"/>
      <c r="I468" s="87"/>
      <c r="J468" s="87"/>
      <c r="K468" s="87"/>
      <c r="L468" s="87"/>
    </row>
    <row r="469" ht="15.75" customHeight="1">
      <c r="C469" s="28"/>
      <c r="D469" s="87"/>
      <c r="E469" s="87"/>
      <c r="F469" s="87"/>
      <c r="H469" s="87"/>
      <c r="I469" s="87"/>
      <c r="J469" s="87"/>
      <c r="K469" s="87"/>
      <c r="L469" s="87"/>
    </row>
    <row r="470" ht="15.75" customHeight="1">
      <c r="C470" s="28"/>
      <c r="D470" s="87"/>
      <c r="E470" s="87"/>
      <c r="F470" s="87"/>
      <c r="H470" s="87"/>
      <c r="I470" s="87"/>
      <c r="J470" s="87"/>
      <c r="K470" s="87"/>
      <c r="L470" s="87"/>
    </row>
    <row r="471" ht="15.75" customHeight="1">
      <c r="C471" s="28"/>
      <c r="D471" s="87"/>
      <c r="E471" s="87"/>
      <c r="F471" s="87"/>
      <c r="H471" s="87"/>
      <c r="I471" s="87"/>
      <c r="J471" s="87"/>
      <c r="K471" s="87"/>
      <c r="L471" s="87"/>
    </row>
    <row r="472" ht="15.75" customHeight="1">
      <c r="C472" s="28"/>
      <c r="D472" s="87"/>
      <c r="E472" s="87"/>
      <c r="F472" s="87"/>
      <c r="H472" s="87"/>
      <c r="I472" s="87"/>
      <c r="J472" s="87"/>
      <c r="K472" s="87"/>
      <c r="L472" s="87"/>
    </row>
    <row r="473" ht="15.75" customHeight="1">
      <c r="C473" s="28"/>
      <c r="D473" s="87"/>
      <c r="E473" s="87"/>
      <c r="F473" s="87"/>
      <c r="H473" s="87"/>
      <c r="I473" s="87"/>
      <c r="J473" s="87"/>
      <c r="K473" s="87"/>
      <c r="L473" s="87"/>
    </row>
    <row r="474" ht="15.75" customHeight="1">
      <c r="C474" s="28"/>
      <c r="D474" s="87"/>
      <c r="E474" s="87"/>
      <c r="F474" s="87"/>
      <c r="H474" s="87"/>
      <c r="I474" s="87"/>
      <c r="J474" s="87"/>
      <c r="K474" s="87"/>
      <c r="L474" s="87"/>
    </row>
    <row r="475" ht="15.75" customHeight="1">
      <c r="C475" s="28"/>
      <c r="D475" s="87"/>
      <c r="E475" s="87"/>
      <c r="F475" s="87"/>
      <c r="H475" s="87"/>
      <c r="I475" s="87"/>
      <c r="J475" s="87"/>
      <c r="K475" s="87"/>
      <c r="L475" s="87"/>
    </row>
    <row r="476" ht="15.75" customHeight="1">
      <c r="C476" s="28"/>
      <c r="D476" s="87"/>
      <c r="E476" s="87"/>
      <c r="F476" s="87"/>
      <c r="H476" s="87"/>
      <c r="I476" s="87"/>
      <c r="J476" s="87"/>
      <c r="K476" s="87"/>
      <c r="L476" s="87"/>
    </row>
    <row r="477" ht="15.75" customHeight="1">
      <c r="C477" s="28"/>
      <c r="D477" s="87"/>
      <c r="E477" s="87"/>
      <c r="F477" s="87"/>
      <c r="H477" s="87"/>
      <c r="I477" s="87"/>
      <c r="J477" s="87"/>
      <c r="K477" s="87"/>
      <c r="L477" s="87"/>
    </row>
    <row r="478" ht="15.75" customHeight="1">
      <c r="C478" s="28"/>
      <c r="D478" s="87"/>
      <c r="E478" s="87"/>
      <c r="F478" s="87"/>
      <c r="H478" s="87"/>
      <c r="I478" s="87"/>
      <c r="J478" s="87"/>
      <c r="K478" s="87"/>
      <c r="L478" s="87"/>
    </row>
    <row r="479" ht="15.75" customHeight="1">
      <c r="C479" s="28"/>
      <c r="D479" s="87"/>
      <c r="E479" s="87"/>
      <c r="F479" s="87"/>
      <c r="H479" s="87"/>
      <c r="I479" s="87"/>
      <c r="J479" s="87"/>
      <c r="K479" s="87"/>
      <c r="L479" s="87"/>
    </row>
    <row r="480" ht="15.75" customHeight="1">
      <c r="C480" s="28"/>
      <c r="D480" s="87"/>
      <c r="E480" s="87"/>
      <c r="F480" s="87"/>
      <c r="H480" s="87"/>
      <c r="I480" s="87"/>
      <c r="J480" s="87"/>
      <c r="K480" s="87"/>
      <c r="L480" s="87"/>
    </row>
    <row r="481" ht="15.75" customHeight="1">
      <c r="C481" s="28"/>
      <c r="D481" s="87"/>
      <c r="E481" s="87"/>
      <c r="F481" s="87"/>
      <c r="H481" s="87"/>
      <c r="I481" s="87"/>
      <c r="J481" s="87"/>
      <c r="K481" s="87"/>
      <c r="L481" s="87"/>
    </row>
    <row r="482" ht="15.75" customHeight="1">
      <c r="C482" s="28"/>
      <c r="D482" s="87"/>
      <c r="E482" s="87"/>
      <c r="F482" s="87"/>
      <c r="H482" s="87"/>
      <c r="I482" s="87"/>
      <c r="J482" s="87"/>
      <c r="K482" s="87"/>
      <c r="L482" s="87"/>
    </row>
    <row r="483" ht="15.75" customHeight="1">
      <c r="C483" s="28"/>
      <c r="D483" s="87"/>
      <c r="E483" s="87"/>
      <c r="F483" s="87"/>
      <c r="H483" s="87"/>
      <c r="I483" s="87"/>
      <c r="J483" s="87"/>
      <c r="K483" s="87"/>
      <c r="L483" s="87"/>
    </row>
    <row r="484" ht="15.75" customHeight="1">
      <c r="C484" s="28"/>
      <c r="D484" s="87"/>
      <c r="E484" s="87"/>
      <c r="F484" s="87"/>
      <c r="H484" s="87"/>
      <c r="I484" s="87"/>
      <c r="J484" s="87"/>
      <c r="K484" s="87"/>
      <c r="L484" s="87"/>
    </row>
    <row r="485" ht="15.75" customHeight="1">
      <c r="C485" s="28"/>
      <c r="D485" s="87"/>
      <c r="E485" s="87"/>
      <c r="F485" s="87"/>
      <c r="H485" s="87"/>
      <c r="I485" s="87"/>
      <c r="J485" s="87"/>
      <c r="K485" s="87"/>
      <c r="L485" s="87"/>
    </row>
    <row r="486" ht="15.75" customHeight="1">
      <c r="C486" s="28"/>
      <c r="D486" s="87"/>
      <c r="E486" s="87"/>
      <c r="F486" s="87"/>
      <c r="H486" s="87"/>
      <c r="I486" s="87"/>
      <c r="J486" s="87"/>
      <c r="K486" s="87"/>
      <c r="L486" s="87"/>
    </row>
    <row r="487" ht="15.75" customHeight="1">
      <c r="C487" s="28"/>
      <c r="D487" s="87"/>
      <c r="E487" s="87"/>
      <c r="F487" s="87"/>
      <c r="H487" s="87"/>
      <c r="I487" s="87"/>
      <c r="J487" s="87"/>
      <c r="K487" s="87"/>
      <c r="L487" s="87"/>
    </row>
    <row r="488" ht="15.75" customHeight="1">
      <c r="C488" s="28"/>
      <c r="D488" s="87"/>
      <c r="E488" s="87"/>
      <c r="F488" s="87"/>
      <c r="H488" s="87"/>
      <c r="I488" s="87"/>
      <c r="J488" s="87"/>
      <c r="K488" s="87"/>
      <c r="L488" s="87"/>
    </row>
    <row r="489" ht="15.75" customHeight="1">
      <c r="C489" s="28"/>
      <c r="D489" s="87"/>
      <c r="E489" s="87"/>
      <c r="F489" s="87"/>
      <c r="H489" s="87"/>
      <c r="I489" s="87"/>
      <c r="J489" s="87"/>
      <c r="K489" s="87"/>
      <c r="L489" s="87"/>
    </row>
    <row r="490" ht="15.75" customHeight="1">
      <c r="C490" s="28"/>
      <c r="D490" s="87"/>
      <c r="E490" s="87"/>
      <c r="F490" s="87"/>
      <c r="H490" s="87"/>
      <c r="I490" s="87"/>
      <c r="J490" s="87"/>
      <c r="K490" s="87"/>
      <c r="L490" s="87"/>
    </row>
    <row r="491" ht="15.75" customHeight="1">
      <c r="C491" s="28"/>
      <c r="D491" s="87"/>
      <c r="E491" s="87"/>
      <c r="F491" s="87"/>
      <c r="H491" s="87"/>
      <c r="I491" s="87"/>
      <c r="J491" s="87"/>
      <c r="K491" s="87"/>
      <c r="L491" s="87"/>
    </row>
    <row r="492" ht="15.75" customHeight="1">
      <c r="C492" s="28"/>
      <c r="D492" s="87"/>
      <c r="E492" s="87"/>
      <c r="F492" s="87"/>
      <c r="H492" s="87"/>
      <c r="I492" s="87"/>
      <c r="J492" s="87"/>
      <c r="K492" s="87"/>
      <c r="L492" s="87"/>
    </row>
    <row r="493" ht="15.75" customHeight="1">
      <c r="C493" s="28"/>
      <c r="D493" s="87"/>
      <c r="E493" s="87"/>
      <c r="F493" s="87"/>
      <c r="H493" s="87"/>
      <c r="I493" s="87"/>
      <c r="J493" s="87"/>
      <c r="K493" s="87"/>
      <c r="L493" s="87"/>
    </row>
    <row r="494" ht="15.75" customHeight="1">
      <c r="C494" s="28"/>
      <c r="D494" s="87"/>
      <c r="E494" s="87"/>
      <c r="F494" s="87"/>
      <c r="H494" s="87"/>
      <c r="I494" s="87"/>
      <c r="J494" s="87"/>
      <c r="K494" s="87"/>
      <c r="L494" s="87"/>
    </row>
    <row r="495" ht="15.75" customHeight="1">
      <c r="C495" s="28"/>
      <c r="D495" s="87"/>
      <c r="E495" s="87"/>
      <c r="F495" s="87"/>
      <c r="H495" s="87"/>
      <c r="I495" s="87"/>
      <c r="J495" s="87"/>
      <c r="K495" s="87"/>
      <c r="L495" s="87"/>
    </row>
    <row r="496" ht="15.75" customHeight="1">
      <c r="C496" s="28"/>
      <c r="D496" s="87"/>
      <c r="E496" s="87"/>
      <c r="F496" s="87"/>
      <c r="H496" s="87"/>
      <c r="I496" s="87"/>
      <c r="J496" s="87"/>
      <c r="K496" s="87"/>
      <c r="L496" s="87"/>
    </row>
    <row r="497" ht="15.75" customHeight="1">
      <c r="C497" s="28"/>
      <c r="D497" s="87"/>
      <c r="E497" s="87"/>
      <c r="F497" s="87"/>
      <c r="H497" s="87"/>
      <c r="I497" s="87"/>
      <c r="J497" s="87"/>
      <c r="K497" s="87"/>
      <c r="L497" s="87"/>
    </row>
    <row r="498" ht="15.75" customHeight="1">
      <c r="C498" s="28"/>
      <c r="D498" s="87"/>
      <c r="E498" s="87"/>
      <c r="F498" s="87"/>
      <c r="H498" s="87"/>
      <c r="I498" s="87"/>
      <c r="J498" s="87"/>
      <c r="K498" s="87"/>
      <c r="L498" s="87"/>
    </row>
    <row r="499" ht="15.75" customHeight="1">
      <c r="C499" s="28"/>
      <c r="D499" s="87"/>
      <c r="E499" s="87"/>
      <c r="F499" s="87"/>
      <c r="H499" s="87"/>
      <c r="I499" s="87"/>
      <c r="J499" s="87"/>
      <c r="K499" s="87"/>
      <c r="L499" s="87"/>
    </row>
    <row r="500" ht="15.75" customHeight="1">
      <c r="C500" s="28"/>
      <c r="D500" s="87"/>
      <c r="E500" s="87"/>
      <c r="F500" s="87"/>
      <c r="H500" s="87"/>
      <c r="I500" s="87"/>
      <c r="J500" s="87"/>
      <c r="K500" s="87"/>
      <c r="L500" s="87"/>
    </row>
    <row r="501" ht="15.75" customHeight="1">
      <c r="C501" s="28"/>
      <c r="D501" s="87"/>
      <c r="E501" s="87"/>
      <c r="F501" s="87"/>
      <c r="H501" s="87"/>
      <c r="I501" s="87"/>
      <c r="J501" s="87"/>
      <c r="K501" s="87"/>
      <c r="L501" s="87"/>
    </row>
    <row r="502" ht="15.75" customHeight="1">
      <c r="C502" s="28"/>
      <c r="D502" s="87"/>
      <c r="E502" s="87"/>
      <c r="F502" s="87"/>
      <c r="H502" s="87"/>
      <c r="I502" s="87"/>
      <c r="J502" s="87"/>
      <c r="K502" s="87"/>
      <c r="L502" s="87"/>
    </row>
    <row r="503" ht="15.75" customHeight="1">
      <c r="C503" s="28"/>
      <c r="D503" s="87"/>
      <c r="E503" s="87"/>
      <c r="F503" s="87"/>
      <c r="H503" s="87"/>
      <c r="I503" s="87"/>
      <c r="J503" s="87"/>
      <c r="K503" s="87"/>
      <c r="L503" s="87"/>
    </row>
    <row r="504" ht="15.75" customHeight="1">
      <c r="C504" s="28"/>
      <c r="D504" s="87"/>
      <c r="E504" s="87"/>
      <c r="F504" s="87"/>
      <c r="H504" s="87"/>
      <c r="I504" s="87"/>
      <c r="J504" s="87"/>
      <c r="K504" s="87"/>
      <c r="L504" s="87"/>
    </row>
    <row r="505" ht="15.75" customHeight="1">
      <c r="C505" s="28"/>
      <c r="D505" s="87"/>
      <c r="E505" s="87"/>
      <c r="F505" s="87"/>
      <c r="H505" s="87"/>
      <c r="I505" s="87"/>
      <c r="J505" s="87"/>
      <c r="K505" s="87"/>
      <c r="L505" s="87"/>
    </row>
    <row r="506" ht="15.75" customHeight="1">
      <c r="C506" s="28"/>
      <c r="D506" s="87"/>
      <c r="E506" s="87"/>
      <c r="F506" s="87"/>
      <c r="H506" s="87"/>
      <c r="I506" s="87"/>
      <c r="J506" s="87"/>
      <c r="K506" s="87"/>
      <c r="L506" s="87"/>
    </row>
    <row r="507" ht="15.75" customHeight="1">
      <c r="C507" s="28"/>
      <c r="D507" s="87"/>
      <c r="E507" s="87"/>
      <c r="F507" s="87"/>
      <c r="H507" s="87"/>
      <c r="I507" s="87"/>
      <c r="J507" s="87"/>
      <c r="K507" s="87"/>
      <c r="L507" s="87"/>
    </row>
    <row r="508" ht="15.75" customHeight="1">
      <c r="C508" s="28"/>
      <c r="D508" s="87"/>
      <c r="E508" s="87"/>
      <c r="F508" s="87"/>
      <c r="H508" s="87"/>
      <c r="I508" s="87"/>
      <c r="J508" s="87"/>
      <c r="K508" s="87"/>
      <c r="L508" s="87"/>
    </row>
    <row r="509" ht="15.75" customHeight="1">
      <c r="C509" s="28"/>
      <c r="D509" s="87"/>
      <c r="E509" s="87"/>
      <c r="F509" s="87"/>
      <c r="H509" s="87"/>
      <c r="I509" s="87"/>
      <c r="J509" s="87"/>
      <c r="K509" s="87"/>
      <c r="L509" s="87"/>
    </row>
    <row r="510" ht="15.75" customHeight="1">
      <c r="C510" s="28"/>
      <c r="D510" s="87"/>
      <c r="E510" s="87"/>
      <c r="F510" s="87"/>
      <c r="H510" s="87"/>
      <c r="I510" s="87"/>
      <c r="J510" s="87"/>
      <c r="K510" s="87"/>
      <c r="L510" s="87"/>
    </row>
    <row r="511" ht="15.75" customHeight="1">
      <c r="C511" s="28"/>
      <c r="D511" s="87"/>
      <c r="E511" s="87"/>
      <c r="F511" s="87"/>
      <c r="H511" s="87"/>
      <c r="I511" s="87"/>
      <c r="J511" s="87"/>
      <c r="K511" s="87"/>
      <c r="L511" s="87"/>
    </row>
    <row r="512" ht="15.75" customHeight="1">
      <c r="C512" s="28"/>
      <c r="D512" s="87"/>
      <c r="E512" s="87"/>
      <c r="F512" s="87"/>
      <c r="H512" s="87"/>
      <c r="I512" s="87"/>
      <c r="J512" s="87"/>
      <c r="K512" s="87"/>
      <c r="L512" s="87"/>
    </row>
    <row r="513" ht="15.75" customHeight="1">
      <c r="C513" s="28"/>
      <c r="D513" s="87"/>
      <c r="E513" s="87"/>
      <c r="F513" s="87"/>
      <c r="H513" s="87"/>
      <c r="I513" s="87"/>
      <c r="J513" s="87"/>
      <c r="K513" s="87"/>
      <c r="L513" s="87"/>
    </row>
    <row r="514" ht="15.75" customHeight="1">
      <c r="C514" s="28"/>
      <c r="D514" s="87"/>
      <c r="E514" s="87"/>
      <c r="F514" s="87"/>
      <c r="H514" s="87"/>
      <c r="I514" s="87"/>
      <c r="J514" s="87"/>
      <c r="K514" s="87"/>
      <c r="L514" s="87"/>
    </row>
    <row r="515" ht="15.75" customHeight="1">
      <c r="C515" s="28"/>
      <c r="D515" s="87"/>
      <c r="E515" s="87"/>
      <c r="F515" s="87"/>
      <c r="H515" s="87"/>
      <c r="I515" s="87"/>
      <c r="J515" s="87"/>
      <c r="K515" s="87"/>
      <c r="L515" s="87"/>
    </row>
    <row r="516" ht="15.75" customHeight="1">
      <c r="C516" s="28"/>
      <c r="D516" s="87"/>
      <c r="E516" s="87"/>
      <c r="F516" s="87"/>
      <c r="H516" s="87"/>
      <c r="I516" s="87"/>
      <c r="J516" s="87"/>
      <c r="K516" s="87"/>
      <c r="L516" s="87"/>
    </row>
    <row r="517" ht="15.75" customHeight="1">
      <c r="C517" s="28"/>
      <c r="D517" s="87"/>
      <c r="E517" s="87"/>
      <c r="F517" s="87"/>
      <c r="H517" s="87"/>
      <c r="I517" s="87"/>
      <c r="J517" s="87"/>
      <c r="K517" s="87"/>
      <c r="L517" s="87"/>
    </row>
    <row r="518" ht="15.75" customHeight="1">
      <c r="C518" s="28"/>
      <c r="D518" s="87"/>
      <c r="E518" s="87"/>
      <c r="F518" s="87"/>
      <c r="H518" s="87"/>
      <c r="I518" s="87"/>
      <c r="J518" s="87"/>
      <c r="K518" s="87"/>
      <c r="L518" s="87"/>
    </row>
    <row r="519" ht="15.75" customHeight="1">
      <c r="C519" s="28"/>
      <c r="D519" s="87"/>
      <c r="E519" s="87"/>
      <c r="F519" s="87"/>
      <c r="H519" s="87"/>
      <c r="I519" s="87"/>
      <c r="J519" s="87"/>
      <c r="K519" s="87"/>
      <c r="L519" s="87"/>
    </row>
    <row r="520" ht="15.75" customHeight="1">
      <c r="C520" s="28"/>
      <c r="D520" s="87"/>
      <c r="E520" s="87"/>
      <c r="F520" s="87"/>
      <c r="H520" s="87"/>
      <c r="I520" s="87"/>
      <c r="J520" s="87"/>
      <c r="K520" s="87"/>
      <c r="L520" s="87"/>
    </row>
    <row r="521" ht="15.75" customHeight="1">
      <c r="C521" s="28"/>
      <c r="D521" s="87"/>
      <c r="E521" s="87"/>
      <c r="F521" s="87"/>
      <c r="H521" s="87"/>
      <c r="I521" s="87"/>
      <c r="J521" s="87"/>
      <c r="K521" s="87"/>
      <c r="L521" s="87"/>
    </row>
    <row r="522" ht="15.75" customHeight="1">
      <c r="C522" s="28"/>
      <c r="D522" s="87"/>
      <c r="E522" s="87"/>
      <c r="F522" s="87"/>
      <c r="H522" s="87"/>
      <c r="I522" s="87"/>
      <c r="J522" s="87"/>
      <c r="K522" s="87"/>
      <c r="L522" s="87"/>
    </row>
    <row r="523" ht="15.75" customHeight="1">
      <c r="C523" s="28"/>
      <c r="D523" s="87"/>
      <c r="E523" s="87"/>
      <c r="F523" s="87"/>
      <c r="H523" s="87"/>
      <c r="I523" s="87"/>
      <c r="J523" s="87"/>
      <c r="K523" s="87"/>
      <c r="L523" s="87"/>
    </row>
    <row r="524" ht="15.75" customHeight="1">
      <c r="C524" s="28"/>
      <c r="D524" s="87"/>
      <c r="E524" s="87"/>
      <c r="F524" s="87"/>
      <c r="H524" s="87"/>
      <c r="I524" s="87"/>
      <c r="J524" s="87"/>
      <c r="K524" s="87"/>
      <c r="L524" s="87"/>
    </row>
    <row r="525" ht="15.75" customHeight="1">
      <c r="C525" s="28"/>
      <c r="D525" s="87"/>
      <c r="E525" s="87"/>
      <c r="F525" s="87"/>
      <c r="H525" s="87"/>
      <c r="I525" s="87"/>
      <c r="J525" s="87"/>
      <c r="K525" s="87"/>
      <c r="L525" s="87"/>
    </row>
    <row r="526" ht="15.75" customHeight="1">
      <c r="C526" s="28"/>
      <c r="D526" s="87"/>
      <c r="E526" s="87"/>
      <c r="F526" s="87"/>
      <c r="H526" s="87"/>
      <c r="I526" s="87"/>
      <c r="J526" s="87"/>
      <c r="K526" s="87"/>
      <c r="L526" s="87"/>
    </row>
    <row r="527" ht="15.75" customHeight="1">
      <c r="C527" s="28"/>
      <c r="D527" s="87"/>
      <c r="E527" s="87"/>
      <c r="F527" s="87"/>
      <c r="H527" s="87"/>
      <c r="I527" s="87"/>
      <c r="J527" s="87"/>
      <c r="K527" s="87"/>
      <c r="L527" s="87"/>
    </row>
    <row r="528" ht="15.75" customHeight="1">
      <c r="C528" s="28"/>
      <c r="D528" s="87"/>
      <c r="E528" s="87"/>
      <c r="F528" s="87"/>
      <c r="H528" s="87"/>
      <c r="I528" s="87"/>
      <c r="J528" s="87"/>
      <c r="K528" s="87"/>
      <c r="L528" s="87"/>
    </row>
    <row r="529" ht="15.75" customHeight="1">
      <c r="C529" s="28"/>
      <c r="D529" s="87"/>
      <c r="E529" s="87"/>
      <c r="F529" s="87"/>
      <c r="H529" s="87"/>
      <c r="I529" s="87"/>
      <c r="J529" s="87"/>
      <c r="K529" s="87"/>
      <c r="L529" s="87"/>
    </row>
    <row r="530" ht="15.75" customHeight="1">
      <c r="C530" s="28"/>
      <c r="D530" s="87"/>
      <c r="E530" s="87"/>
      <c r="F530" s="87"/>
      <c r="H530" s="87"/>
      <c r="I530" s="87"/>
      <c r="J530" s="87"/>
      <c r="K530" s="87"/>
      <c r="L530" s="87"/>
    </row>
    <row r="531" ht="15.75" customHeight="1">
      <c r="C531" s="28"/>
      <c r="D531" s="87"/>
      <c r="E531" s="87"/>
      <c r="F531" s="87"/>
      <c r="H531" s="87"/>
      <c r="I531" s="87"/>
      <c r="J531" s="87"/>
      <c r="K531" s="87"/>
      <c r="L531" s="87"/>
    </row>
    <row r="532" ht="15.75" customHeight="1">
      <c r="C532" s="28"/>
      <c r="D532" s="87"/>
      <c r="E532" s="87"/>
      <c r="F532" s="87"/>
      <c r="H532" s="87"/>
      <c r="I532" s="87"/>
      <c r="J532" s="87"/>
      <c r="K532" s="87"/>
      <c r="L532" s="87"/>
    </row>
    <row r="533" ht="15.75" customHeight="1">
      <c r="C533" s="28"/>
      <c r="D533" s="87"/>
      <c r="E533" s="87"/>
      <c r="F533" s="87"/>
      <c r="H533" s="87"/>
      <c r="I533" s="87"/>
      <c r="J533" s="87"/>
      <c r="K533" s="87"/>
      <c r="L533" s="87"/>
    </row>
    <row r="534" ht="15.75" customHeight="1">
      <c r="C534" s="28"/>
      <c r="D534" s="87"/>
      <c r="E534" s="87"/>
      <c r="F534" s="87"/>
      <c r="H534" s="87"/>
      <c r="I534" s="87"/>
      <c r="J534" s="87"/>
      <c r="K534" s="87"/>
      <c r="L534" s="87"/>
    </row>
    <row r="535" ht="15.75" customHeight="1">
      <c r="C535" s="28"/>
      <c r="D535" s="87"/>
      <c r="E535" s="87"/>
      <c r="F535" s="87"/>
      <c r="H535" s="87"/>
      <c r="I535" s="87"/>
      <c r="J535" s="87"/>
      <c r="K535" s="87"/>
      <c r="L535" s="87"/>
    </row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A07EF3A1-82D5-4679-A5D0-73F8EDBB3883}" filter="1" showAutoFilter="1">
      <autoFilter ref="$A$1:$L$335">
        <sortState ref="A1:L335">
          <sortCondition ref="B1:B335"/>
          <sortCondition ref="A1:A335"/>
          <sortCondition ref="C1:C335"/>
        </sortState>
      </autoFilter>
      <extLst>
        <ext uri="GoogleSheetsCustomDataVersion1">
          <go:sheetsCustomData xmlns:go="http://customooxmlschemas.google.com/" filterViewId="346142876"/>
        </ext>
      </extLst>
    </customSheetView>
  </customSheetView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min="2" max="2" width="16.38"/>
    <col customWidth="1" min="3" max="6" width="12.63"/>
  </cols>
  <sheetData>
    <row r="1" ht="15.75" customHeight="1">
      <c r="A1" s="1" t="s">
        <v>130</v>
      </c>
      <c r="B1" s="1" t="s">
        <v>625</v>
      </c>
    </row>
    <row r="2" ht="15.75" customHeight="1">
      <c r="A2" s="25" t="s">
        <v>47</v>
      </c>
      <c r="B2" s="25" t="s">
        <v>66</v>
      </c>
    </row>
    <row r="3" ht="15.75" customHeight="1">
      <c r="A3" s="25" t="s">
        <v>47</v>
      </c>
      <c r="B3" s="25" t="s">
        <v>63</v>
      </c>
    </row>
    <row r="4" ht="15.75" customHeight="1">
      <c r="A4" s="25" t="s">
        <v>47</v>
      </c>
      <c r="B4" s="25" t="s">
        <v>50</v>
      </c>
    </row>
    <row r="5" ht="15.75" customHeight="1">
      <c r="A5" s="25" t="s">
        <v>47</v>
      </c>
      <c r="B5" s="25" t="s">
        <v>90</v>
      </c>
    </row>
    <row r="6" ht="15.75" customHeight="1">
      <c r="A6" s="25" t="s">
        <v>47</v>
      </c>
      <c r="B6" s="25" t="s">
        <v>57</v>
      </c>
    </row>
    <row r="7" ht="15.75" customHeight="1">
      <c r="A7" s="25" t="s">
        <v>47</v>
      </c>
      <c r="B7" s="25" t="s">
        <v>68</v>
      </c>
    </row>
    <row r="8" ht="15.75" customHeight="1">
      <c r="A8" s="25" t="s">
        <v>47</v>
      </c>
      <c r="B8" s="25" t="s">
        <v>55</v>
      </c>
    </row>
    <row r="9" ht="15.75" customHeight="1">
      <c r="A9" s="25" t="s">
        <v>47</v>
      </c>
      <c r="B9" s="25" t="s">
        <v>60</v>
      </c>
    </row>
    <row r="10" ht="15.75" customHeight="1">
      <c r="A10" s="25" t="s">
        <v>47</v>
      </c>
      <c r="B10" s="25" t="s">
        <v>65</v>
      </c>
    </row>
    <row r="11" ht="15.75" customHeight="1">
      <c r="A11" s="25" t="s">
        <v>47</v>
      </c>
      <c r="B11" s="25" t="s">
        <v>67</v>
      </c>
    </row>
    <row r="12" ht="15.75" customHeight="1">
      <c r="A12" s="25" t="s">
        <v>47</v>
      </c>
      <c r="B12" s="25" t="s">
        <v>69</v>
      </c>
    </row>
    <row r="13" ht="15.75" customHeight="1">
      <c r="A13" s="25" t="s">
        <v>47</v>
      </c>
      <c r="B13" s="25" t="s">
        <v>88</v>
      </c>
    </row>
    <row r="14" ht="15.75" customHeight="1">
      <c r="A14" s="25" t="s">
        <v>47</v>
      </c>
      <c r="B14" s="25" t="s">
        <v>89</v>
      </c>
    </row>
    <row r="15" ht="15.75" customHeight="1">
      <c r="A15" s="25" t="s">
        <v>47</v>
      </c>
      <c r="B15" s="25" t="s">
        <v>91</v>
      </c>
    </row>
    <row r="16" ht="15.75" customHeight="1">
      <c r="A16" s="25" t="s">
        <v>47</v>
      </c>
      <c r="B16" s="25" t="s">
        <v>107</v>
      </c>
    </row>
    <row r="17" ht="15.75" customHeight="1">
      <c r="A17" s="25" t="s">
        <v>47</v>
      </c>
      <c r="B17" s="25" t="s">
        <v>100</v>
      </c>
    </row>
    <row r="18" ht="15.75" customHeight="1">
      <c r="A18" s="25" t="s">
        <v>47</v>
      </c>
      <c r="B18" s="25" t="s">
        <v>98</v>
      </c>
    </row>
    <row r="19" ht="15.75" customHeight="1">
      <c r="A19" s="25" t="s">
        <v>48</v>
      </c>
      <c r="B19" s="25" t="s">
        <v>94</v>
      </c>
    </row>
    <row r="20" ht="15.75" customHeight="1">
      <c r="A20" s="25" t="s">
        <v>48</v>
      </c>
      <c r="B20" s="25" t="s">
        <v>95</v>
      </c>
    </row>
    <row r="21" ht="15.75" customHeight="1">
      <c r="A21" s="25" t="s">
        <v>48</v>
      </c>
      <c r="B21" s="25" t="s">
        <v>96</v>
      </c>
    </row>
    <row r="22" ht="15.75" customHeight="1">
      <c r="A22" s="25" t="s">
        <v>48</v>
      </c>
      <c r="B22" s="25" t="s">
        <v>92</v>
      </c>
    </row>
    <row r="23" ht="15.75" customHeight="1">
      <c r="A23" s="25" t="s">
        <v>48</v>
      </c>
      <c r="B23" s="25" t="s">
        <v>97</v>
      </c>
    </row>
    <row r="24" ht="15.75" customHeight="1">
      <c r="A24" s="25" t="s">
        <v>59</v>
      </c>
      <c r="B24" s="25" t="s">
        <v>99</v>
      </c>
    </row>
    <row r="25" ht="15.75" customHeight="1">
      <c r="A25" s="25" t="s">
        <v>48</v>
      </c>
      <c r="B25" s="25" t="s">
        <v>93</v>
      </c>
    </row>
    <row r="26" ht="15.75" customHeight="1">
      <c r="A26" s="25" t="s">
        <v>47</v>
      </c>
      <c r="B26" s="25" t="s">
        <v>101</v>
      </c>
    </row>
    <row r="27" ht="15.75" customHeight="1">
      <c r="A27" s="25" t="s">
        <v>58</v>
      </c>
      <c r="B27" s="25" t="s">
        <v>103</v>
      </c>
    </row>
    <row r="28" ht="15.75" customHeight="1">
      <c r="A28" s="25" t="s">
        <v>133</v>
      </c>
      <c r="B28" s="25" t="s">
        <v>104</v>
      </c>
    </row>
    <row r="29" ht="15.75" customHeight="1">
      <c r="A29" s="25" t="s">
        <v>58</v>
      </c>
      <c r="B29" s="25" t="s">
        <v>105</v>
      </c>
    </row>
    <row r="30" ht="15.75" customHeight="1">
      <c r="A30" s="25" t="s">
        <v>47</v>
      </c>
      <c r="B30" s="25" t="s">
        <v>108</v>
      </c>
    </row>
    <row r="31" ht="15.75" customHeight="1">
      <c r="A31" s="25" t="s">
        <v>62</v>
      </c>
      <c r="B31" s="25" t="s">
        <v>109</v>
      </c>
    </row>
    <row r="32" ht="15.75" customHeight="1">
      <c r="A32" s="25" t="s">
        <v>62</v>
      </c>
      <c r="B32" s="25" t="s">
        <v>110</v>
      </c>
    </row>
    <row r="33" ht="15.75" customHeight="1">
      <c r="A33" s="25" t="s">
        <v>134</v>
      </c>
      <c r="B33" s="25" t="s">
        <v>111</v>
      </c>
    </row>
    <row r="34" ht="15.75" customHeight="1">
      <c r="A34" s="25" t="s">
        <v>134</v>
      </c>
      <c r="B34" s="25" t="s">
        <v>112</v>
      </c>
    </row>
    <row r="35" ht="15.75" customHeight="1">
      <c r="A35" s="25" t="s">
        <v>134</v>
      </c>
      <c r="B35" s="25" t="s">
        <v>113</v>
      </c>
    </row>
    <row r="36" ht="15.75" customHeight="1">
      <c r="A36" s="25" t="s">
        <v>47</v>
      </c>
      <c r="B36" s="25" t="s">
        <v>114</v>
      </c>
    </row>
    <row r="37" ht="15.75" customHeight="1">
      <c r="A37" s="25" t="s">
        <v>58</v>
      </c>
      <c r="B37" s="25" t="s">
        <v>115</v>
      </c>
    </row>
    <row r="38" ht="15.75" customHeight="1">
      <c r="A38" s="25" t="s">
        <v>58</v>
      </c>
      <c r="B38" s="25" t="s">
        <v>116</v>
      </c>
    </row>
    <row r="39" ht="15.75" customHeight="1">
      <c r="A39" s="25" t="s">
        <v>54</v>
      </c>
      <c r="B39" s="25" t="s">
        <v>117</v>
      </c>
    </row>
    <row r="40" ht="15.75" customHeight="1">
      <c r="A40" s="25" t="s">
        <v>54</v>
      </c>
      <c r="B40" s="25" t="s">
        <v>118</v>
      </c>
    </row>
    <row r="41" ht="15.75" customHeight="1">
      <c r="A41" s="25" t="s">
        <v>56</v>
      </c>
      <c r="B41" s="25" t="s">
        <v>119</v>
      </c>
    </row>
    <row r="42" ht="15.75" customHeight="1">
      <c r="A42" s="25" t="s">
        <v>56</v>
      </c>
      <c r="B42" s="25" t="s">
        <v>120</v>
      </c>
    </row>
    <row r="43" ht="15.75" customHeight="1">
      <c r="A43" s="25" t="s">
        <v>56</v>
      </c>
      <c r="B43" s="25" t="s">
        <v>121</v>
      </c>
    </row>
    <row r="44" ht="15.75" customHeight="1">
      <c r="A44" s="25" t="s">
        <v>56</v>
      </c>
      <c r="B44" s="25" t="s">
        <v>122</v>
      </c>
    </row>
    <row r="45" ht="15.75" customHeight="1">
      <c r="A45" s="25" t="s">
        <v>48</v>
      </c>
      <c r="B45" s="25" t="s">
        <v>124</v>
      </c>
    </row>
    <row r="46" ht="15.75" customHeight="1">
      <c r="A46" s="25" t="s">
        <v>54</v>
      </c>
      <c r="B46" s="25" t="s">
        <v>125</v>
      </c>
    </row>
    <row r="47" ht="15.75" customHeight="1">
      <c r="A47" s="25" t="s">
        <v>54</v>
      </c>
      <c r="B47" s="25" t="s">
        <v>126</v>
      </c>
    </row>
    <row r="48" ht="15.75" customHeight="1">
      <c r="A48" s="25" t="s">
        <v>54</v>
      </c>
      <c r="B48" s="25" t="s">
        <v>127</v>
      </c>
    </row>
    <row r="49" ht="15.75" customHeight="1">
      <c r="A49" s="25" t="s">
        <v>54</v>
      </c>
      <c r="B49" s="25" t="s">
        <v>128</v>
      </c>
    </row>
    <row r="50" ht="15.75" customHeight="1">
      <c r="A50" s="25" t="s">
        <v>56</v>
      </c>
      <c r="B50" s="25" t="s">
        <v>129</v>
      </c>
    </row>
    <row r="51" ht="15.75" customHeight="1">
      <c r="A51" s="25" t="s">
        <v>58</v>
      </c>
      <c r="B51" s="25" t="s">
        <v>71</v>
      </c>
    </row>
    <row r="52" ht="15.75" customHeight="1">
      <c r="A52" s="25" t="s">
        <v>54</v>
      </c>
      <c r="B52" s="25" t="s">
        <v>73</v>
      </c>
    </row>
    <row r="53" ht="15.75" customHeight="1">
      <c r="A53" s="25" t="s">
        <v>58</v>
      </c>
      <c r="B53" s="25" t="s">
        <v>74</v>
      </c>
    </row>
    <row r="54" ht="15.75" customHeight="1">
      <c r="A54" s="25" t="s">
        <v>58</v>
      </c>
      <c r="B54" s="25" t="s">
        <v>75</v>
      </c>
    </row>
    <row r="55" ht="15.75" customHeight="1">
      <c r="A55" s="25" t="s">
        <v>58</v>
      </c>
      <c r="B55" s="25" t="s">
        <v>77</v>
      </c>
    </row>
    <row r="56" ht="15.75" customHeight="1">
      <c r="A56" s="25" t="s">
        <v>59</v>
      </c>
      <c r="B56" s="25" t="s">
        <v>79</v>
      </c>
    </row>
    <row r="57" ht="15.75" customHeight="1">
      <c r="A57" s="25" t="s">
        <v>59</v>
      </c>
      <c r="B57" s="25" t="s">
        <v>80</v>
      </c>
    </row>
    <row r="58" ht="15.75" customHeight="1">
      <c r="A58" s="25" t="s">
        <v>56</v>
      </c>
      <c r="B58" s="25" t="s">
        <v>81</v>
      </c>
    </row>
    <row r="59" ht="15.75" customHeight="1">
      <c r="A59" s="25" t="s">
        <v>56</v>
      </c>
      <c r="B59" s="25" t="s">
        <v>82</v>
      </c>
    </row>
    <row r="60" ht="15.75" customHeight="1">
      <c r="A60" s="25" t="s">
        <v>61</v>
      </c>
      <c r="B60" s="25" t="s">
        <v>84</v>
      </c>
    </row>
    <row r="61" ht="15.75" customHeight="1">
      <c r="A61" s="25" t="s">
        <v>61</v>
      </c>
      <c r="B61" s="25" t="s">
        <v>85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9.75"/>
    <col customWidth="1" min="3" max="6" width="12.63"/>
    <col customWidth="1" min="42" max="42" width="23.5"/>
    <col customWidth="1" min="45" max="45" width="22.5"/>
    <col customWidth="1" min="46" max="46" width="25.75"/>
  </cols>
  <sheetData>
    <row r="1" ht="15.75" customHeight="1">
      <c r="A1" s="25"/>
      <c r="B1" s="25"/>
      <c r="D1" s="25" t="s">
        <v>626</v>
      </c>
      <c r="E1" s="25"/>
      <c r="F1" s="25"/>
      <c r="G1" s="25" t="s">
        <v>627</v>
      </c>
      <c r="H1" s="25"/>
      <c r="I1" s="25"/>
      <c r="J1" s="25" t="s">
        <v>628</v>
      </c>
      <c r="W1" s="25" t="s">
        <v>629</v>
      </c>
    </row>
    <row r="2" ht="15.75" customHeight="1">
      <c r="A2" s="25" t="s">
        <v>143</v>
      </c>
      <c r="B2" s="25" t="s">
        <v>144</v>
      </c>
      <c r="C2" s="25" t="s">
        <v>2</v>
      </c>
      <c r="D2" s="25" t="s">
        <v>630</v>
      </c>
      <c r="E2" s="25" t="s">
        <v>631</v>
      </c>
      <c r="F2" s="25" t="s">
        <v>632</v>
      </c>
      <c r="G2" s="25" t="s">
        <v>145</v>
      </c>
      <c r="H2" s="25" t="s">
        <v>146</v>
      </c>
      <c r="I2" s="25" t="s">
        <v>633</v>
      </c>
      <c r="J2" s="25" t="s">
        <v>131</v>
      </c>
      <c r="K2" s="25" t="s">
        <v>130</v>
      </c>
      <c r="L2" s="25" t="s">
        <v>634</v>
      </c>
      <c r="M2" s="25" t="s">
        <v>635</v>
      </c>
      <c r="N2" s="25" t="s">
        <v>636</v>
      </c>
      <c r="O2" s="25" t="s">
        <v>637</v>
      </c>
      <c r="P2" s="25" t="s">
        <v>638</v>
      </c>
      <c r="R2" s="25" t="s">
        <v>639</v>
      </c>
      <c r="S2" s="25" t="s">
        <v>640</v>
      </c>
      <c r="T2" s="25" t="s">
        <v>641</v>
      </c>
      <c r="U2" s="25" t="s">
        <v>642</v>
      </c>
      <c r="Y2" s="88" t="s">
        <v>47</v>
      </c>
      <c r="Z2" s="88" t="s">
        <v>47</v>
      </c>
      <c r="AA2" s="89">
        <v>5542.0</v>
      </c>
      <c r="AB2" s="90">
        <v>118.0</v>
      </c>
    </row>
    <row r="3" ht="15.75" customHeight="1">
      <c r="A3" s="25" t="s">
        <v>47</v>
      </c>
      <c r="B3" s="25" t="s">
        <v>62</v>
      </c>
      <c r="Y3" s="91"/>
      <c r="AA3" s="92"/>
      <c r="AB3" s="93"/>
      <c r="AC3" s="91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</row>
    <row r="4" ht="15.75" customHeight="1">
      <c r="Y4" s="91"/>
      <c r="AA4" s="92"/>
      <c r="AB4" s="93"/>
      <c r="AC4" s="91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</row>
    <row r="5" ht="15.75" customHeight="1">
      <c r="Y5" s="91"/>
      <c r="AA5" s="92"/>
      <c r="AB5" s="93"/>
      <c r="AC5" s="91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</row>
    <row r="6" ht="15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2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3" t="s">
        <v>14</v>
      </c>
      <c r="P6" s="1" t="s">
        <v>15</v>
      </c>
      <c r="Q6" s="1" t="s">
        <v>16</v>
      </c>
      <c r="R6" s="1" t="s">
        <v>17</v>
      </c>
      <c r="S6" s="4" t="s">
        <v>18</v>
      </c>
      <c r="T6" s="4" t="s">
        <v>19</v>
      </c>
      <c r="U6" s="4" t="s">
        <v>20</v>
      </c>
      <c r="V6" s="5" t="s">
        <v>21</v>
      </c>
      <c r="W6" s="5" t="s">
        <v>22</v>
      </c>
      <c r="X6" s="6" t="s">
        <v>23</v>
      </c>
      <c r="Y6" s="6" t="s">
        <v>24</v>
      </c>
      <c r="Z6" s="6" t="s">
        <v>25</v>
      </c>
      <c r="AA6" s="5" t="s">
        <v>26</v>
      </c>
      <c r="AB6" s="5" t="s">
        <v>27</v>
      </c>
      <c r="AC6" s="6" t="s">
        <v>28</v>
      </c>
      <c r="AD6" s="6" t="s">
        <v>29</v>
      </c>
      <c r="AE6" s="6" t="s">
        <v>30</v>
      </c>
      <c r="AF6" s="6" t="s">
        <v>31</v>
      </c>
      <c r="AG6" s="6" t="s">
        <v>32</v>
      </c>
      <c r="AH6" s="6" t="s">
        <v>33</v>
      </c>
      <c r="AI6" s="6" t="s">
        <v>34</v>
      </c>
      <c r="AJ6" s="6" t="s">
        <v>643</v>
      </c>
      <c r="AK6" s="6" t="s">
        <v>36</v>
      </c>
      <c r="AL6" s="6" t="s">
        <v>37</v>
      </c>
      <c r="AM6" s="6" t="s">
        <v>38</v>
      </c>
      <c r="AN6" s="6" t="s">
        <v>39</v>
      </c>
      <c r="AO6" s="6" t="s">
        <v>644</v>
      </c>
      <c r="AP6" s="6" t="s">
        <v>41</v>
      </c>
      <c r="AQ6" s="6" t="s">
        <v>42</v>
      </c>
      <c r="AR6" s="6" t="s">
        <v>43</v>
      </c>
      <c r="AS6" s="6" t="s">
        <v>44</v>
      </c>
      <c r="AT6" s="6" t="s">
        <v>645</v>
      </c>
      <c r="AU6" s="6"/>
    </row>
    <row r="7" ht="15.75" customHeight="1">
      <c r="A7" s="25" t="s">
        <v>48</v>
      </c>
      <c r="B7" s="25" t="s">
        <v>61</v>
      </c>
      <c r="C7" s="30">
        <v>45240.0</v>
      </c>
      <c r="D7" s="25" t="s">
        <v>49</v>
      </c>
      <c r="E7" s="25" t="s">
        <v>57</v>
      </c>
      <c r="F7" s="12" t="s">
        <v>47</v>
      </c>
      <c r="G7" s="30"/>
      <c r="H7" s="30"/>
      <c r="I7" s="24"/>
      <c r="J7" s="24"/>
      <c r="K7" s="25" t="s">
        <v>53</v>
      </c>
      <c r="O7" s="27"/>
      <c r="P7" s="25">
        <v>-769.0</v>
      </c>
      <c r="Q7" s="25">
        <v>483.0</v>
      </c>
      <c r="R7" s="25">
        <f>AVERAGE(P7:Q7)</f>
        <v>-143</v>
      </c>
      <c r="S7" s="28">
        <v>33.8</v>
      </c>
      <c r="T7" s="28">
        <v>28.4</v>
      </c>
      <c r="U7" s="28">
        <v>17.8</v>
      </c>
      <c r="V7" s="17">
        <v>27.727333333333334</v>
      </c>
      <c r="W7" s="17">
        <v>92.17733333333332</v>
      </c>
      <c r="X7" s="17">
        <v>5.772307692307693</v>
      </c>
      <c r="Y7" s="17">
        <v>39.89076923076924</v>
      </c>
      <c r="Z7" s="17">
        <v>41.56384615384616</v>
      </c>
      <c r="AA7" s="17">
        <v>21.11625</v>
      </c>
      <c r="AB7" s="17">
        <v>78.83125</v>
      </c>
      <c r="AC7" s="17">
        <v>5.192727272727272</v>
      </c>
      <c r="AD7" s="17">
        <v>33.17</v>
      </c>
      <c r="AE7" s="17">
        <v>38.899090909090894</v>
      </c>
      <c r="AF7" s="25">
        <v>-108.0</v>
      </c>
      <c r="AG7" s="25">
        <v>291.0</v>
      </c>
      <c r="AH7" s="25">
        <v>91.0</v>
      </c>
      <c r="AI7" s="25">
        <v>291.0</v>
      </c>
      <c r="AJ7" s="25">
        <v>75.0</v>
      </c>
      <c r="AK7" s="25">
        <v>-1680.0</v>
      </c>
      <c r="AL7" s="25">
        <v>205.0</v>
      </c>
      <c r="AM7" s="25">
        <v>6.0</v>
      </c>
      <c r="AN7" s="25">
        <v>206.0</v>
      </c>
      <c r="AO7" s="25">
        <v>68.0</v>
      </c>
      <c r="AP7" s="25">
        <v>237.0</v>
      </c>
      <c r="AQ7" s="25">
        <v>-265.0</v>
      </c>
      <c r="AR7" s="25">
        <v>237.0</v>
      </c>
      <c r="AS7" s="25">
        <v>38.0</v>
      </c>
      <c r="AT7" s="25">
        <v>-71.0</v>
      </c>
      <c r="AU7" s="25"/>
    </row>
    <row r="8" ht="15.75" customHeight="1">
      <c r="Y8" s="91"/>
      <c r="AA8" s="92"/>
      <c r="AB8" s="93"/>
      <c r="AC8" s="91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</row>
    <row r="9" ht="15.75" customHeight="1">
      <c r="Y9" s="95"/>
    </row>
    <row r="10" ht="15.75" customHeight="1"/>
    <row r="11" ht="15.75" customHeight="1">
      <c r="A11" s="96" t="s">
        <v>646</v>
      </c>
    </row>
    <row r="12" ht="15.75" customHeight="1"/>
    <row r="13" ht="15.75" customHeight="1">
      <c r="A13" s="97" t="s">
        <v>647</v>
      </c>
      <c r="B13" s="97" t="s">
        <v>648</v>
      </c>
    </row>
    <row r="14" ht="15.75" customHeight="1">
      <c r="A14" s="98" t="s">
        <v>649</v>
      </c>
      <c r="B14" s="98">
        <v>0.8148</v>
      </c>
    </row>
    <row r="15" ht="15.75" customHeight="1">
      <c r="A15" s="98" t="s">
        <v>650</v>
      </c>
      <c r="B15" s="98">
        <v>0.8148</v>
      </c>
    </row>
    <row r="16" ht="15.75" customHeight="1">
      <c r="A16" s="98" t="s">
        <v>651</v>
      </c>
      <c r="B16" s="98">
        <v>0.8148</v>
      </c>
    </row>
    <row r="17" ht="15.75" customHeight="1">
      <c r="A17" s="98" t="s">
        <v>652</v>
      </c>
      <c r="B17" s="98">
        <v>0.8148</v>
      </c>
    </row>
    <row r="18" ht="15.75" customHeight="1">
      <c r="A18" s="98" t="s">
        <v>653</v>
      </c>
      <c r="B18" s="98">
        <v>0.8148</v>
      </c>
    </row>
    <row r="19" ht="15.75" customHeight="1">
      <c r="H19" s="99"/>
      <c r="I19" s="99"/>
    </row>
    <row r="20" ht="15.75" customHeight="1"/>
    <row r="21" ht="15.75" customHeight="1">
      <c r="C21" s="100" t="s">
        <v>654</v>
      </c>
      <c r="D21" s="100" t="s">
        <v>149</v>
      </c>
      <c r="E21" s="100" t="s">
        <v>655</v>
      </c>
      <c r="F21" s="100" t="s">
        <v>656</v>
      </c>
      <c r="G21" s="100" t="s">
        <v>657</v>
      </c>
      <c r="H21" s="100" t="s">
        <v>658</v>
      </c>
      <c r="I21" s="100" t="s">
        <v>659</v>
      </c>
      <c r="K21" s="101" t="s">
        <v>660</v>
      </c>
      <c r="L21" s="101" t="s">
        <v>661</v>
      </c>
    </row>
    <row r="22" ht="15.75" customHeight="1">
      <c r="C22" s="102">
        <v>45249.0</v>
      </c>
      <c r="D22" s="103" t="s">
        <v>47</v>
      </c>
      <c r="E22" s="103" t="s">
        <v>48</v>
      </c>
      <c r="F22" s="104" t="s">
        <v>48</v>
      </c>
      <c r="G22" s="103" t="s">
        <v>48</v>
      </c>
      <c r="H22" s="105">
        <v>100.0</v>
      </c>
      <c r="I22" s="106">
        <f>round(AVERAGE(1, 4, 8), 2) + 100</f>
        <v>104.33</v>
      </c>
      <c r="K22" s="106">
        <f>5/6</f>
        <v>0.8333333333</v>
      </c>
      <c r="L22" s="106">
        <f>1/6</f>
        <v>0.1666666667</v>
      </c>
    </row>
    <row r="23" ht="15.75" customHeight="1">
      <c r="C23" s="107">
        <v>45246.0</v>
      </c>
      <c r="D23" s="103" t="s">
        <v>48</v>
      </c>
      <c r="E23" s="103" t="s">
        <v>54</v>
      </c>
      <c r="F23" s="103" t="s">
        <v>48</v>
      </c>
      <c r="G23" s="103" t="s">
        <v>48</v>
      </c>
      <c r="H23" s="105">
        <v>100.0</v>
      </c>
      <c r="I23" s="106">
        <f>round(AVERAGE(26, 1, 9), 2) + 100</f>
        <v>112</v>
      </c>
    </row>
    <row r="24" ht="15.75" customHeight="1">
      <c r="C24" s="107">
        <v>6619610.0</v>
      </c>
      <c r="D24" s="103" t="s">
        <v>47</v>
      </c>
      <c r="E24" s="103" t="s">
        <v>56</v>
      </c>
      <c r="F24" s="104" t="s">
        <v>56</v>
      </c>
      <c r="G24" s="103" t="s">
        <v>47</v>
      </c>
      <c r="H24" s="105">
        <v>100.0</v>
      </c>
      <c r="I24" s="106">
        <f>round(AVERAGE(208, 200, 202), 2)</f>
        <v>203.33</v>
      </c>
    </row>
    <row r="25" ht="15.75" customHeight="1">
      <c r="C25" s="107">
        <v>45241.0</v>
      </c>
      <c r="D25" s="103" t="s">
        <v>58</v>
      </c>
      <c r="E25" s="103" t="s">
        <v>59</v>
      </c>
      <c r="F25" s="103" t="s">
        <v>58</v>
      </c>
      <c r="G25" s="103" t="s">
        <v>58</v>
      </c>
      <c r="H25" s="105">
        <v>100.0</v>
      </c>
      <c r="I25" s="106">
        <f>round(AVERAGE(35, 7, 7), 2) + 100</f>
        <v>116.33</v>
      </c>
    </row>
    <row r="26" ht="15.75" customHeight="1">
      <c r="C26" s="107">
        <v>45240.0</v>
      </c>
      <c r="D26" s="103" t="s">
        <v>48</v>
      </c>
      <c r="E26" s="103" t="s">
        <v>61</v>
      </c>
      <c r="F26" s="104" t="s">
        <v>48</v>
      </c>
      <c r="G26" s="103" t="s">
        <v>48</v>
      </c>
      <c r="H26" s="105">
        <v>100.0</v>
      </c>
      <c r="I26" s="106">
        <f>round(AVERAGE(91, 6, 237), 2)</f>
        <v>111.33</v>
      </c>
    </row>
    <row r="27" ht="15.75" customHeight="1">
      <c r="C27" s="108">
        <v>45239.0</v>
      </c>
      <c r="D27" s="109" t="s">
        <v>56</v>
      </c>
      <c r="E27" s="109" t="s">
        <v>62</v>
      </c>
      <c r="F27" s="109" t="s">
        <v>56</v>
      </c>
      <c r="G27" s="109" t="s">
        <v>56</v>
      </c>
      <c r="H27" s="105">
        <v>100.0</v>
      </c>
      <c r="I27" s="106">
        <f>round(AVERAGE(127, 107, 116), 2)</f>
        <v>116.67</v>
      </c>
      <c r="K27" s="110">
        <f>(764/600)*100</f>
        <v>127.3333333</v>
      </c>
    </row>
    <row r="28" ht="15.75" customHeight="1">
      <c r="G28" s="111" t="s">
        <v>662</v>
      </c>
      <c r="H28" s="112">
        <f t="shared" ref="H28:I28" si="1">SUM(H22:H27)</f>
        <v>600</v>
      </c>
      <c r="I28" s="113">
        <f t="shared" si="1"/>
        <v>763.99</v>
      </c>
    </row>
    <row r="29" ht="15.75" customHeight="1"/>
    <row r="30" ht="15.75" customHeight="1"/>
    <row r="31" ht="15.75" customHeight="1"/>
    <row r="32" ht="15.75" customHeight="1"/>
    <row r="33" ht="15.75" customHeight="1">
      <c r="C33" s="100" t="s">
        <v>654</v>
      </c>
      <c r="D33" s="100" t="s">
        <v>149</v>
      </c>
      <c r="E33" s="100" t="s">
        <v>655</v>
      </c>
      <c r="F33" s="100" t="s">
        <v>663</v>
      </c>
      <c r="G33" s="100" t="s">
        <v>664</v>
      </c>
      <c r="H33" s="100" t="s">
        <v>665</v>
      </c>
      <c r="I33" s="100" t="s">
        <v>666</v>
      </c>
      <c r="J33" s="100" t="s">
        <v>667</v>
      </c>
      <c r="K33" s="100" t="s">
        <v>668</v>
      </c>
    </row>
    <row r="34" ht="15.75" customHeight="1">
      <c r="C34" s="102">
        <v>45249.0</v>
      </c>
      <c r="D34" s="103" t="s">
        <v>47</v>
      </c>
      <c r="E34" s="103" t="s">
        <v>48</v>
      </c>
      <c r="F34" s="114">
        <f>INT(240)</f>
        <v>240</v>
      </c>
      <c r="G34" s="115">
        <v>241.0</v>
      </c>
      <c r="H34" s="106">
        <f t="shared" ref="H34:H38" si="2">abs(F34-G34)</f>
        <v>1</v>
      </c>
      <c r="I34" s="106">
        <f>round(abs(AVERAGE(-68, -68, -69)),0)</f>
        <v>68</v>
      </c>
      <c r="J34" s="105">
        <v>100.0</v>
      </c>
      <c r="K34" s="105">
        <v>110.0</v>
      </c>
    </row>
    <row r="35" ht="15.75" customHeight="1">
      <c r="C35" s="107">
        <v>45246.0</v>
      </c>
      <c r="D35" s="103" t="s">
        <v>48</v>
      </c>
      <c r="E35" s="103" t="s">
        <v>54</v>
      </c>
      <c r="F35" s="114">
        <f>int(215)</f>
        <v>215</v>
      </c>
      <c r="G35" s="115">
        <v>212.0</v>
      </c>
      <c r="H35" s="106">
        <f t="shared" si="2"/>
        <v>3</v>
      </c>
      <c r="I35" s="106">
        <f>round(AVERAGE(70, 68, 69),0)</f>
        <v>69</v>
      </c>
      <c r="J35" s="105">
        <v>100.0</v>
      </c>
      <c r="K35" s="105">
        <v>110.0</v>
      </c>
    </row>
    <row r="36" ht="15.75" customHeight="1">
      <c r="C36" s="107">
        <v>6619610.0</v>
      </c>
      <c r="D36" s="103" t="s">
        <v>47</v>
      </c>
      <c r="E36" s="103" t="s">
        <v>56</v>
      </c>
      <c r="F36" s="116">
        <f>int(397)</f>
        <v>397</v>
      </c>
      <c r="G36" s="117">
        <v>327.0</v>
      </c>
      <c r="H36" s="106">
        <f t="shared" si="2"/>
        <v>70</v>
      </c>
      <c r="I36" s="106">
        <f>round(abs(AVERAGE(-68, -68, -69)),0)</f>
        <v>68</v>
      </c>
      <c r="J36" s="105">
        <v>100.0</v>
      </c>
      <c r="K36" s="105">
        <v>110.0</v>
      </c>
    </row>
    <row r="37" ht="15.75" customHeight="1">
      <c r="C37" s="107">
        <v>45241.0</v>
      </c>
      <c r="D37" s="103" t="s">
        <v>58</v>
      </c>
      <c r="E37" s="103" t="s">
        <v>59</v>
      </c>
      <c r="F37" s="114">
        <f>int(337)</f>
        <v>337</v>
      </c>
      <c r="G37" s="115">
        <v>244.0</v>
      </c>
      <c r="H37" s="106">
        <f t="shared" si="2"/>
        <v>93</v>
      </c>
      <c r="I37" s="106">
        <f>round(AVERAGE(71, 69, 68),0)</f>
        <v>69</v>
      </c>
      <c r="J37" s="105">
        <v>100.0</v>
      </c>
      <c r="K37" s="105">
        <v>110.0</v>
      </c>
    </row>
    <row r="38" ht="15.75" customHeight="1">
      <c r="C38" s="107">
        <v>45240.0</v>
      </c>
      <c r="D38" s="103" t="s">
        <v>48</v>
      </c>
      <c r="E38" s="103" t="s">
        <v>61</v>
      </c>
      <c r="F38" s="114">
        <f>int(307)</f>
        <v>307</v>
      </c>
      <c r="G38" s="115">
        <v>306.0</v>
      </c>
      <c r="H38" s="106">
        <f t="shared" si="2"/>
        <v>1</v>
      </c>
      <c r="I38" s="106">
        <f>round(AVERAGE(75, 68, -71),0)</f>
        <v>24</v>
      </c>
      <c r="J38" s="105">
        <v>100.0</v>
      </c>
      <c r="K38" s="105">
        <v>110.0</v>
      </c>
    </row>
    <row r="39" ht="15.75" customHeight="1">
      <c r="I39" s="111" t="s">
        <v>662</v>
      </c>
      <c r="J39" s="112">
        <f t="shared" ref="J39:K39" si="3">SUM(J34:J38)</f>
        <v>500</v>
      </c>
      <c r="K39" s="112">
        <f t="shared" si="3"/>
        <v>550</v>
      </c>
    </row>
    <row r="40" ht="15.75" customHeight="1"/>
    <row r="41" ht="15.75" customHeight="1"/>
    <row r="42" ht="15.75" customHeight="1"/>
    <row r="43" ht="15.75" customHeight="1">
      <c r="C43" s="100" t="s">
        <v>654</v>
      </c>
      <c r="D43" s="100" t="s">
        <v>149</v>
      </c>
      <c r="E43" s="100" t="s">
        <v>655</v>
      </c>
      <c r="F43" s="100" t="s">
        <v>663</v>
      </c>
      <c r="G43" s="100" t="s">
        <v>664</v>
      </c>
      <c r="H43" s="100" t="s">
        <v>669</v>
      </c>
      <c r="I43" s="100" t="s">
        <v>670</v>
      </c>
      <c r="J43" s="100" t="s">
        <v>671</v>
      </c>
    </row>
    <row r="44" ht="15.75" customHeight="1">
      <c r="C44" s="102">
        <v>45249.0</v>
      </c>
      <c r="D44" s="103" t="s">
        <v>47</v>
      </c>
      <c r="E44" s="103" t="s">
        <v>48</v>
      </c>
      <c r="F44" s="114">
        <f>INT(240)</f>
        <v>240</v>
      </c>
      <c r="G44" s="115">
        <v>241.0</v>
      </c>
      <c r="H44" s="98">
        <v>318.0</v>
      </c>
      <c r="I44" s="105">
        <v>100.0</v>
      </c>
      <c r="J44" s="105">
        <v>200.0</v>
      </c>
    </row>
    <row r="45" ht="15.75" customHeight="1">
      <c r="C45" s="107">
        <v>45246.0</v>
      </c>
      <c r="D45" s="103" t="s">
        <v>48</v>
      </c>
      <c r="E45" s="103" t="s">
        <v>54</v>
      </c>
      <c r="F45" s="114">
        <f>int(215)</f>
        <v>215</v>
      </c>
      <c r="G45" s="115">
        <v>212.0</v>
      </c>
      <c r="H45" s="98">
        <v>237.0</v>
      </c>
      <c r="I45" s="105">
        <v>100.0</v>
      </c>
      <c r="J45" s="105">
        <v>200.0</v>
      </c>
    </row>
    <row r="46" ht="15.75" customHeight="1">
      <c r="C46" s="107">
        <v>6619610.0</v>
      </c>
      <c r="D46" s="103" t="s">
        <v>47</v>
      </c>
      <c r="E46" s="103" t="s">
        <v>56</v>
      </c>
      <c r="F46" s="116">
        <f>int(397)</f>
        <v>397</v>
      </c>
      <c r="G46" s="117">
        <v>327.0</v>
      </c>
      <c r="H46" s="98">
        <v>260.0</v>
      </c>
      <c r="I46" s="105">
        <v>100.0</v>
      </c>
      <c r="J46" s="105">
        <v>110.0</v>
      </c>
    </row>
    <row r="47" ht="15.75" customHeight="1">
      <c r="H47" s="111" t="s">
        <v>662</v>
      </c>
      <c r="I47" s="112">
        <f t="shared" ref="I47:J47" si="4">SUM(I44:I46)</f>
        <v>300</v>
      </c>
      <c r="J47" s="112">
        <f t="shared" si="4"/>
        <v>510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L6:M7">
    <cfRule type="colorScale" priority="1">
      <colorScale>
        <cfvo type="min"/>
        <cfvo type="max"/>
        <color rgb="FFFFFFFF"/>
        <color rgb="FFFFFFFF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4.38"/>
    <col customWidth="1" min="3" max="6" width="12.63"/>
    <col customWidth="1" min="8" max="8" width="8.63"/>
    <col customWidth="1" min="9" max="9" width="6.0"/>
    <col customWidth="1" min="10" max="10" width="13.5"/>
    <col customWidth="1" min="11" max="11" width="13.13"/>
    <col customWidth="1" min="12" max="12" width="8.63"/>
  </cols>
  <sheetData>
    <row r="1" ht="15.75" customHeight="1">
      <c r="A1" s="36" t="s">
        <v>3</v>
      </c>
      <c r="B1" s="36" t="s">
        <v>4</v>
      </c>
      <c r="C1" s="36" t="s">
        <v>672</v>
      </c>
      <c r="H1" s="36" t="s">
        <v>131</v>
      </c>
      <c r="I1" s="36" t="s">
        <v>3</v>
      </c>
      <c r="J1" s="118" t="s">
        <v>18</v>
      </c>
      <c r="K1" s="118" t="s">
        <v>19</v>
      </c>
      <c r="L1" s="118" t="s">
        <v>20</v>
      </c>
    </row>
    <row r="2" ht="15.75" customHeight="1">
      <c r="A2" s="25" t="s">
        <v>64</v>
      </c>
      <c r="B2" s="25" t="s">
        <v>65</v>
      </c>
      <c r="C2" s="25" t="str">
        <f>IFERROR(__xludf.DUMMYFUNCTION("FILTER(J2:J25,A2=I2:I25,B2=H2:H25)"),"#N/A")</f>
        <v>#N/A</v>
      </c>
      <c r="H2" s="25" t="s">
        <v>66</v>
      </c>
      <c r="I2" s="25" t="s">
        <v>87</v>
      </c>
      <c r="J2" s="28">
        <v>25.2</v>
      </c>
      <c r="K2" s="28">
        <v>21.2</v>
      </c>
      <c r="L2" s="28">
        <v>1.4</v>
      </c>
    </row>
    <row r="3" ht="15.75" customHeight="1">
      <c r="A3" s="25" t="s">
        <v>64</v>
      </c>
      <c r="B3" s="25" t="s">
        <v>66</v>
      </c>
      <c r="C3" s="28">
        <f>IFERROR(__xludf.DUMMYFUNCTION("FILTER(J3:J26,A3=I3:I26,B3=H3:H26)"),28.4)</f>
        <v>28.4</v>
      </c>
      <c r="H3" s="25" t="s">
        <v>66</v>
      </c>
      <c r="I3" s="25" t="s">
        <v>86</v>
      </c>
      <c r="J3" s="28">
        <v>26.6</v>
      </c>
      <c r="K3" s="28">
        <v>22.2</v>
      </c>
      <c r="L3" s="28">
        <v>0.6</v>
      </c>
    </row>
    <row r="4" ht="15.75" customHeight="1">
      <c r="A4" s="25" t="s">
        <v>64</v>
      </c>
      <c r="B4" s="25" t="s">
        <v>63</v>
      </c>
      <c r="C4" s="28">
        <f>IFERROR(__xludf.DUMMYFUNCTION("FILTER(J4:J27,A4=I4:I27,B4=H4:H27)"),19.8)</f>
        <v>19.8</v>
      </c>
      <c r="H4" s="25" t="s">
        <v>66</v>
      </c>
      <c r="I4" s="25" t="s">
        <v>83</v>
      </c>
      <c r="J4" s="28">
        <v>28.7</v>
      </c>
      <c r="K4" s="28">
        <v>24.2</v>
      </c>
      <c r="L4" s="28">
        <v>0.2</v>
      </c>
    </row>
    <row r="5" ht="15.75" customHeight="1">
      <c r="A5" s="25" t="s">
        <v>64</v>
      </c>
      <c r="B5" s="25" t="s">
        <v>57</v>
      </c>
      <c r="C5" s="25" t="str">
        <f>IFERROR(__xludf.DUMMYFUNCTION("FILTER(J5:J28,A5=I5:I28,B5=H5:H28)"),"#N/A")</f>
        <v>#N/A</v>
      </c>
      <c r="H5" s="25" t="s">
        <v>66</v>
      </c>
      <c r="I5" s="25" t="s">
        <v>78</v>
      </c>
      <c r="J5" s="28">
        <v>30.9</v>
      </c>
      <c r="K5" s="28">
        <v>26.6</v>
      </c>
      <c r="L5" s="28">
        <v>1.0</v>
      </c>
    </row>
    <row r="6" ht="15.75" customHeight="1">
      <c r="H6" s="25" t="s">
        <v>66</v>
      </c>
      <c r="I6" s="25" t="s">
        <v>132</v>
      </c>
      <c r="J6" s="28">
        <v>32.9</v>
      </c>
      <c r="K6" s="28">
        <v>28.0</v>
      </c>
      <c r="L6" s="28">
        <v>1.8</v>
      </c>
    </row>
    <row r="7" ht="15.75" customHeight="1">
      <c r="H7" s="25" t="s">
        <v>66</v>
      </c>
      <c r="I7" s="25" t="s">
        <v>106</v>
      </c>
      <c r="J7" s="28">
        <v>32.4</v>
      </c>
      <c r="K7" s="28">
        <v>27.5</v>
      </c>
      <c r="L7" s="28">
        <v>4.5</v>
      </c>
    </row>
    <row r="8" ht="15.75" customHeight="1">
      <c r="H8" s="25" t="s">
        <v>66</v>
      </c>
      <c r="I8" s="25" t="s">
        <v>102</v>
      </c>
      <c r="J8" s="28">
        <v>30.9</v>
      </c>
      <c r="K8" s="28">
        <v>26.4</v>
      </c>
      <c r="L8" s="28">
        <v>6.7</v>
      </c>
    </row>
    <row r="9" ht="15.75" customHeight="1">
      <c r="H9" s="25" t="s">
        <v>66</v>
      </c>
      <c r="I9" s="25" t="s">
        <v>76</v>
      </c>
      <c r="J9" s="28">
        <v>30.3</v>
      </c>
      <c r="K9" s="28">
        <v>25.9</v>
      </c>
      <c r="L9" s="28">
        <v>8.8</v>
      </c>
    </row>
    <row r="10" ht="15.75" customHeight="1">
      <c r="H10" s="25" t="s">
        <v>66</v>
      </c>
      <c r="I10" s="25" t="s">
        <v>70</v>
      </c>
      <c r="J10" s="28">
        <v>29.8</v>
      </c>
      <c r="K10" s="28">
        <v>25.6</v>
      </c>
      <c r="L10" s="28">
        <v>7.4</v>
      </c>
    </row>
    <row r="11" ht="15.75" customHeight="1">
      <c r="A11" s="25" t="s">
        <v>47</v>
      </c>
      <c r="B11" s="25" t="s">
        <v>66</v>
      </c>
      <c r="H11" s="25" t="s">
        <v>66</v>
      </c>
      <c r="I11" s="25" t="s">
        <v>64</v>
      </c>
      <c r="J11" s="28">
        <v>28.4</v>
      </c>
      <c r="K11" s="28">
        <v>24.6</v>
      </c>
      <c r="L11" s="28">
        <v>10.6</v>
      </c>
    </row>
    <row r="12" ht="15.75" customHeight="1">
      <c r="A12" s="25" t="s">
        <v>47</v>
      </c>
      <c r="B12" s="25" t="s">
        <v>63</v>
      </c>
      <c r="H12" s="25" t="s">
        <v>66</v>
      </c>
      <c r="I12" s="25" t="s">
        <v>49</v>
      </c>
      <c r="J12" s="28">
        <v>26.5</v>
      </c>
      <c r="K12" s="28">
        <v>23.1</v>
      </c>
      <c r="L12" s="28">
        <v>11.5</v>
      </c>
    </row>
    <row r="13" ht="15.75" customHeight="1">
      <c r="A13" s="25" t="s">
        <v>47</v>
      </c>
      <c r="B13" s="25" t="s">
        <v>50</v>
      </c>
      <c r="H13" s="25" t="s">
        <v>66</v>
      </c>
      <c r="I13" s="25" t="s">
        <v>123</v>
      </c>
      <c r="J13" s="28">
        <v>25.3</v>
      </c>
      <c r="K13" s="28">
        <v>21.9</v>
      </c>
      <c r="L13" s="28">
        <v>5.7</v>
      </c>
    </row>
    <row r="14" ht="15.75" customHeight="1">
      <c r="A14" s="25" t="s">
        <v>47</v>
      </c>
      <c r="B14" s="25" t="s">
        <v>90</v>
      </c>
      <c r="D14" s="25" t="s">
        <v>69</v>
      </c>
      <c r="E14" s="25" t="str">
        <f>IFERROR(__xludf.DUMMYFUNCTION("FILTER(A11:A66,D14=B11:B66)"),"India")</f>
        <v>India</v>
      </c>
      <c r="H14" s="25" t="s">
        <v>63</v>
      </c>
      <c r="I14" s="25" t="s">
        <v>87</v>
      </c>
      <c r="J14" s="28">
        <v>16.1</v>
      </c>
      <c r="K14" s="28">
        <v>7.8</v>
      </c>
      <c r="L14" s="28">
        <v>41.0</v>
      </c>
    </row>
    <row r="15" ht="15.75" customHeight="1">
      <c r="A15" s="25" t="s">
        <v>47</v>
      </c>
      <c r="B15" s="25" t="s">
        <v>57</v>
      </c>
      <c r="D15" s="25" t="s">
        <v>93</v>
      </c>
      <c r="E15" s="25" t="str">
        <f>IFERROR(__xludf.DUMMYFUNCTION("FILTER(A12:A67,D15=B12:B67)"),"Australia")</f>
        <v>Australia</v>
      </c>
      <c r="H15" s="25" t="s">
        <v>63</v>
      </c>
      <c r="I15" s="25" t="s">
        <v>86</v>
      </c>
      <c r="J15" s="28">
        <v>17.6</v>
      </c>
      <c r="K15" s="28">
        <v>9.4</v>
      </c>
      <c r="L15" s="28">
        <v>32.0</v>
      </c>
    </row>
    <row r="16" ht="15.75" customHeight="1">
      <c r="A16" s="25" t="s">
        <v>47</v>
      </c>
      <c r="B16" s="25" t="s">
        <v>68</v>
      </c>
      <c r="D16" s="25" t="s">
        <v>69</v>
      </c>
      <c r="E16" s="25" t="str">
        <f>IFERROR(__xludf.DUMMYFUNCTION("FILTER(A13:A68,D16=B13:B68)"),"India")</f>
        <v>India</v>
      </c>
      <c r="H16" s="25" t="s">
        <v>63</v>
      </c>
      <c r="I16" s="25" t="s">
        <v>83</v>
      </c>
      <c r="J16" s="28">
        <v>20.2</v>
      </c>
      <c r="K16" s="28">
        <v>11.1</v>
      </c>
      <c r="L16" s="28">
        <v>29.0</v>
      </c>
    </row>
    <row r="17" ht="15.75" customHeight="1">
      <c r="A17" s="25" t="s">
        <v>47</v>
      </c>
      <c r="B17" s="25" t="s">
        <v>55</v>
      </c>
      <c r="D17" s="25" t="s">
        <v>116</v>
      </c>
      <c r="E17" s="25" t="str">
        <f>IFERROR(__xludf.DUMMYFUNCTION("FILTER(A14:A69,D17=B14:B69)"),"England")</f>
        <v>England</v>
      </c>
      <c r="H17" s="25" t="s">
        <v>63</v>
      </c>
      <c r="I17" s="25" t="s">
        <v>78</v>
      </c>
      <c r="J17" s="28">
        <v>22.1</v>
      </c>
      <c r="K17" s="28">
        <v>14.4</v>
      </c>
      <c r="L17" s="28">
        <v>35.0</v>
      </c>
    </row>
    <row r="18" ht="15.75" customHeight="1">
      <c r="A18" s="25" t="s">
        <v>47</v>
      </c>
      <c r="B18" s="25" t="s">
        <v>60</v>
      </c>
      <c r="D18" s="25" t="s">
        <v>96</v>
      </c>
      <c r="E18" s="25" t="str">
        <f>IFERROR(__xludf.DUMMYFUNCTION("FILTER(A15:A70,D18=B15:B70)"),"Australia")</f>
        <v>Australia</v>
      </c>
      <c r="H18" s="25" t="s">
        <v>63</v>
      </c>
      <c r="I18" s="25" t="s">
        <v>132</v>
      </c>
      <c r="J18" s="28">
        <v>21.8</v>
      </c>
      <c r="K18" s="28">
        <v>16.7</v>
      </c>
      <c r="L18" s="28">
        <v>47.0</v>
      </c>
    </row>
    <row r="19" ht="15.75" customHeight="1">
      <c r="A19" s="25" t="s">
        <v>47</v>
      </c>
      <c r="B19" s="25" t="s">
        <v>65</v>
      </c>
      <c r="D19" s="25" t="s">
        <v>103</v>
      </c>
      <c r="E19" s="25" t="str">
        <f>IFERROR(__xludf.DUMMYFUNCTION("FILTER(A16:A71,D19=B16:B71)"),"England")</f>
        <v>England</v>
      </c>
      <c r="H19" s="25" t="s">
        <v>63</v>
      </c>
      <c r="I19" s="25" t="s">
        <v>106</v>
      </c>
      <c r="J19" s="28">
        <v>20.6</v>
      </c>
      <c r="K19" s="28">
        <v>16.7</v>
      </c>
      <c r="L19" s="28">
        <v>62.0</v>
      </c>
    </row>
    <row r="20" ht="15.75" customHeight="1">
      <c r="A20" s="25" t="s">
        <v>47</v>
      </c>
      <c r="B20" s="25" t="s">
        <v>67</v>
      </c>
      <c r="D20" s="25" t="s">
        <v>80</v>
      </c>
      <c r="E20" s="25" t="str">
        <f>IFERROR(__xludf.DUMMYFUNCTION("FILTER(A17:A72,D20=B17:B72)"),"Pakistan")</f>
        <v>Pakistan</v>
      </c>
      <c r="H20" s="25" t="s">
        <v>63</v>
      </c>
      <c r="I20" s="25" t="s">
        <v>102</v>
      </c>
      <c r="J20" s="28">
        <v>20.1</v>
      </c>
      <c r="K20" s="28">
        <v>16.1</v>
      </c>
      <c r="L20" s="28">
        <v>65.0</v>
      </c>
    </row>
    <row r="21" ht="15.75" customHeight="1">
      <c r="A21" s="25" t="s">
        <v>47</v>
      </c>
      <c r="B21" s="25" t="s">
        <v>69</v>
      </c>
      <c r="D21" s="25" t="s">
        <v>117</v>
      </c>
      <c r="E21" s="25" t="str">
        <f>IFERROR(__xludf.DUMMYFUNCTION("FILTER(A18:A73,D21=B18:B73)"),"South Africa")</f>
        <v>South Africa</v>
      </c>
      <c r="H21" s="25" t="s">
        <v>63</v>
      </c>
      <c r="I21" s="25" t="s">
        <v>76</v>
      </c>
      <c r="J21" s="28">
        <v>20.0</v>
      </c>
      <c r="K21" s="28">
        <v>14.4</v>
      </c>
      <c r="L21" s="28">
        <v>67.0</v>
      </c>
    </row>
    <row r="22" ht="15.75" customHeight="1">
      <c r="A22" s="25" t="s">
        <v>47</v>
      </c>
      <c r="B22" s="25" t="s">
        <v>88</v>
      </c>
      <c r="D22" s="25" t="s">
        <v>93</v>
      </c>
      <c r="E22" s="25" t="str">
        <f>IFERROR(__xludf.DUMMYFUNCTION("FILTER(A19:A74,D22=B19:B74)"),"Australia")</f>
        <v>Australia</v>
      </c>
      <c r="H22" s="25" t="s">
        <v>63</v>
      </c>
      <c r="I22" s="25" t="s">
        <v>70</v>
      </c>
      <c r="J22" s="28">
        <v>20.0</v>
      </c>
      <c r="K22" s="28">
        <v>15.0</v>
      </c>
      <c r="L22" s="28">
        <v>64.0</v>
      </c>
    </row>
    <row r="23" ht="15.75" customHeight="1">
      <c r="A23" s="25" t="s">
        <v>47</v>
      </c>
      <c r="B23" s="25" t="s">
        <v>89</v>
      </c>
      <c r="D23" s="25" t="s">
        <v>101</v>
      </c>
      <c r="E23" s="25" t="str">
        <f>IFERROR(__xludf.DUMMYFUNCTION("FILTER(A20:A75,D23=B20:B75)"),"India")</f>
        <v>India</v>
      </c>
      <c r="H23" s="25" t="s">
        <v>63</v>
      </c>
      <c r="I23" s="25" t="s">
        <v>64</v>
      </c>
      <c r="J23" s="28">
        <v>19.8</v>
      </c>
      <c r="K23" s="28">
        <v>13.2</v>
      </c>
      <c r="L23" s="28">
        <v>65.0</v>
      </c>
    </row>
    <row r="24" ht="15.75" customHeight="1">
      <c r="A24" s="25" t="s">
        <v>48</v>
      </c>
      <c r="B24" s="25" t="s">
        <v>94</v>
      </c>
      <c r="H24" s="25" t="s">
        <v>63</v>
      </c>
      <c r="I24" s="25" t="s">
        <v>49</v>
      </c>
      <c r="J24" s="28">
        <v>18.3</v>
      </c>
      <c r="K24" s="28">
        <v>9.6</v>
      </c>
      <c r="L24" s="28">
        <v>61.0</v>
      </c>
    </row>
    <row r="25" ht="15.75" customHeight="1">
      <c r="A25" s="25" t="s">
        <v>48</v>
      </c>
      <c r="B25" s="25" t="s">
        <v>95</v>
      </c>
      <c r="H25" s="25" t="s">
        <v>63</v>
      </c>
      <c r="I25" s="25" t="s">
        <v>123</v>
      </c>
      <c r="J25" s="28">
        <v>16.4</v>
      </c>
      <c r="K25" s="28">
        <v>8.9</v>
      </c>
      <c r="L25" s="28">
        <v>53.0</v>
      </c>
    </row>
    <row r="26" ht="15.75" customHeight="1">
      <c r="A26" s="25" t="s">
        <v>48</v>
      </c>
      <c r="B26" s="25" t="s">
        <v>96</v>
      </c>
    </row>
    <row r="27" ht="15.75" customHeight="1">
      <c r="A27" s="25" t="s">
        <v>48</v>
      </c>
      <c r="B27" s="25" t="s">
        <v>92</v>
      </c>
    </row>
    <row r="28" ht="15.75" customHeight="1">
      <c r="A28" s="25" t="s">
        <v>48</v>
      </c>
      <c r="B28" s="25" t="s">
        <v>97</v>
      </c>
    </row>
    <row r="29" ht="15.75" customHeight="1">
      <c r="A29" s="25" t="s">
        <v>59</v>
      </c>
      <c r="B29" s="25" t="s">
        <v>99</v>
      </c>
    </row>
    <row r="30" ht="15.75" customHeight="1">
      <c r="A30" s="25" t="s">
        <v>48</v>
      </c>
      <c r="B30" s="25" t="s">
        <v>93</v>
      </c>
    </row>
    <row r="31" ht="15.75" customHeight="1">
      <c r="A31" s="25" t="s">
        <v>47</v>
      </c>
      <c r="B31" s="25" t="s">
        <v>101</v>
      </c>
    </row>
    <row r="32" ht="15.75" customHeight="1">
      <c r="A32" s="25" t="s">
        <v>58</v>
      </c>
      <c r="B32" s="25" t="s">
        <v>103</v>
      </c>
    </row>
    <row r="33" ht="15.75" customHeight="1">
      <c r="A33" s="25" t="s">
        <v>133</v>
      </c>
      <c r="B33" s="25" t="s">
        <v>104</v>
      </c>
    </row>
    <row r="34" ht="15.75" customHeight="1">
      <c r="A34" s="25" t="s">
        <v>58</v>
      </c>
      <c r="B34" s="25" t="s">
        <v>105</v>
      </c>
    </row>
    <row r="35" ht="15.75" customHeight="1">
      <c r="A35" s="25" t="s">
        <v>47</v>
      </c>
      <c r="B35" s="25" t="s">
        <v>108</v>
      </c>
    </row>
    <row r="36" ht="15.75" customHeight="1">
      <c r="A36" s="25" t="s">
        <v>62</v>
      </c>
      <c r="B36" s="25" t="s">
        <v>109</v>
      </c>
    </row>
    <row r="37" ht="15.75" customHeight="1">
      <c r="A37" s="25" t="s">
        <v>62</v>
      </c>
      <c r="B37" s="25" t="s">
        <v>110</v>
      </c>
    </row>
    <row r="38" ht="15.75" customHeight="1">
      <c r="A38" s="25" t="s">
        <v>134</v>
      </c>
      <c r="B38" s="25" t="s">
        <v>111</v>
      </c>
    </row>
    <row r="39" ht="15.75" customHeight="1">
      <c r="A39" s="25" t="s">
        <v>134</v>
      </c>
      <c r="B39" s="25" t="s">
        <v>112</v>
      </c>
    </row>
    <row r="40" ht="15.75" customHeight="1">
      <c r="A40" s="25" t="s">
        <v>134</v>
      </c>
      <c r="B40" s="25" t="s">
        <v>113</v>
      </c>
    </row>
    <row r="41" ht="15.75" customHeight="1">
      <c r="A41" s="25" t="s">
        <v>47</v>
      </c>
      <c r="B41" s="25" t="s">
        <v>114</v>
      </c>
    </row>
    <row r="42" ht="15.75" customHeight="1">
      <c r="A42" s="25" t="s">
        <v>58</v>
      </c>
      <c r="B42" s="25" t="s">
        <v>115</v>
      </c>
    </row>
    <row r="43" ht="15.75" customHeight="1">
      <c r="A43" s="25" t="s">
        <v>58</v>
      </c>
      <c r="B43" s="25" t="s">
        <v>116</v>
      </c>
    </row>
    <row r="44" ht="15.75" customHeight="1">
      <c r="A44" s="25" t="s">
        <v>54</v>
      </c>
      <c r="B44" s="25" t="s">
        <v>117</v>
      </c>
    </row>
    <row r="45" ht="15.75" customHeight="1">
      <c r="A45" s="25" t="s">
        <v>54</v>
      </c>
      <c r="B45" s="25" t="s">
        <v>118</v>
      </c>
    </row>
    <row r="46" ht="15.75" customHeight="1">
      <c r="A46" s="25" t="s">
        <v>56</v>
      </c>
      <c r="B46" s="25" t="s">
        <v>119</v>
      </c>
    </row>
    <row r="47" ht="15.75" customHeight="1">
      <c r="A47" s="25" t="s">
        <v>56</v>
      </c>
      <c r="B47" s="25" t="s">
        <v>120</v>
      </c>
    </row>
    <row r="48" ht="15.75" customHeight="1">
      <c r="A48" s="25" t="s">
        <v>56</v>
      </c>
      <c r="B48" s="25" t="s">
        <v>121</v>
      </c>
    </row>
    <row r="49" ht="15.75" customHeight="1">
      <c r="A49" s="25" t="s">
        <v>56</v>
      </c>
      <c r="B49" s="25" t="s">
        <v>122</v>
      </c>
    </row>
    <row r="50" ht="15.75" customHeight="1">
      <c r="A50" s="25" t="s">
        <v>48</v>
      </c>
      <c r="B50" s="25" t="s">
        <v>124</v>
      </c>
    </row>
    <row r="51" ht="15.75" customHeight="1">
      <c r="A51" s="25" t="s">
        <v>54</v>
      </c>
      <c r="B51" s="25" t="s">
        <v>125</v>
      </c>
    </row>
    <row r="52" ht="15.75" customHeight="1">
      <c r="A52" s="25" t="s">
        <v>54</v>
      </c>
      <c r="B52" s="25" t="s">
        <v>126</v>
      </c>
    </row>
    <row r="53" ht="15.75" customHeight="1">
      <c r="A53" s="25" t="s">
        <v>54</v>
      </c>
      <c r="B53" s="25" t="s">
        <v>127</v>
      </c>
    </row>
    <row r="54" ht="15.75" customHeight="1">
      <c r="A54" s="25" t="s">
        <v>54</v>
      </c>
      <c r="B54" s="25" t="s">
        <v>128</v>
      </c>
    </row>
    <row r="55" ht="15.75" customHeight="1">
      <c r="A55" s="25" t="s">
        <v>56</v>
      </c>
      <c r="B55" s="25" t="s">
        <v>129</v>
      </c>
    </row>
    <row r="56" ht="15.75" customHeight="1">
      <c r="A56" s="25" t="s">
        <v>58</v>
      </c>
      <c r="B56" s="25" t="s">
        <v>71</v>
      </c>
    </row>
    <row r="57" ht="15.75" customHeight="1">
      <c r="A57" s="25" t="s">
        <v>54</v>
      </c>
      <c r="B57" s="25" t="s">
        <v>73</v>
      </c>
    </row>
    <row r="58" ht="15.75" customHeight="1">
      <c r="A58" s="25" t="s">
        <v>58</v>
      </c>
      <c r="B58" s="25" t="s">
        <v>74</v>
      </c>
    </row>
    <row r="59" ht="15.75" customHeight="1">
      <c r="A59" s="25" t="s">
        <v>58</v>
      </c>
      <c r="B59" s="25" t="s">
        <v>75</v>
      </c>
    </row>
    <row r="60" ht="15.75" customHeight="1">
      <c r="A60" s="25" t="s">
        <v>58</v>
      </c>
      <c r="B60" s="25" t="s">
        <v>77</v>
      </c>
    </row>
    <row r="61" ht="15.75" customHeight="1">
      <c r="A61" s="25" t="s">
        <v>59</v>
      </c>
      <c r="B61" s="25" t="s">
        <v>79</v>
      </c>
    </row>
    <row r="62" ht="15.75" customHeight="1">
      <c r="A62" s="25" t="s">
        <v>59</v>
      </c>
      <c r="B62" s="25" t="s">
        <v>80</v>
      </c>
    </row>
    <row r="63" ht="15.75" customHeight="1">
      <c r="A63" s="25" t="s">
        <v>56</v>
      </c>
      <c r="B63" s="25" t="s">
        <v>81</v>
      </c>
    </row>
    <row r="64" ht="15.75" customHeight="1">
      <c r="A64" s="25" t="s">
        <v>56</v>
      </c>
      <c r="B64" s="25" t="s">
        <v>82</v>
      </c>
    </row>
    <row r="65" ht="15.75" customHeight="1">
      <c r="A65" s="25" t="s">
        <v>61</v>
      </c>
      <c r="B65" s="25" t="s">
        <v>84</v>
      </c>
    </row>
    <row r="66" ht="15.75" customHeight="1">
      <c r="A66" s="25" t="s">
        <v>61</v>
      </c>
      <c r="B66" s="25" t="s">
        <v>85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min="2" max="2" width="16.38"/>
    <col customWidth="1" min="3" max="3" width="6.0"/>
    <col customWidth="1" min="4" max="4" width="13.5"/>
    <col customWidth="1" min="5" max="5" width="13.13"/>
    <col customWidth="1" min="6" max="6" width="8.63"/>
    <col customWidth="1" min="12" max="12" width="16.88"/>
  </cols>
  <sheetData>
    <row r="1" ht="15.75" customHeight="1">
      <c r="A1" s="1" t="s">
        <v>130</v>
      </c>
      <c r="B1" s="1" t="s">
        <v>131</v>
      </c>
      <c r="C1" s="1" t="s">
        <v>3</v>
      </c>
      <c r="D1" s="4" t="s">
        <v>18</v>
      </c>
      <c r="E1" s="4" t="s">
        <v>19</v>
      </c>
      <c r="F1" s="4" t="s">
        <v>20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25" t="s">
        <v>47</v>
      </c>
      <c r="B2" s="25" t="s">
        <v>66</v>
      </c>
      <c r="C2" s="25" t="s">
        <v>87</v>
      </c>
      <c r="D2" s="28">
        <v>25.2</v>
      </c>
      <c r="E2" s="28">
        <v>21.2</v>
      </c>
      <c r="F2" s="28">
        <v>1.4</v>
      </c>
      <c r="L2" s="12"/>
    </row>
    <row r="3" ht="15.75" customHeight="1">
      <c r="A3" s="25" t="s">
        <v>47</v>
      </c>
      <c r="B3" s="25" t="s">
        <v>66</v>
      </c>
      <c r="C3" s="25" t="s">
        <v>86</v>
      </c>
      <c r="D3" s="28">
        <v>26.6</v>
      </c>
      <c r="E3" s="28">
        <v>22.2</v>
      </c>
      <c r="F3" s="28">
        <v>0.6</v>
      </c>
      <c r="L3" s="12"/>
    </row>
    <row r="4" ht="15.75" customHeight="1">
      <c r="A4" s="25" t="s">
        <v>47</v>
      </c>
      <c r="B4" s="25" t="s">
        <v>66</v>
      </c>
      <c r="C4" s="25" t="s">
        <v>83</v>
      </c>
      <c r="D4" s="28">
        <v>28.7</v>
      </c>
      <c r="E4" s="28">
        <v>24.2</v>
      </c>
      <c r="F4" s="28">
        <v>0.2</v>
      </c>
      <c r="L4" s="12"/>
    </row>
    <row r="5" ht="15.75" customHeight="1">
      <c r="A5" s="25" t="s">
        <v>47</v>
      </c>
      <c r="B5" s="25" t="s">
        <v>66</v>
      </c>
      <c r="C5" s="25" t="s">
        <v>78</v>
      </c>
      <c r="D5" s="28">
        <v>30.9</v>
      </c>
      <c r="E5" s="28">
        <v>26.6</v>
      </c>
      <c r="F5" s="28">
        <v>1.0</v>
      </c>
      <c r="L5" s="12"/>
    </row>
    <row r="6" ht="15.75" customHeight="1">
      <c r="A6" s="25" t="s">
        <v>47</v>
      </c>
      <c r="B6" s="25" t="s">
        <v>66</v>
      </c>
      <c r="C6" s="25" t="s">
        <v>132</v>
      </c>
      <c r="D6" s="28">
        <v>32.9</v>
      </c>
      <c r="E6" s="28">
        <v>28.0</v>
      </c>
      <c r="F6" s="28">
        <v>1.8</v>
      </c>
      <c r="L6" s="12"/>
    </row>
    <row r="7" ht="15.75" customHeight="1">
      <c r="A7" s="25" t="s">
        <v>47</v>
      </c>
      <c r="B7" s="25" t="s">
        <v>66</v>
      </c>
      <c r="C7" s="25" t="s">
        <v>106</v>
      </c>
      <c r="D7" s="28">
        <v>32.4</v>
      </c>
      <c r="E7" s="28">
        <v>27.5</v>
      </c>
      <c r="F7" s="28">
        <v>4.5</v>
      </c>
      <c r="L7" s="12"/>
    </row>
    <row r="8" ht="15.75" customHeight="1">
      <c r="A8" s="25" t="s">
        <v>47</v>
      </c>
      <c r="B8" s="25" t="s">
        <v>66</v>
      </c>
      <c r="C8" s="25" t="s">
        <v>102</v>
      </c>
      <c r="D8" s="28">
        <v>30.9</v>
      </c>
      <c r="E8" s="28">
        <v>26.4</v>
      </c>
      <c r="F8" s="28">
        <v>6.7</v>
      </c>
      <c r="L8" s="12"/>
    </row>
    <row r="9" ht="15.75" customHeight="1">
      <c r="A9" s="25" t="s">
        <v>47</v>
      </c>
      <c r="B9" s="25" t="s">
        <v>66</v>
      </c>
      <c r="C9" s="25" t="s">
        <v>76</v>
      </c>
      <c r="D9" s="28">
        <v>30.3</v>
      </c>
      <c r="E9" s="28">
        <v>25.9</v>
      </c>
      <c r="F9" s="28">
        <v>8.8</v>
      </c>
      <c r="L9" s="12"/>
    </row>
    <row r="10" ht="15.75" customHeight="1">
      <c r="A10" s="25" t="s">
        <v>47</v>
      </c>
      <c r="B10" s="25" t="s">
        <v>66</v>
      </c>
      <c r="C10" s="25" t="s">
        <v>70</v>
      </c>
      <c r="D10" s="28">
        <v>29.8</v>
      </c>
      <c r="E10" s="28">
        <v>25.6</v>
      </c>
      <c r="F10" s="28">
        <v>7.4</v>
      </c>
      <c r="L10" s="12"/>
    </row>
    <row r="11" ht="15.75" customHeight="1">
      <c r="A11" s="25" t="s">
        <v>47</v>
      </c>
      <c r="B11" s="25" t="s">
        <v>66</v>
      </c>
      <c r="C11" s="25" t="s">
        <v>64</v>
      </c>
      <c r="D11" s="28">
        <v>28.4</v>
      </c>
      <c r="E11" s="28">
        <v>24.6</v>
      </c>
      <c r="F11" s="28">
        <v>10.6</v>
      </c>
      <c r="L11" s="12"/>
    </row>
    <row r="12" ht="15.75" customHeight="1">
      <c r="A12" s="25" t="s">
        <v>47</v>
      </c>
      <c r="B12" s="25" t="s">
        <v>66</v>
      </c>
      <c r="C12" s="25" t="s">
        <v>49</v>
      </c>
      <c r="D12" s="28">
        <v>26.5</v>
      </c>
      <c r="E12" s="28">
        <v>23.1</v>
      </c>
      <c r="F12" s="28">
        <v>11.5</v>
      </c>
    </row>
    <row r="13" ht="15.75" customHeight="1">
      <c r="A13" s="25" t="s">
        <v>47</v>
      </c>
      <c r="B13" s="25" t="s">
        <v>66</v>
      </c>
      <c r="C13" s="25" t="s">
        <v>123</v>
      </c>
      <c r="D13" s="28">
        <v>25.3</v>
      </c>
      <c r="E13" s="28">
        <v>21.9</v>
      </c>
      <c r="F13" s="28">
        <v>5.7</v>
      </c>
    </row>
    <row r="14" ht="15.75" customHeight="1">
      <c r="A14" s="25" t="s">
        <v>47</v>
      </c>
      <c r="B14" s="25" t="s">
        <v>63</v>
      </c>
      <c r="C14" s="25" t="s">
        <v>87</v>
      </c>
      <c r="D14" s="28">
        <v>16.1</v>
      </c>
      <c r="E14" s="28">
        <v>7.8</v>
      </c>
      <c r="F14" s="28">
        <v>41.0</v>
      </c>
    </row>
    <row r="15" ht="15.75" customHeight="1">
      <c r="A15" s="25" t="s">
        <v>47</v>
      </c>
      <c r="B15" s="25" t="s">
        <v>63</v>
      </c>
      <c r="C15" s="25" t="s">
        <v>86</v>
      </c>
      <c r="D15" s="28">
        <v>17.6</v>
      </c>
      <c r="E15" s="28">
        <v>9.4</v>
      </c>
      <c r="F15" s="28">
        <v>32.0</v>
      </c>
    </row>
    <row r="16" ht="15.75" customHeight="1">
      <c r="A16" s="25" t="s">
        <v>47</v>
      </c>
      <c r="B16" s="25" t="s">
        <v>63</v>
      </c>
      <c r="C16" s="25" t="s">
        <v>83</v>
      </c>
      <c r="D16" s="28">
        <v>20.2</v>
      </c>
      <c r="E16" s="28">
        <v>11.1</v>
      </c>
      <c r="F16" s="28">
        <v>29.0</v>
      </c>
    </row>
    <row r="17" ht="15.75" customHeight="1">
      <c r="A17" s="25" t="s">
        <v>47</v>
      </c>
      <c r="B17" s="25" t="s">
        <v>63</v>
      </c>
      <c r="C17" s="25" t="s">
        <v>78</v>
      </c>
      <c r="D17" s="28">
        <v>22.1</v>
      </c>
      <c r="E17" s="28">
        <v>14.4</v>
      </c>
      <c r="F17" s="28">
        <v>35.0</v>
      </c>
    </row>
    <row r="18" ht="15.75" customHeight="1">
      <c r="A18" s="25" t="s">
        <v>47</v>
      </c>
      <c r="B18" s="25" t="s">
        <v>63</v>
      </c>
      <c r="C18" s="25" t="s">
        <v>132</v>
      </c>
      <c r="D18" s="28">
        <v>21.8</v>
      </c>
      <c r="E18" s="28">
        <v>16.7</v>
      </c>
      <c r="F18" s="28">
        <v>47.0</v>
      </c>
    </row>
    <row r="19" ht="15.75" customHeight="1">
      <c r="A19" s="25" t="s">
        <v>47</v>
      </c>
      <c r="B19" s="25" t="s">
        <v>63</v>
      </c>
      <c r="C19" s="25" t="s">
        <v>106</v>
      </c>
      <c r="D19" s="28">
        <v>20.6</v>
      </c>
      <c r="E19" s="28">
        <v>16.7</v>
      </c>
      <c r="F19" s="28">
        <v>62.0</v>
      </c>
    </row>
    <row r="20" ht="15.75" customHeight="1">
      <c r="A20" s="25" t="s">
        <v>47</v>
      </c>
      <c r="B20" s="25" t="s">
        <v>63</v>
      </c>
      <c r="C20" s="25" t="s">
        <v>102</v>
      </c>
      <c r="D20" s="28">
        <v>20.1</v>
      </c>
      <c r="E20" s="28">
        <v>16.1</v>
      </c>
      <c r="F20" s="28">
        <v>65.0</v>
      </c>
    </row>
    <row r="21" ht="15.75" customHeight="1">
      <c r="A21" s="25" t="s">
        <v>47</v>
      </c>
      <c r="B21" s="25" t="s">
        <v>63</v>
      </c>
      <c r="C21" s="25" t="s">
        <v>76</v>
      </c>
      <c r="D21" s="28">
        <v>20.0</v>
      </c>
      <c r="E21" s="28">
        <v>14.4</v>
      </c>
      <c r="F21" s="28">
        <v>67.0</v>
      </c>
    </row>
    <row r="22" ht="15.75" customHeight="1">
      <c r="A22" s="25" t="s">
        <v>47</v>
      </c>
      <c r="B22" s="25" t="s">
        <v>63</v>
      </c>
      <c r="C22" s="25" t="s">
        <v>70</v>
      </c>
      <c r="D22" s="28">
        <v>20.0</v>
      </c>
      <c r="E22" s="28">
        <v>15.0</v>
      </c>
      <c r="F22" s="28">
        <v>64.0</v>
      </c>
    </row>
    <row r="23" ht="15.75" customHeight="1">
      <c r="A23" s="25" t="s">
        <v>47</v>
      </c>
      <c r="B23" s="25" t="s">
        <v>63</v>
      </c>
      <c r="C23" s="25" t="s">
        <v>64</v>
      </c>
      <c r="D23" s="28">
        <v>19.8</v>
      </c>
      <c r="E23" s="28">
        <v>13.2</v>
      </c>
      <c r="F23" s="28">
        <v>65.0</v>
      </c>
    </row>
    <row r="24" ht="15.75" customHeight="1">
      <c r="A24" s="25" t="s">
        <v>47</v>
      </c>
      <c r="B24" s="25" t="s">
        <v>63</v>
      </c>
      <c r="C24" s="25" t="s">
        <v>49</v>
      </c>
      <c r="D24" s="28">
        <v>18.3</v>
      </c>
      <c r="E24" s="28">
        <v>9.6</v>
      </c>
      <c r="F24" s="28">
        <v>61.0</v>
      </c>
    </row>
    <row r="25" ht="15.75" customHeight="1">
      <c r="A25" s="25" t="s">
        <v>47</v>
      </c>
      <c r="B25" s="25" t="s">
        <v>63</v>
      </c>
      <c r="C25" s="25" t="s">
        <v>123</v>
      </c>
      <c r="D25" s="28">
        <v>16.4</v>
      </c>
      <c r="E25" s="28">
        <v>8.9</v>
      </c>
      <c r="F25" s="28">
        <v>53.0</v>
      </c>
    </row>
    <row r="26" ht="15.75" customHeight="1">
      <c r="A26" s="25" t="s">
        <v>47</v>
      </c>
      <c r="B26" s="25" t="s">
        <v>50</v>
      </c>
      <c r="C26" s="25" t="s">
        <v>87</v>
      </c>
      <c r="D26" s="28">
        <v>20.2</v>
      </c>
      <c r="E26" s="28">
        <v>12.4</v>
      </c>
      <c r="F26" s="28">
        <v>0.2</v>
      </c>
    </row>
    <row r="27" ht="15.75" customHeight="1">
      <c r="A27" s="25" t="s">
        <v>47</v>
      </c>
      <c r="B27" s="25" t="s">
        <v>50</v>
      </c>
      <c r="C27" s="25" t="s">
        <v>86</v>
      </c>
      <c r="D27" s="28">
        <v>22.5</v>
      </c>
      <c r="E27" s="28">
        <v>14.6</v>
      </c>
      <c r="F27" s="28">
        <v>0.1</v>
      </c>
    </row>
    <row r="28" ht="15.75" customHeight="1">
      <c r="A28" s="25" t="s">
        <v>47</v>
      </c>
      <c r="B28" s="25" t="s">
        <v>50</v>
      </c>
      <c r="C28" s="25" t="s">
        <v>83</v>
      </c>
      <c r="D28" s="28">
        <v>27.6</v>
      </c>
      <c r="E28" s="28">
        <v>19.6</v>
      </c>
      <c r="F28" s="28">
        <v>0.2</v>
      </c>
    </row>
    <row r="29" ht="15.75" customHeight="1">
      <c r="A29" s="25" t="s">
        <v>47</v>
      </c>
      <c r="B29" s="25" t="s">
        <v>50</v>
      </c>
      <c r="C29" s="25" t="s">
        <v>78</v>
      </c>
      <c r="D29" s="28">
        <v>31.7</v>
      </c>
      <c r="E29" s="28">
        <v>24.2</v>
      </c>
      <c r="F29" s="28">
        <v>0.3</v>
      </c>
    </row>
    <row r="30" ht="15.75" customHeight="1">
      <c r="A30" s="25" t="s">
        <v>47</v>
      </c>
      <c r="B30" s="25" t="s">
        <v>50</v>
      </c>
      <c r="C30" s="25" t="s">
        <v>132</v>
      </c>
      <c r="D30" s="28">
        <v>34.3</v>
      </c>
      <c r="E30" s="28">
        <v>27.3</v>
      </c>
      <c r="F30" s="28">
        <v>0.3</v>
      </c>
    </row>
    <row r="31" ht="15.75" customHeight="1">
      <c r="A31" s="25" t="s">
        <v>47</v>
      </c>
      <c r="B31" s="25" t="s">
        <v>50</v>
      </c>
      <c r="C31" s="25" t="s">
        <v>106</v>
      </c>
      <c r="D31" s="28">
        <v>33.1</v>
      </c>
      <c r="E31" s="28">
        <v>27.7</v>
      </c>
      <c r="F31" s="28">
        <v>3.9</v>
      </c>
    </row>
    <row r="32" ht="15.75" customHeight="1">
      <c r="A32" s="25" t="s">
        <v>47</v>
      </c>
      <c r="B32" s="25" t="s">
        <v>50</v>
      </c>
      <c r="C32" s="25" t="s">
        <v>102</v>
      </c>
      <c r="D32" s="28">
        <v>29.7</v>
      </c>
      <c r="E32" s="28">
        <v>26.1</v>
      </c>
      <c r="F32" s="28">
        <v>11.3</v>
      </c>
    </row>
    <row r="33" ht="15.75" customHeight="1">
      <c r="A33" s="25" t="s">
        <v>47</v>
      </c>
      <c r="B33" s="25" t="s">
        <v>50</v>
      </c>
      <c r="C33" s="25" t="s">
        <v>76</v>
      </c>
      <c r="D33" s="28">
        <v>28.5</v>
      </c>
      <c r="E33" s="28">
        <v>25.3</v>
      </c>
      <c r="F33" s="28">
        <v>10.3</v>
      </c>
    </row>
    <row r="34" ht="15.75" customHeight="1">
      <c r="A34" s="25" t="s">
        <v>47</v>
      </c>
      <c r="B34" s="25" t="s">
        <v>50</v>
      </c>
      <c r="C34" s="25" t="s">
        <v>70</v>
      </c>
      <c r="D34" s="28">
        <v>29.2</v>
      </c>
      <c r="E34" s="28">
        <v>24.9</v>
      </c>
      <c r="F34" s="28">
        <v>6.1</v>
      </c>
    </row>
    <row r="35" ht="15.75" customHeight="1">
      <c r="A35" s="25" t="s">
        <v>47</v>
      </c>
      <c r="B35" s="25" t="s">
        <v>50</v>
      </c>
      <c r="C35" s="25" t="s">
        <v>64</v>
      </c>
      <c r="D35" s="28">
        <v>28.5</v>
      </c>
      <c r="E35" s="28">
        <v>21.8</v>
      </c>
      <c r="F35" s="28">
        <v>0.9</v>
      </c>
    </row>
    <row r="36" ht="15.75" customHeight="1">
      <c r="A36" s="25" t="s">
        <v>47</v>
      </c>
      <c r="B36" s="25" t="s">
        <v>50</v>
      </c>
      <c r="C36" s="25" t="s">
        <v>49</v>
      </c>
      <c r="D36" s="28">
        <v>24.8</v>
      </c>
      <c r="E36" s="28">
        <v>17.2</v>
      </c>
      <c r="F36" s="28">
        <v>0.3</v>
      </c>
    </row>
    <row r="37" ht="15.75" customHeight="1">
      <c r="A37" s="25" t="s">
        <v>47</v>
      </c>
      <c r="B37" s="25" t="s">
        <v>50</v>
      </c>
      <c r="C37" s="25" t="s">
        <v>123</v>
      </c>
      <c r="D37" s="28">
        <v>21.4</v>
      </c>
      <c r="E37" s="28">
        <v>13.6</v>
      </c>
      <c r="F37" s="28">
        <v>0.1</v>
      </c>
    </row>
    <row r="38" ht="15.75" customHeight="1">
      <c r="A38" s="25" t="s">
        <v>47</v>
      </c>
      <c r="B38" s="25" t="s">
        <v>90</v>
      </c>
      <c r="C38" s="25" t="s">
        <v>87</v>
      </c>
      <c r="D38" s="28">
        <v>11.2</v>
      </c>
      <c r="E38" s="28">
        <v>1.7</v>
      </c>
      <c r="F38" s="28">
        <v>34.0</v>
      </c>
    </row>
    <row r="39" ht="15.75" customHeight="1">
      <c r="A39" s="25" t="s">
        <v>47</v>
      </c>
      <c r="B39" s="25" t="s">
        <v>90</v>
      </c>
      <c r="C39" s="25" t="s">
        <v>86</v>
      </c>
      <c r="D39" s="28">
        <v>12.2</v>
      </c>
      <c r="E39" s="28">
        <v>3.9</v>
      </c>
      <c r="F39" s="28">
        <v>26.0</v>
      </c>
    </row>
    <row r="40" ht="15.75" customHeight="1">
      <c r="A40" s="25" t="s">
        <v>47</v>
      </c>
      <c r="B40" s="25" t="s">
        <v>90</v>
      </c>
      <c r="C40" s="25" t="s">
        <v>83</v>
      </c>
      <c r="D40" s="28">
        <v>15.7</v>
      </c>
      <c r="E40" s="28">
        <v>7.2</v>
      </c>
      <c r="F40" s="28">
        <v>21.0</v>
      </c>
    </row>
    <row r="41" ht="15.75" customHeight="1">
      <c r="A41" s="25" t="s">
        <v>47</v>
      </c>
      <c r="B41" s="25" t="s">
        <v>90</v>
      </c>
      <c r="C41" s="25" t="s">
        <v>78</v>
      </c>
      <c r="D41" s="28">
        <v>19.6</v>
      </c>
      <c r="E41" s="28">
        <v>10.6</v>
      </c>
      <c r="F41" s="28">
        <v>24.0</v>
      </c>
    </row>
    <row r="42" ht="15.75" customHeight="1">
      <c r="A42" s="25" t="s">
        <v>47</v>
      </c>
      <c r="B42" s="25" t="s">
        <v>90</v>
      </c>
      <c r="C42" s="25" t="s">
        <v>132</v>
      </c>
      <c r="D42" s="28">
        <v>22.6</v>
      </c>
      <c r="E42" s="28">
        <v>13.8</v>
      </c>
      <c r="F42" s="28">
        <v>37.0</v>
      </c>
    </row>
    <row r="43" ht="15.75" customHeight="1">
      <c r="A43" s="25" t="s">
        <v>47</v>
      </c>
      <c r="B43" s="25" t="s">
        <v>90</v>
      </c>
      <c r="C43" s="25" t="s">
        <v>106</v>
      </c>
      <c r="D43" s="28">
        <v>23.1</v>
      </c>
      <c r="E43" s="28">
        <v>17.0</v>
      </c>
      <c r="F43" s="28">
        <v>66.0</v>
      </c>
    </row>
    <row r="44" ht="15.75" customHeight="1">
      <c r="A44" s="25" t="s">
        <v>47</v>
      </c>
      <c r="B44" s="25" t="s">
        <v>90</v>
      </c>
      <c r="C44" s="25" t="s">
        <v>102</v>
      </c>
      <c r="D44" s="28">
        <v>22.4</v>
      </c>
      <c r="E44" s="28">
        <v>18.9</v>
      </c>
      <c r="F44" s="28">
        <v>76.0</v>
      </c>
    </row>
    <row r="45" ht="15.75" customHeight="1">
      <c r="A45" s="25" t="s">
        <v>47</v>
      </c>
      <c r="B45" s="25" t="s">
        <v>90</v>
      </c>
      <c r="C45" s="25" t="s">
        <v>76</v>
      </c>
      <c r="D45" s="28">
        <v>21.7</v>
      </c>
      <c r="E45" s="28">
        <v>17.2</v>
      </c>
      <c r="F45" s="28">
        <v>79.0</v>
      </c>
    </row>
    <row r="46" ht="15.75" customHeight="1">
      <c r="A46" s="25" t="s">
        <v>47</v>
      </c>
      <c r="B46" s="25" t="s">
        <v>90</v>
      </c>
      <c r="C46" s="25" t="s">
        <v>70</v>
      </c>
      <c r="D46" s="28">
        <v>20.9</v>
      </c>
      <c r="E46" s="28">
        <v>13.2</v>
      </c>
      <c r="F46" s="28">
        <v>73.0</v>
      </c>
    </row>
    <row r="47" ht="15.75" customHeight="1">
      <c r="A47" s="25" t="s">
        <v>47</v>
      </c>
      <c r="B47" s="25" t="s">
        <v>90</v>
      </c>
      <c r="C47" s="25" t="s">
        <v>64</v>
      </c>
      <c r="D47" s="28">
        <v>18.4</v>
      </c>
      <c r="E47" s="28">
        <v>9.4</v>
      </c>
      <c r="F47" s="28">
        <v>53.0</v>
      </c>
    </row>
    <row r="48" ht="15.75" customHeight="1">
      <c r="A48" s="25" t="s">
        <v>47</v>
      </c>
      <c r="B48" s="25" t="s">
        <v>90</v>
      </c>
      <c r="C48" s="25" t="s">
        <v>49</v>
      </c>
      <c r="D48" s="28">
        <v>14.5</v>
      </c>
      <c r="E48" s="28">
        <v>4.6</v>
      </c>
      <c r="F48" s="28">
        <v>43.0</v>
      </c>
    </row>
    <row r="49" ht="15.75" customHeight="1">
      <c r="A49" s="25" t="s">
        <v>47</v>
      </c>
      <c r="B49" s="25" t="s">
        <v>90</v>
      </c>
      <c r="C49" s="25" t="s">
        <v>123</v>
      </c>
      <c r="D49" s="28">
        <v>11.5</v>
      </c>
      <c r="E49" s="28">
        <v>3.3</v>
      </c>
      <c r="F49" s="28">
        <v>39.0</v>
      </c>
    </row>
    <row r="50" ht="15.75" customHeight="1">
      <c r="A50" s="25" t="s">
        <v>47</v>
      </c>
      <c r="B50" s="25" t="s">
        <v>57</v>
      </c>
      <c r="C50" s="25" t="s">
        <v>87</v>
      </c>
      <c r="D50" s="28">
        <v>30.2</v>
      </c>
      <c r="E50" s="28">
        <v>24.9</v>
      </c>
      <c r="F50" s="28">
        <v>11.7</v>
      </c>
    </row>
    <row r="51" ht="15.75" customHeight="1">
      <c r="A51" s="25" t="s">
        <v>47</v>
      </c>
      <c r="B51" s="25" t="s">
        <v>57</v>
      </c>
      <c r="C51" s="25" t="s">
        <v>86</v>
      </c>
      <c r="D51" s="28">
        <v>30.3</v>
      </c>
      <c r="E51" s="28">
        <v>25.3</v>
      </c>
      <c r="F51" s="28">
        <v>11.7</v>
      </c>
    </row>
    <row r="52" ht="15.75" customHeight="1">
      <c r="A52" s="25" t="s">
        <v>47</v>
      </c>
      <c r="B52" s="25" t="s">
        <v>57</v>
      </c>
      <c r="C52" s="25" t="s">
        <v>83</v>
      </c>
      <c r="D52" s="28">
        <v>31.7</v>
      </c>
      <c r="E52" s="28">
        <v>27.1</v>
      </c>
      <c r="F52" s="28">
        <v>16.3</v>
      </c>
    </row>
    <row r="53" ht="15.75" customHeight="1">
      <c r="A53" s="25" t="s">
        <v>47</v>
      </c>
      <c r="B53" s="25" t="s">
        <v>57</v>
      </c>
      <c r="C53" s="25" t="s">
        <v>78</v>
      </c>
      <c r="D53" s="28">
        <v>32.9</v>
      </c>
      <c r="E53" s="28">
        <v>28.9</v>
      </c>
      <c r="F53" s="28">
        <v>20.0</v>
      </c>
    </row>
    <row r="54" ht="15.75" customHeight="1">
      <c r="A54" s="25" t="s">
        <v>47</v>
      </c>
      <c r="B54" s="25" t="s">
        <v>57</v>
      </c>
      <c r="C54" s="25" t="s">
        <v>132</v>
      </c>
      <c r="D54" s="28">
        <v>34.0</v>
      </c>
      <c r="E54" s="28">
        <v>30.5</v>
      </c>
      <c r="F54" s="28">
        <v>22.8</v>
      </c>
    </row>
    <row r="55" ht="15.75" customHeight="1">
      <c r="A55" s="25" t="s">
        <v>47</v>
      </c>
      <c r="B55" s="25" t="s">
        <v>57</v>
      </c>
      <c r="C55" s="25" t="s">
        <v>106</v>
      </c>
      <c r="D55" s="28">
        <v>32.2</v>
      </c>
      <c r="E55" s="28">
        <v>29.3</v>
      </c>
      <c r="F55" s="28">
        <v>21.1</v>
      </c>
    </row>
    <row r="56" ht="15.75" customHeight="1">
      <c r="A56" s="25" t="s">
        <v>47</v>
      </c>
      <c r="B56" s="25" t="s">
        <v>57</v>
      </c>
      <c r="C56" s="25" t="s">
        <v>102</v>
      </c>
      <c r="D56" s="28">
        <v>29.9</v>
      </c>
      <c r="E56" s="28">
        <v>27.8</v>
      </c>
      <c r="F56" s="28">
        <v>21.7</v>
      </c>
    </row>
    <row r="57" ht="15.75" customHeight="1">
      <c r="A57" s="25" t="s">
        <v>47</v>
      </c>
      <c r="B57" s="25" t="s">
        <v>57</v>
      </c>
      <c r="C57" s="25" t="s">
        <v>76</v>
      </c>
      <c r="D57" s="28">
        <v>29.9</v>
      </c>
      <c r="E57" s="28">
        <v>27.4</v>
      </c>
      <c r="F57" s="28">
        <v>20.7</v>
      </c>
    </row>
    <row r="58" ht="15.75" customHeight="1">
      <c r="A58" s="25" t="s">
        <v>47</v>
      </c>
      <c r="B58" s="25" t="s">
        <v>57</v>
      </c>
      <c r="C58" s="25" t="s">
        <v>70</v>
      </c>
      <c r="D58" s="28">
        <v>30.6</v>
      </c>
      <c r="E58" s="28">
        <v>27.8</v>
      </c>
      <c r="F58" s="28">
        <v>20.0</v>
      </c>
    </row>
    <row r="59" ht="15.75" customHeight="1">
      <c r="A59" s="25" t="s">
        <v>47</v>
      </c>
      <c r="B59" s="25" t="s">
        <v>57</v>
      </c>
      <c r="C59" s="25" t="s">
        <v>64</v>
      </c>
      <c r="D59" s="28">
        <v>33.1</v>
      </c>
      <c r="E59" s="28">
        <v>28.9</v>
      </c>
      <c r="F59" s="28">
        <v>20.6</v>
      </c>
    </row>
    <row r="60" ht="15.75" customHeight="1">
      <c r="A60" s="25" t="s">
        <v>47</v>
      </c>
      <c r="B60" s="25" t="s">
        <v>57</v>
      </c>
      <c r="C60" s="25" t="s">
        <v>49</v>
      </c>
      <c r="D60" s="28">
        <v>33.8</v>
      </c>
      <c r="E60" s="28">
        <v>28.4</v>
      </c>
      <c r="F60" s="28">
        <v>17.8</v>
      </c>
    </row>
    <row r="61" ht="15.75" customHeight="1">
      <c r="A61" s="25" t="s">
        <v>47</v>
      </c>
      <c r="B61" s="25" t="s">
        <v>57</v>
      </c>
      <c r="C61" s="25" t="s">
        <v>123</v>
      </c>
      <c r="D61" s="28">
        <v>32.2</v>
      </c>
      <c r="E61" s="28">
        <v>26.5</v>
      </c>
      <c r="F61" s="28">
        <v>12.8</v>
      </c>
    </row>
    <row r="62" ht="15.75" customHeight="1">
      <c r="A62" s="25" t="s">
        <v>47</v>
      </c>
      <c r="B62" s="25" t="s">
        <v>68</v>
      </c>
      <c r="C62" s="25" t="s">
        <v>87</v>
      </c>
      <c r="D62" s="28">
        <v>20.1</v>
      </c>
      <c r="E62" s="28">
        <v>13.9</v>
      </c>
      <c r="F62" s="28">
        <v>-0.6</v>
      </c>
    </row>
    <row r="63" ht="15.75" customHeight="1">
      <c r="A63" s="25" t="s">
        <v>47</v>
      </c>
      <c r="B63" s="25" t="s">
        <v>68</v>
      </c>
      <c r="C63" s="25" t="s">
        <v>86</v>
      </c>
      <c r="D63" s="28">
        <v>24.2</v>
      </c>
      <c r="E63" s="28">
        <v>17.6</v>
      </c>
      <c r="F63" s="28">
        <v>1.6</v>
      </c>
    </row>
    <row r="64" ht="15.75" customHeight="1">
      <c r="A64" s="25" t="s">
        <v>47</v>
      </c>
      <c r="B64" s="25" t="s">
        <v>68</v>
      </c>
      <c r="C64" s="25" t="s">
        <v>83</v>
      </c>
      <c r="D64" s="28">
        <v>29.9</v>
      </c>
      <c r="E64" s="28">
        <v>22.9</v>
      </c>
      <c r="F64" s="28">
        <v>4.4</v>
      </c>
    </row>
    <row r="65" ht="15.75" customHeight="1">
      <c r="A65" s="25" t="s">
        <v>47</v>
      </c>
      <c r="B65" s="25" t="s">
        <v>68</v>
      </c>
      <c r="C65" s="25" t="s">
        <v>78</v>
      </c>
      <c r="D65" s="28">
        <v>36.5</v>
      </c>
      <c r="E65" s="28">
        <v>29.1</v>
      </c>
      <c r="F65" s="28">
        <v>10.7</v>
      </c>
    </row>
    <row r="66" ht="15.75" customHeight="1">
      <c r="A66" s="25" t="s">
        <v>47</v>
      </c>
      <c r="B66" s="25" t="s">
        <v>68</v>
      </c>
      <c r="C66" s="25" t="s">
        <v>132</v>
      </c>
      <c r="D66" s="28">
        <v>39.9</v>
      </c>
      <c r="E66" s="28">
        <v>32.7</v>
      </c>
      <c r="F66" s="28">
        <v>15.1</v>
      </c>
    </row>
    <row r="67" ht="15.75" customHeight="1">
      <c r="A67" s="25" t="s">
        <v>47</v>
      </c>
      <c r="B67" s="25" t="s">
        <v>68</v>
      </c>
      <c r="C67" s="25" t="s">
        <v>106</v>
      </c>
      <c r="D67" s="28">
        <v>39.0</v>
      </c>
      <c r="E67" s="28">
        <v>33.3</v>
      </c>
      <c r="F67" s="28">
        <v>17.6</v>
      </c>
    </row>
    <row r="68" ht="15.75" customHeight="1">
      <c r="A68" s="25" t="s">
        <v>47</v>
      </c>
      <c r="B68" s="25" t="s">
        <v>68</v>
      </c>
      <c r="C68" s="25" t="s">
        <v>102</v>
      </c>
      <c r="D68" s="28">
        <v>35.6</v>
      </c>
      <c r="E68" s="28">
        <v>31.5</v>
      </c>
      <c r="F68" s="28">
        <v>20.3</v>
      </c>
    </row>
    <row r="69" ht="15.75" customHeight="1">
      <c r="A69" s="25" t="s">
        <v>47</v>
      </c>
      <c r="B69" s="25" t="s">
        <v>68</v>
      </c>
      <c r="C69" s="25" t="s">
        <v>76</v>
      </c>
      <c r="D69" s="28">
        <v>34.2</v>
      </c>
      <c r="E69" s="28">
        <v>30.4</v>
      </c>
      <c r="F69" s="28">
        <v>20.7</v>
      </c>
    </row>
    <row r="70" ht="15.75" customHeight="1">
      <c r="A70" s="25" t="s">
        <v>47</v>
      </c>
      <c r="B70" s="25" t="s">
        <v>68</v>
      </c>
      <c r="C70" s="25" t="s">
        <v>70</v>
      </c>
      <c r="D70" s="28">
        <v>34.1</v>
      </c>
      <c r="E70" s="28">
        <v>29.6</v>
      </c>
      <c r="F70" s="28">
        <v>16.1</v>
      </c>
    </row>
    <row r="71" ht="15.75" customHeight="1">
      <c r="A71" s="25" t="s">
        <v>47</v>
      </c>
      <c r="B71" s="25" t="s">
        <v>68</v>
      </c>
      <c r="C71" s="25" t="s">
        <v>64</v>
      </c>
      <c r="D71" s="28">
        <v>33.0</v>
      </c>
      <c r="E71" s="28">
        <v>26.2</v>
      </c>
      <c r="F71" s="28">
        <v>9.4</v>
      </c>
    </row>
    <row r="72" ht="15.75" customHeight="1">
      <c r="A72" s="25" t="s">
        <v>47</v>
      </c>
      <c r="B72" s="25" t="s">
        <v>68</v>
      </c>
      <c r="C72" s="25" t="s">
        <v>49</v>
      </c>
      <c r="D72" s="28">
        <v>28.4</v>
      </c>
      <c r="E72" s="28">
        <v>20.5</v>
      </c>
      <c r="F72" s="28">
        <v>3.9</v>
      </c>
    </row>
    <row r="73" ht="15.75" customHeight="1">
      <c r="A73" s="25" t="s">
        <v>47</v>
      </c>
      <c r="B73" s="25" t="s">
        <v>68</v>
      </c>
      <c r="C73" s="25" t="s">
        <v>123</v>
      </c>
      <c r="D73" s="28">
        <v>22.8</v>
      </c>
      <c r="E73" s="28">
        <v>15.6</v>
      </c>
      <c r="F73" s="28">
        <v>0.0</v>
      </c>
    </row>
    <row r="74" ht="15.75" customHeight="1">
      <c r="A74" s="25" t="s">
        <v>47</v>
      </c>
      <c r="B74" s="25" t="s">
        <v>55</v>
      </c>
      <c r="C74" s="25" t="s">
        <v>87</v>
      </c>
      <c r="D74" s="28">
        <v>22.1</v>
      </c>
      <c r="E74" s="28">
        <v>15.0</v>
      </c>
      <c r="F74" s="28">
        <v>-1.0</v>
      </c>
    </row>
    <row r="75" ht="15.75" customHeight="1">
      <c r="A75" s="25" t="s">
        <v>47</v>
      </c>
      <c r="B75" s="25" t="s">
        <v>55</v>
      </c>
      <c r="C75" s="25" t="s">
        <v>86</v>
      </c>
      <c r="D75" s="28">
        <v>26.2</v>
      </c>
      <c r="E75" s="28">
        <v>18.5</v>
      </c>
      <c r="F75" s="28">
        <v>0.0</v>
      </c>
    </row>
    <row r="76" ht="15.75" customHeight="1">
      <c r="A76" s="25" t="s">
        <v>47</v>
      </c>
      <c r="B76" s="25" t="s">
        <v>55</v>
      </c>
      <c r="C76" s="25" t="s">
        <v>83</v>
      </c>
      <c r="D76" s="28">
        <v>32.3</v>
      </c>
      <c r="E76" s="28">
        <v>23.8</v>
      </c>
      <c r="F76" s="28">
        <v>5.4</v>
      </c>
    </row>
    <row r="77" ht="15.75" customHeight="1">
      <c r="A77" s="25" t="s">
        <v>47</v>
      </c>
      <c r="B77" s="25" t="s">
        <v>55</v>
      </c>
      <c r="C77" s="25" t="s">
        <v>78</v>
      </c>
      <c r="D77" s="28">
        <v>38.2</v>
      </c>
      <c r="E77" s="28">
        <v>29.5</v>
      </c>
      <c r="F77" s="28">
        <v>10.9</v>
      </c>
    </row>
    <row r="78" ht="15.75" customHeight="1">
      <c r="A78" s="25" t="s">
        <v>47</v>
      </c>
      <c r="B78" s="25" t="s">
        <v>55</v>
      </c>
      <c r="C78" s="25" t="s">
        <v>132</v>
      </c>
      <c r="D78" s="28">
        <v>39.6</v>
      </c>
      <c r="E78" s="28">
        <v>32.2</v>
      </c>
      <c r="F78" s="28">
        <v>17.0</v>
      </c>
    </row>
    <row r="79" ht="15.75" customHeight="1">
      <c r="A79" s="25" t="s">
        <v>47</v>
      </c>
      <c r="B79" s="25" t="s">
        <v>55</v>
      </c>
      <c r="C79" s="25" t="s">
        <v>106</v>
      </c>
      <c r="D79" s="28">
        <v>38.3</v>
      </c>
      <c r="E79" s="28">
        <v>32.2</v>
      </c>
      <c r="F79" s="28">
        <v>19.7</v>
      </c>
    </row>
    <row r="80" ht="15.75" customHeight="1">
      <c r="A80" s="25" t="s">
        <v>47</v>
      </c>
      <c r="B80" s="25" t="s">
        <v>55</v>
      </c>
      <c r="C80" s="25" t="s">
        <v>102</v>
      </c>
      <c r="D80" s="28">
        <v>34.1</v>
      </c>
      <c r="E80" s="28">
        <v>30.1</v>
      </c>
      <c r="F80" s="28">
        <v>21.5</v>
      </c>
    </row>
    <row r="81" ht="15.75" customHeight="1">
      <c r="A81" s="25" t="s">
        <v>47</v>
      </c>
      <c r="B81" s="25" t="s">
        <v>55</v>
      </c>
      <c r="C81" s="25" t="s">
        <v>76</v>
      </c>
      <c r="D81" s="28">
        <v>33.5</v>
      </c>
      <c r="E81" s="28">
        <v>29.6</v>
      </c>
      <c r="F81" s="28">
        <v>22.2</v>
      </c>
    </row>
    <row r="82" ht="15.75" customHeight="1">
      <c r="A82" s="25" t="s">
        <v>47</v>
      </c>
      <c r="B82" s="25" t="s">
        <v>55</v>
      </c>
      <c r="C82" s="25" t="s">
        <v>70</v>
      </c>
      <c r="D82" s="28">
        <v>33.3</v>
      </c>
      <c r="E82" s="28">
        <v>28.8</v>
      </c>
      <c r="F82" s="28">
        <v>17.2</v>
      </c>
    </row>
    <row r="83" ht="15.75" customHeight="1">
      <c r="A83" s="25" t="s">
        <v>47</v>
      </c>
      <c r="B83" s="25" t="s">
        <v>55</v>
      </c>
      <c r="C83" s="25" t="s">
        <v>64</v>
      </c>
      <c r="D83" s="28">
        <v>32.8</v>
      </c>
      <c r="E83" s="28">
        <v>26.1</v>
      </c>
      <c r="F83" s="28">
        <v>10.0</v>
      </c>
    </row>
    <row r="84" ht="15.75" customHeight="1">
      <c r="A84" s="25" t="s">
        <v>47</v>
      </c>
      <c r="B84" s="25" t="s">
        <v>55</v>
      </c>
      <c r="C84" s="25" t="s">
        <v>49</v>
      </c>
      <c r="D84" s="28">
        <v>29.1</v>
      </c>
      <c r="E84" s="28">
        <v>21.2</v>
      </c>
      <c r="F84" s="28">
        <v>3.9</v>
      </c>
    </row>
    <row r="85" ht="15.75" customHeight="1">
      <c r="A85" s="25" t="s">
        <v>47</v>
      </c>
      <c r="B85" s="25" t="s">
        <v>55</v>
      </c>
      <c r="C85" s="25" t="s">
        <v>123</v>
      </c>
      <c r="D85" s="28">
        <v>24.4</v>
      </c>
      <c r="E85" s="28">
        <v>16.8</v>
      </c>
      <c r="F85" s="28">
        <v>0.5</v>
      </c>
    </row>
    <row r="86" ht="15.75" customHeight="1">
      <c r="A86" s="25" t="s">
        <v>47</v>
      </c>
      <c r="B86" s="25" t="s">
        <v>60</v>
      </c>
      <c r="C86" s="25" t="s">
        <v>87</v>
      </c>
      <c r="D86" s="28">
        <v>25.5</v>
      </c>
      <c r="E86" s="28">
        <v>14.3</v>
      </c>
      <c r="F86" s="28">
        <v>15.4</v>
      </c>
    </row>
    <row r="87" ht="15.75" customHeight="1">
      <c r="A87" s="25" t="s">
        <v>47</v>
      </c>
      <c r="B87" s="25" t="s">
        <v>60</v>
      </c>
      <c r="C87" s="25" t="s">
        <v>86</v>
      </c>
      <c r="D87" s="28">
        <v>29.4</v>
      </c>
      <c r="E87" s="28">
        <v>18.1</v>
      </c>
      <c r="F87" s="28">
        <v>24.6</v>
      </c>
    </row>
    <row r="88" ht="15.75" customHeight="1">
      <c r="A88" s="25" t="s">
        <v>47</v>
      </c>
      <c r="B88" s="25" t="s">
        <v>60</v>
      </c>
      <c r="C88" s="25" t="s">
        <v>83</v>
      </c>
      <c r="D88" s="28">
        <v>33.7</v>
      </c>
      <c r="E88" s="28">
        <v>22.9</v>
      </c>
      <c r="F88" s="28">
        <v>36.8</v>
      </c>
    </row>
    <row r="89" ht="15.75" customHeight="1">
      <c r="A89" s="25" t="s">
        <v>47</v>
      </c>
      <c r="B89" s="25" t="s">
        <v>60</v>
      </c>
      <c r="C89" s="25" t="s">
        <v>78</v>
      </c>
      <c r="D89" s="28">
        <v>35.4</v>
      </c>
      <c r="E89" s="28">
        <v>25.7</v>
      </c>
      <c r="F89" s="28">
        <v>55.0</v>
      </c>
    </row>
    <row r="90" ht="15.75" customHeight="1">
      <c r="A90" s="25" t="s">
        <v>47</v>
      </c>
      <c r="B90" s="25" t="s">
        <v>60</v>
      </c>
      <c r="C90" s="25" t="s">
        <v>132</v>
      </c>
      <c r="D90" s="28">
        <v>35.5</v>
      </c>
      <c r="E90" s="28">
        <v>26.8</v>
      </c>
      <c r="F90" s="28">
        <v>118.5</v>
      </c>
    </row>
    <row r="91" ht="15.75" customHeight="1">
      <c r="A91" s="25" t="s">
        <v>47</v>
      </c>
      <c r="B91" s="25" t="s">
        <v>60</v>
      </c>
      <c r="C91" s="25" t="s">
        <v>106</v>
      </c>
      <c r="D91" s="28">
        <v>34.1</v>
      </c>
      <c r="E91" s="28">
        <v>27.1</v>
      </c>
      <c r="F91" s="28">
        <v>276.7</v>
      </c>
    </row>
    <row r="92" ht="15.75" customHeight="1">
      <c r="A92" s="25" t="s">
        <v>47</v>
      </c>
      <c r="B92" s="25" t="s">
        <v>60</v>
      </c>
      <c r="C92" s="25" t="s">
        <v>102</v>
      </c>
      <c r="D92" s="28">
        <v>32.5</v>
      </c>
      <c r="E92" s="28">
        <v>26.7</v>
      </c>
      <c r="F92" s="28">
        <v>371.6</v>
      </c>
    </row>
    <row r="93" ht="15.75" customHeight="1">
      <c r="A93" s="25" t="s">
        <v>47</v>
      </c>
      <c r="B93" s="25" t="s">
        <v>60</v>
      </c>
      <c r="C93" s="25" t="s">
        <v>76</v>
      </c>
      <c r="D93" s="28">
        <v>32.3</v>
      </c>
      <c r="E93" s="28">
        <v>26.6</v>
      </c>
      <c r="F93" s="28">
        <v>372.1</v>
      </c>
    </row>
    <row r="94" ht="15.75" customHeight="1">
      <c r="A94" s="25" t="s">
        <v>47</v>
      </c>
      <c r="B94" s="25" t="s">
        <v>60</v>
      </c>
      <c r="C94" s="25" t="s">
        <v>70</v>
      </c>
      <c r="D94" s="28">
        <v>32.6</v>
      </c>
      <c r="E94" s="28">
        <v>26.3</v>
      </c>
      <c r="F94" s="28">
        <v>325.0</v>
      </c>
    </row>
    <row r="95" ht="15.75" customHeight="1">
      <c r="A95" s="25" t="s">
        <v>47</v>
      </c>
      <c r="B95" s="25" t="s">
        <v>60</v>
      </c>
      <c r="C95" s="25" t="s">
        <v>64</v>
      </c>
      <c r="D95" s="28">
        <v>32.3</v>
      </c>
      <c r="E95" s="28">
        <v>24.4</v>
      </c>
      <c r="F95" s="28">
        <v>179.6</v>
      </c>
    </row>
    <row r="96" ht="15.75" customHeight="1">
      <c r="A96" s="25" t="s">
        <v>47</v>
      </c>
      <c r="B96" s="25" t="s">
        <v>60</v>
      </c>
      <c r="C96" s="25" t="s">
        <v>49</v>
      </c>
      <c r="D96" s="28">
        <v>30.2</v>
      </c>
      <c r="E96" s="28">
        <v>20.1</v>
      </c>
      <c r="F96" s="28">
        <v>32.6</v>
      </c>
    </row>
    <row r="97" ht="15.75" customHeight="1">
      <c r="A97" s="25" t="s">
        <v>47</v>
      </c>
      <c r="B97" s="25" t="s">
        <v>60</v>
      </c>
      <c r="C97" s="25" t="s">
        <v>123</v>
      </c>
      <c r="D97" s="28">
        <v>26.7</v>
      </c>
      <c r="E97" s="28">
        <v>15.5</v>
      </c>
      <c r="F97" s="28">
        <v>5.6</v>
      </c>
    </row>
    <row r="98" ht="15.75" customHeight="1">
      <c r="A98" s="25" t="s">
        <v>47</v>
      </c>
      <c r="B98" s="25" t="s">
        <v>65</v>
      </c>
      <c r="C98" s="25" t="s">
        <v>87</v>
      </c>
      <c r="D98" s="28">
        <v>6.0</v>
      </c>
      <c r="E98" s="28">
        <v>-1.9</v>
      </c>
      <c r="F98" s="28">
        <v>66.0</v>
      </c>
    </row>
    <row r="99" ht="15.75" customHeight="1">
      <c r="A99" s="25" t="s">
        <v>47</v>
      </c>
      <c r="B99" s="25" t="s">
        <v>65</v>
      </c>
      <c r="C99" s="25" t="s">
        <v>86</v>
      </c>
      <c r="D99" s="28">
        <v>7.3</v>
      </c>
      <c r="E99" s="28">
        <v>-1.6</v>
      </c>
      <c r="F99" s="28">
        <v>63.0</v>
      </c>
    </row>
    <row r="100" ht="15.75" customHeight="1">
      <c r="A100" s="25" t="s">
        <v>47</v>
      </c>
      <c r="B100" s="25" t="s">
        <v>65</v>
      </c>
      <c r="C100" s="25" t="s">
        <v>83</v>
      </c>
      <c r="D100" s="28">
        <v>10.9</v>
      </c>
      <c r="E100" s="28">
        <v>2.4</v>
      </c>
      <c r="F100" s="28">
        <v>54.0</v>
      </c>
    </row>
    <row r="101" ht="15.75" customHeight="1">
      <c r="A101" s="25" t="s">
        <v>47</v>
      </c>
      <c r="B101" s="25" t="s">
        <v>65</v>
      </c>
      <c r="C101" s="25" t="s">
        <v>78</v>
      </c>
      <c r="D101" s="28">
        <v>15.4</v>
      </c>
      <c r="E101" s="28">
        <v>7.3</v>
      </c>
      <c r="F101" s="28">
        <v>47.0</v>
      </c>
    </row>
    <row r="102" ht="15.75" customHeight="1">
      <c r="A102" s="25" t="s">
        <v>47</v>
      </c>
      <c r="B102" s="25" t="s">
        <v>65</v>
      </c>
      <c r="C102" s="25" t="s">
        <v>132</v>
      </c>
      <c r="D102" s="28">
        <v>19.1</v>
      </c>
      <c r="E102" s="28">
        <v>8.4</v>
      </c>
      <c r="F102" s="28">
        <v>45.0</v>
      </c>
    </row>
    <row r="103" ht="15.75" customHeight="1">
      <c r="A103" s="25" t="s">
        <v>47</v>
      </c>
      <c r="B103" s="25" t="s">
        <v>65</v>
      </c>
      <c r="C103" s="25" t="s">
        <v>106</v>
      </c>
      <c r="D103" s="28">
        <v>20.9</v>
      </c>
      <c r="E103" s="28">
        <v>12.6</v>
      </c>
      <c r="F103" s="28">
        <v>53.0</v>
      </c>
    </row>
    <row r="104" ht="15.75" customHeight="1">
      <c r="A104" s="25" t="s">
        <v>47</v>
      </c>
      <c r="B104" s="25" t="s">
        <v>65</v>
      </c>
      <c r="C104" s="25" t="s">
        <v>102</v>
      </c>
      <c r="D104" s="28">
        <v>20.0</v>
      </c>
      <c r="E104" s="28">
        <v>14.3</v>
      </c>
      <c r="F104" s="28">
        <v>80.0</v>
      </c>
    </row>
    <row r="105" ht="15.75" customHeight="1">
      <c r="A105" s="25" t="s">
        <v>47</v>
      </c>
      <c r="B105" s="25" t="s">
        <v>65</v>
      </c>
      <c r="C105" s="25" t="s">
        <v>76</v>
      </c>
      <c r="D105" s="28">
        <v>19.7</v>
      </c>
      <c r="E105" s="28">
        <v>14.1</v>
      </c>
      <c r="F105" s="28">
        <v>86.0</v>
      </c>
    </row>
    <row r="106" ht="15.75" customHeight="1">
      <c r="A106" s="25" t="s">
        <v>47</v>
      </c>
      <c r="B106" s="25" t="s">
        <v>65</v>
      </c>
      <c r="C106" s="25" t="s">
        <v>70</v>
      </c>
      <c r="D106" s="28">
        <v>18.0</v>
      </c>
      <c r="E106" s="28">
        <v>11.2</v>
      </c>
      <c r="F106" s="28">
        <v>78.0</v>
      </c>
    </row>
    <row r="107" ht="15.75" customHeight="1">
      <c r="A107" s="25" t="s">
        <v>47</v>
      </c>
      <c r="B107" s="25" t="s">
        <v>65</v>
      </c>
      <c r="C107" s="25" t="s">
        <v>64</v>
      </c>
      <c r="D107" s="28">
        <v>14.3</v>
      </c>
      <c r="E107" s="28">
        <v>8.0</v>
      </c>
      <c r="F107" s="28">
        <v>63.0</v>
      </c>
    </row>
    <row r="108" ht="15.75" customHeight="1">
      <c r="A108" s="25" t="s">
        <v>47</v>
      </c>
      <c r="B108" s="25" t="s">
        <v>65</v>
      </c>
      <c r="C108" s="25" t="s">
        <v>49</v>
      </c>
      <c r="D108" s="28">
        <v>10.3</v>
      </c>
      <c r="E108" s="28">
        <v>4.8</v>
      </c>
      <c r="F108" s="28">
        <v>62.0</v>
      </c>
    </row>
    <row r="109" ht="15.75" customHeight="1">
      <c r="A109" s="25" t="s">
        <v>47</v>
      </c>
      <c r="B109" s="25" t="s">
        <v>65</v>
      </c>
      <c r="C109" s="25" t="s">
        <v>123</v>
      </c>
      <c r="D109" s="28">
        <v>7.2</v>
      </c>
      <c r="E109" s="28">
        <v>-1.0</v>
      </c>
      <c r="F109" s="28">
        <v>65.0</v>
      </c>
    </row>
    <row r="110" ht="15.75" customHeight="1">
      <c r="A110" s="25" t="s">
        <v>47</v>
      </c>
      <c r="B110" s="25" t="s">
        <v>67</v>
      </c>
      <c r="C110" s="25" t="s">
        <v>87</v>
      </c>
      <c r="D110" s="28">
        <v>22.9</v>
      </c>
      <c r="E110" s="28">
        <v>15.9</v>
      </c>
      <c r="F110" s="28">
        <v>0.6</v>
      </c>
    </row>
    <row r="111" ht="15.75" customHeight="1">
      <c r="A111" s="25" t="s">
        <v>47</v>
      </c>
      <c r="B111" s="25" t="s">
        <v>67</v>
      </c>
      <c r="C111" s="25" t="s">
        <v>86</v>
      </c>
      <c r="D111" s="28">
        <v>25.3</v>
      </c>
      <c r="E111" s="28">
        <v>18.3</v>
      </c>
      <c r="F111" s="28">
        <v>0.6</v>
      </c>
    </row>
    <row r="112" ht="15.75" customHeight="1">
      <c r="A112" s="25" t="s">
        <v>47</v>
      </c>
      <c r="B112" s="25" t="s">
        <v>67</v>
      </c>
      <c r="C112" s="25" t="s">
        <v>83</v>
      </c>
      <c r="D112" s="28">
        <v>28.7</v>
      </c>
      <c r="E112" s="28">
        <v>21.5</v>
      </c>
      <c r="F112" s="28">
        <v>0.9</v>
      </c>
    </row>
    <row r="113" ht="15.75" customHeight="1">
      <c r="A113" s="25" t="s">
        <v>47</v>
      </c>
      <c r="B113" s="25" t="s">
        <v>67</v>
      </c>
      <c r="C113" s="25" t="s">
        <v>78</v>
      </c>
      <c r="D113" s="28">
        <v>31.4</v>
      </c>
      <c r="E113" s="28">
        <v>24.5</v>
      </c>
      <c r="F113" s="28">
        <v>2.0</v>
      </c>
    </row>
    <row r="114" ht="15.75" customHeight="1">
      <c r="A114" s="25" t="s">
        <v>47</v>
      </c>
      <c r="B114" s="25" t="s">
        <v>67</v>
      </c>
      <c r="C114" s="25" t="s">
        <v>132</v>
      </c>
      <c r="D114" s="28">
        <v>33.3</v>
      </c>
      <c r="E114" s="28">
        <v>26.6</v>
      </c>
      <c r="F114" s="28">
        <v>2.5</v>
      </c>
    </row>
    <row r="115" ht="15.75" customHeight="1">
      <c r="A115" s="25" t="s">
        <v>47</v>
      </c>
      <c r="B115" s="25" t="s">
        <v>67</v>
      </c>
      <c r="C115" s="25" t="s">
        <v>106</v>
      </c>
      <c r="D115" s="28">
        <v>29.9</v>
      </c>
      <c r="E115" s="28">
        <v>24.4</v>
      </c>
      <c r="F115" s="28">
        <v>6.8</v>
      </c>
    </row>
    <row r="116" ht="15.75" customHeight="1">
      <c r="A116" s="25" t="s">
        <v>47</v>
      </c>
      <c r="B116" s="25" t="s">
        <v>67</v>
      </c>
      <c r="C116" s="25" t="s">
        <v>102</v>
      </c>
      <c r="D116" s="28">
        <v>27.1</v>
      </c>
      <c r="E116" s="28">
        <v>22.9</v>
      </c>
      <c r="F116" s="28">
        <v>9.5</v>
      </c>
    </row>
    <row r="117" ht="15.75" customHeight="1">
      <c r="A117" s="25" t="s">
        <v>47</v>
      </c>
      <c r="B117" s="25" t="s">
        <v>67</v>
      </c>
      <c r="C117" s="25" t="s">
        <v>76</v>
      </c>
      <c r="D117" s="28">
        <v>26.6</v>
      </c>
      <c r="E117" s="28">
        <v>22.5</v>
      </c>
      <c r="F117" s="28">
        <v>11.3</v>
      </c>
    </row>
    <row r="118" ht="15.75" customHeight="1">
      <c r="A118" s="25" t="s">
        <v>47</v>
      </c>
      <c r="B118" s="25" t="s">
        <v>67</v>
      </c>
      <c r="C118" s="25" t="s">
        <v>70</v>
      </c>
      <c r="D118" s="28">
        <v>26.7</v>
      </c>
      <c r="E118" s="28">
        <v>22.3</v>
      </c>
      <c r="F118" s="28">
        <v>8.4</v>
      </c>
    </row>
    <row r="119" ht="15.75" customHeight="1">
      <c r="A119" s="25" t="s">
        <v>47</v>
      </c>
      <c r="B119" s="25" t="s">
        <v>67</v>
      </c>
      <c r="C119" s="25" t="s">
        <v>64</v>
      </c>
      <c r="D119" s="28">
        <v>26.1</v>
      </c>
      <c r="E119" s="28">
        <v>20.9</v>
      </c>
      <c r="F119" s="28">
        <v>5.6</v>
      </c>
    </row>
    <row r="120" ht="15.75" customHeight="1">
      <c r="A120" s="25" t="s">
        <v>47</v>
      </c>
      <c r="B120" s="25" t="s">
        <v>67</v>
      </c>
      <c r="C120" s="25" t="s">
        <v>49</v>
      </c>
      <c r="D120" s="28">
        <v>24.3</v>
      </c>
      <c r="E120" s="28">
        <v>17.8</v>
      </c>
      <c r="F120" s="28">
        <v>1.3</v>
      </c>
    </row>
    <row r="121" ht="15.75" customHeight="1">
      <c r="A121" s="25" t="s">
        <v>47</v>
      </c>
      <c r="B121" s="25" t="s">
        <v>67</v>
      </c>
      <c r="C121" s="25" t="s">
        <v>123</v>
      </c>
      <c r="D121" s="28">
        <v>22.2</v>
      </c>
      <c r="E121" s="28">
        <v>15.3</v>
      </c>
      <c r="F121" s="28">
        <v>0.3</v>
      </c>
    </row>
    <row r="122" ht="15.75" customHeight="1">
      <c r="A122" s="25" t="s">
        <v>47</v>
      </c>
      <c r="B122" s="25" t="s">
        <v>69</v>
      </c>
      <c r="C122" s="25" t="s">
        <v>87</v>
      </c>
      <c r="D122" s="28">
        <v>23.2</v>
      </c>
      <c r="E122" s="28">
        <v>11.6</v>
      </c>
      <c r="F122" s="28">
        <v>17.3</v>
      </c>
    </row>
    <row r="123" ht="15.75" customHeight="1">
      <c r="A123" s="25" t="s">
        <v>47</v>
      </c>
      <c r="B123" s="25" t="s">
        <v>69</v>
      </c>
      <c r="C123" s="25" t="s">
        <v>86</v>
      </c>
      <c r="D123" s="28">
        <v>25.4</v>
      </c>
      <c r="E123" s="28">
        <v>13.8</v>
      </c>
      <c r="F123" s="28">
        <v>20.1</v>
      </c>
    </row>
    <row r="124" ht="15.75" customHeight="1">
      <c r="A124" s="25" t="s">
        <v>47</v>
      </c>
      <c r="B124" s="25" t="s">
        <v>69</v>
      </c>
      <c r="C124" s="25" t="s">
        <v>83</v>
      </c>
      <c r="D124" s="28">
        <v>28.2</v>
      </c>
      <c r="E124" s="28">
        <v>16.0</v>
      </c>
      <c r="F124" s="28">
        <v>30.7</v>
      </c>
    </row>
    <row r="125" ht="15.75" customHeight="1">
      <c r="A125" s="25" t="s">
        <v>47</v>
      </c>
      <c r="B125" s="25" t="s">
        <v>69</v>
      </c>
      <c r="C125" s="25" t="s">
        <v>78</v>
      </c>
      <c r="D125" s="28">
        <v>30.4</v>
      </c>
      <c r="E125" s="28">
        <v>18.2</v>
      </c>
      <c r="F125" s="28">
        <v>49.0</v>
      </c>
    </row>
    <row r="126" ht="15.75" customHeight="1">
      <c r="A126" s="25" t="s">
        <v>47</v>
      </c>
      <c r="B126" s="25" t="s">
        <v>69</v>
      </c>
      <c r="C126" s="25" t="s">
        <v>132</v>
      </c>
      <c r="D126" s="28">
        <v>32.2</v>
      </c>
      <c r="E126" s="28">
        <v>20.4</v>
      </c>
      <c r="F126" s="28">
        <v>68.6</v>
      </c>
    </row>
    <row r="127" ht="15.75" customHeight="1">
      <c r="A127" s="25" t="s">
        <v>47</v>
      </c>
      <c r="B127" s="25" t="s">
        <v>69</v>
      </c>
      <c r="C127" s="25" t="s">
        <v>106</v>
      </c>
      <c r="D127" s="28">
        <v>33.0</v>
      </c>
      <c r="E127" s="28">
        <v>21.6</v>
      </c>
      <c r="F127" s="28">
        <v>233.2</v>
      </c>
    </row>
    <row r="128" ht="15.75" customHeight="1">
      <c r="A128" s="25" t="s">
        <v>47</v>
      </c>
      <c r="B128" s="25" t="s">
        <v>69</v>
      </c>
      <c r="C128" s="25" t="s">
        <v>102</v>
      </c>
      <c r="D128" s="28">
        <v>32.6</v>
      </c>
      <c r="E128" s="28">
        <v>22.4</v>
      </c>
      <c r="F128" s="28">
        <v>328.8</v>
      </c>
    </row>
    <row r="129" ht="15.75" customHeight="1">
      <c r="A129" s="25" t="s">
        <v>47</v>
      </c>
      <c r="B129" s="25" t="s">
        <v>69</v>
      </c>
      <c r="C129" s="25" t="s">
        <v>76</v>
      </c>
      <c r="D129" s="28">
        <v>32.2</v>
      </c>
      <c r="E129" s="28">
        <v>22.0</v>
      </c>
      <c r="F129" s="28">
        <v>285.8</v>
      </c>
    </row>
    <row r="130" ht="15.75" customHeight="1">
      <c r="A130" s="25" t="s">
        <v>47</v>
      </c>
      <c r="B130" s="25" t="s">
        <v>69</v>
      </c>
      <c r="C130" s="25" t="s">
        <v>70</v>
      </c>
      <c r="D130" s="28">
        <v>31.8</v>
      </c>
      <c r="E130" s="28">
        <v>21.6</v>
      </c>
      <c r="F130" s="28">
        <v>249.6</v>
      </c>
    </row>
    <row r="131" ht="15.75" customHeight="1">
      <c r="A131" s="25" t="s">
        <v>47</v>
      </c>
      <c r="B131" s="25" t="s">
        <v>69</v>
      </c>
      <c r="C131" s="25" t="s">
        <v>64</v>
      </c>
      <c r="D131" s="28">
        <v>29.8</v>
      </c>
      <c r="E131" s="28">
        <v>20.4</v>
      </c>
      <c r="F131" s="28">
        <v>164.3</v>
      </c>
    </row>
    <row r="132" ht="15.75" customHeight="1">
      <c r="A132" s="25" t="s">
        <v>47</v>
      </c>
      <c r="B132" s="25" t="s">
        <v>69</v>
      </c>
      <c r="C132" s="25" t="s">
        <v>49</v>
      </c>
      <c r="D132" s="28">
        <v>27.6</v>
      </c>
      <c r="E132" s="28">
        <v>18.2</v>
      </c>
      <c r="F132" s="28">
        <v>43.9</v>
      </c>
    </row>
    <row r="133" ht="15.75" customHeight="1">
      <c r="A133" s="25" t="s">
        <v>47</v>
      </c>
      <c r="B133" s="25" t="s">
        <v>69</v>
      </c>
      <c r="C133" s="25" t="s">
        <v>123</v>
      </c>
      <c r="D133" s="28">
        <v>25.4</v>
      </c>
      <c r="E133" s="28">
        <v>13.8</v>
      </c>
      <c r="F133" s="28">
        <v>19.8</v>
      </c>
    </row>
    <row r="134" ht="15.75" customHeight="1">
      <c r="A134" s="25" t="s">
        <v>47</v>
      </c>
      <c r="B134" s="25" t="s">
        <v>88</v>
      </c>
      <c r="C134" s="25" t="s">
        <v>87</v>
      </c>
      <c r="D134" s="34">
        <v>23.4</v>
      </c>
      <c r="E134" s="34">
        <v>11.4</v>
      </c>
      <c r="F134" s="34">
        <v>15.8</v>
      </c>
      <c r="G134" s="35"/>
      <c r="H134" s="35"/>
    </row>
    <row r="135" ht="15.75" customHeight="1">
      <c r="A135" s="25" t="s">
        <v>47</v>
      </c>
      <c r="B135" s="25" t="s">
        <v>88</v>
      </c>
      <c r="C135" s="25" t="s">
        <v>86</v>
      </c>
      <c r="D135" s="34">
        <v>26.2</v>
      </c>
      <c r="E135" s="34">
        <v>13.6</v>
      </c>
      <c r="F135" s="34">
        <v>19.5</v>
      </c>
      <c r="G135" s="35"/>
      <c r="H135" s="35"/>
    </row>
    <row r="136" ht="15.75" customHeight="1">
      <c r="A136" s="25" t="s">
        <v>47</v>
      </c>
      <c r="B136" s="25" t="s">
        <v>88</v>
      </c>
      <c r="C136" s="25" t="s">
        <v>83</v>
      </c>
      <c r="D136" s="34">
        <v>29.4</v>
      </c>
      <c r="E136" s="34">
        <v>15.8</v>
      </c>
      <c r="F136" s="34">
        <v>29.6</v>
      </c>
      <c r="G136" s="35"/>
      <c r="H136" s="35"/>
    </row>
    <row r="137" ht="15.75" customHeight="1">
      <c r="A137" s="25" t="s">
        <v>47</v>
      </c>
      <c r="B137" s="25" t="s">
        <v>88</v>
      </c>
      <c r="C137" s="25" t="s">
        <v>78</v>
      </c>
      <c r="D137" s="34">
        <v>32.6</v>
      </c>
      <c r="E137" s="34">
        <v>18.0</v>
      </c>
      <c r="F137" s="34">
        <v>46.5</v>
      </c>
      <c r="G137" s="35"/>
      <c r="H137" s="35"/>
    </row>
    <row r="138" ht="15.75" customHeight="1">
      <c r="A138" s="25" t="s">
        <v>47</v>
      </c>
      <c r="B138" s="25" t="s">
        <v>88</v>
      </c>
      <c r="C138" s="25" t="s">
        <v>132</v>
      </c>
      <c r="D138" s="34">
        <v>35.0</v>
      </c>
      <c r="E138" s="34">
        <v>20.2</v>
      </c>
      <c r="F138" s="34">
        <v>66.8</v>
      </c>
      <c r="G138" s="35"/>
      <c r="H138" s="35"/>
    </row>
    <row r="139" ht="15.75" customHeight="1">
      <c r="A139" s="25" t="s">
        <v>47</v>
      </c>
      <c r="B139" s="25" t="s">
        <v>88</v>
      </c>
      <c r="C139" s="25" t="s">
        <v>106</v>
      </c>
      <c r="D139" s="34">
        <v>35.8</v>
      </c>
      <c r="E139" s="34">
        <v>21.6</v>
      </c>
      <c r="F139" s="34">
        <v>188.0</v>
      </c>
      <c r="G139" s="35"/>
      <c r="H139" s="35"/>
    </row>
    <row r="140" ht="15.75" customHeight="1">
      <c r="A140" s="25" t="s">
        <v>47</v>
      </c>
      <c r="B140" s="25" t="s">
        <v>88</v>
      </c>
      <c r="C140" s="25" t="s">
        <v>102</v>
      </c>
      <c r="D140" s="34">
        <v>35.2</v>
      </c>
      <c r="E140" s="34">
        <v>22.4</v>
      </c>
      <c r="F140" s="34">
        <v>314.2</v>
      </c>
      <c r="G140" s="35"/>
      <c r="H140" s="35"/>
    </row>
    <row r="141" ht="15.75" customHeight="1">
      <c r="A141" s="25" t="s">
        <v>47</v>
      </c>
      <c r="B141" s="25" t="s">
        <v>88</v>
      </c>
      <c r="C141" s="25" t="s">
        <v>76</v>
      </c>
      <c r="D141" s="34">
        <v>34.6</v>
      </c>
      <c r="E141" s="34">
        <v>22.0</v>
      </c>
      <c r="F141" s="34">
        <v>309.4</v>
      </c>
      <c r="G141" s="35"/>
      <c r="H141" s="35"/>
    </row>
    <row r="142" ht="15.75" customHeight="1">
      <c r="A142" s="25" t="s">
        <v>47</v>
      </c>
      <c r="B142" s="25" t="s">
        <v>88</v>
      </c>
      <c r="C142" s="25" t="s">
        <v>70</v>
      </c>
      <c r="D142" s="34">
        <v>33.8</v>
      </c>
      <c r="E142" s="34">
        <v>21.6</v>
      </c>
      <c r="F142" s="34">
        <v>258.8</v>
      </c>
      <c r="G142" s="35"/>
      <c r="H142" s="35"/>
    </row>
    <row r="143" ht="15.75" customHeight="1">
      <c r="A143" s="25" t="s">
        <v>47</v>
      </c>
      <c r="B143" s="25" t="s">
        <v>88</v>
      </c>
      <c r="C143" s="25" t="s">
        <v>64</v>
      </c>
      <c r="D143" s="34">
        <v>31.8</v>
      </c>
      <c r="E143" s="34">
        <v>20.4</v>
      </c>
      <c r="F143" s="34">
        <v>163.3</v>
      </c>
      <c r="G143" s="35"/>
      <c r="H143" s="35"/>
    </row>
    <row r="144" ht="15.75" customHeight="1">
      <c r="A144" s="25" t="s">
        <v>47</v>
      </c>
      <c r="B144" s="25" t="s">
        <v>88</v>
      </c>
      <c r="C144" s="25" t="s">
        <v>49</v>
      </c>
      <c r="D144" s="34">
        <v>28.8</v>
      </c>
      <c r="E144" s="34">
        <v>18.0</v>
      </c>
      <c r="F144" s="34">
        <v>43.2</v>
      </c>
      <c r="G144" s="35"/>
      <c r="H144" s="35"/>
    </row>
    <row r="145" ht="15.75" customHeight="1">
      <c r="A145" s="25" t="s">
        <v>47</v>
      </c>
      <c r="B145" s="25" t="s">
        <v>88</v>
      </c>
      <c r="C145" s="25" t="s">
        <v>123</v>
      </c>
      <c r="D145" s="34">
        <v>26.0</v>
      </c>
      <c r="E145" s="34">
        <v>13.6</v>
      </c>
      <c r="F145" s="34">
        <v>19.0</v>
      </c>
      <c r="G145" s="35"/>
      <c r="H145" s="35"/>
    </row>
    <row r="146" ht="15.75" customHeight="1">
      <c r="A146" s="25" t="s">
        <v>47</v>
      </c>
      <c r="B146" s="25" t="s">
        <v>89</v>
      </c>
      <c r="C146" s="25" t="s">
        <v>87</v>
      </c>
      <c r="D146" s="28">
        <v>26.8</v>
      </c>
      <c r="E146" s="28">
        <v>15.8</v>
      </c>
      <c r="F146" s="28">
        <v>14.5</v>
      </c>
    </row>
    <row r="147" ht="15.75" customHeight="1">
      <c r="A147" s="25" t="s">
        <v>47</v>
      </c>
      <c r="B147" s="25" t="s">
        <v>89</v>
      </c>
      <c r="C147" s="25" t="s">
        <v>86</v>
      </c>
      <c r="D147" s="28">
        <v>29.6</v>
      </c>
      <c r="E147" s="28">
        <v>17.4</v>
      </c>
      <c r="F147" s="28">
        <v>10.9</v>
      </c>
    </row>
    <row r="148" ht="15.75" customHeight="1">
      <c r="A148" s="25" t="s">
        <v>47</v>
      </c>
      <c r="B148" s="25" t="s">
        <v>89</v>
      </c>
      <c r="C148" s="25" t="s">
        <v>83</v>
      </c>
      <c r="D148" s="28">
        <v>33.4</v>
      </c>
      <c r="E148" s="28">
        <v>19.0</v>
      </c>
      <c r="F148" s="28">
        <v>4.6</v>
      </c>
    </row>
    <row r="149" ht="15.75" customHeight="1">
      <c r="A149" s="25" t="s">
        <v>47</v>
      </c>
      <c r="B149" s="25" t="s">
        <v>89</v>
      </c>
      <c r="C149" s="25" t="s">
        <v>78</v>
      </c>
      <c r="D149" s="28">
        <v>37.2</v>
      </c>
      <c r="E149" s="28">
        <v>22.2</v>
      </c>
      <c r="F149" s="28">
        <v>0.8</v>
      </c>
    </row>
    <row r="150" ht="15.75" customHeight="1">
      <c r="A150" s="25" t="s">
        <v>47</v>
      </c>
      <c r="B150" s="25" t="s">
        <v>89</v>
      </c>
      <c r="C150" s="25" t="s">
        <v>132</v>
      </c>
      <c r="D150" s="28">
        <v>40.6</v>
      </c>
      <c r="E150" s="28">
        <v>25.6</v>
      </c>
      <c r="F150" s="28">
        <v>0.1</v>
      </c>
    </row>
    <row r="151" ht="15.75" customHeight="1">
      <c r="A151" s="25" t="s">
        <v>47</v>
      </c>
      <c r="B151" s="25" t="s">
        <v>89</v>
      </c>
      <c r="C151" s="25" t="s">
        <v>106</v>
      </c>
      <c r="D151" s="28">
        <v>39.2</v>
      </c>
      <c r="E151" s="28">
        <v>26.8</v>
      </c>
      <c r="F151" s="28">
        <v>62.2</v>
      </c>
    </row>
    <row r="152" ht="15.75" customHeight="1">
      <c r="A152" s="25" t="s">
        <v>47</v>
      </c>
      <c r="B152" s="25" t="s">
        <v>89</v>
      </c>
      <c r="C152" s="25" t="s">
        <v>102</v>
      </c>
      <c r="D152" s="28">
        <v>37.0</v>
      </c>
      <c r="E152" s="28">
        <v>26.0</v>
      </c>
      <c r="F152" s="28">
        <v>322.6</v>
      </c>
    </row>
    <row r="153" ht="15.75" customHeight="1">
      <c r="A153" s="25" t="s">
        <v>47</v>
      </c>
      <c r="B153" s="25" t="s">
        <v>89</v>
      </c>
      <c r="C153" s="25" t="s">
        <v>76</v>
      </c>
      <c r="D153" s="28">
        <v>36.2</v>
      </c>
      <c r="E153" s="28">
        <v>25.4</v>
      </c>
      <c r="F153" s="28">
        <v>270.3</v>
      </c>
    </row>
    <row r="154" ht="15.75" customHeight="1">
      <c r="A154" s="25" t="s">
        <v>47</v>
      </c>
      <c r="B154" s="25" t="s">
        <v>89</v>
      </c>
      <c r="C154" s="25" t="s">
        <v>70</v>
      </c>
      <c r="D154" s="28">
        <v>35.0</v>
      </c>
      <c r="E154" s="28">
        <v>24.6</v>
      </c>
      <c r="F154" s="28">
        <v>223.4</v>
      </c>
    </row>
    <row r="155" ht="15.75" customHeight="1">
      <c r="A155" s="25" t="s">
        <v>47</v>
      </c>
      <c r="B155" s="25" t="s">
        <v>89</v>
      </c>
      <c r="C155" s="25" t="s">
        <v>64</v>
      </c>
      <c r="D155" s="28">
        <v>33.8</v>
      </c>
      <c r="E155" s="28">
        <v>23.8</v>
      </c>
      <c r="F155" s="28">
        <v>113.9</v>
      </c>
    </row>
    <row r="156" ht="15.75" customHeight="1">
      <c r="A156" s="25" t="s">
        <v>47</v>
      </c>
      <c r="B156" s="25" t="s">
        <v>89</v>
      </c>
      <c r="C156" s="25" t="s">
        <v>49</v>
      </c>
      <c r="D156" s="28">
        <v>31.6</v>
      </c>
      <c r="E156" s="28">
        <v>22.0</v>
      </c>
      <c r="F156" s="28">
        <v>24.8</v>
      </c>
    </row>
    <row r="157" ht="15.75" customHeight="1">
      <c r="A157" s="25" t="s">
        <v>47</v>
      </c>
      <c r="B157" s="25" t="s">
        <v>89</v>
      </c>
      <c r="C157" s="25" t="s">
        <v>123</v>
      </c>
      <c r="D157" s="28">
        <v>28.8</v>
      </c>
      <c r="E157" s="28">
        <v>17.4</v>
      </c>
      <c r="F157" s="28">
        <v>10.4</v>
      </c>
    </row>
    <row r="158" ht="15.75" customHeight="1">
      <c r="A158" s="25" t="s">
        <v>48</v>
      </c>
      <c r="C158" s="25" t="s">
        <v>87</v>
      </c>
      <c r="D158" s="28">
        <v>29.4</v>
      </c>
      <c r="E158" s="28">
        <v>19.6</v>
      </c>
      <c r="F158" s="28">
        <v>125.1</v>
      </c>
    </row>
    <row r="159" ht="15.75" customHeight="1">
      <c r="A159" s="25" t="s">
        <v>48</v>
      </c>
      <c r="C159" s="25" t="s">
        <v>86</v>
      </c>
      <c r="D159" s="28">
        <v>29.0</v>
      </c>
      <c r="E159" s="28">
        <v>19.4</v>
      </c>
      <c r="F159" s="28">
        <v>117.7</v>
      </c>
    </row>
    <row r="160" ht="15.75" customHeight="1">
      <c r="A160" s="25" t="s">
        <v>48</v>
      </c>
      <c r="C160" s="25" t="s">
        <v>83</v>
      </c>
      <c r="D160" s="28">
        <v>27.7</v>
      </c>
      <c r="E160" s="28">
        <v>17.8</v>
      </c>
      <c r="F160" s="28">
        <v>107.2</v>
      </c>
    </row>
    <row r="161" ht="15.75" customHeight="1">
      <c r="A161" s="25" t="s">
        <v>48</v>
      </c>
      <c r="C161" s="25" t="s">
        <v>78</v>
      </c>
      <c r="D161" s="28">
        <v>25.3</v>
      </c>
      <c r="E161" s="28">
        <v>15.5</v>
      </c>
      <c r="F161" s="28">
        <v>96.7</v>
      </c>
    </row>
    <row r="162" ht="15.75" customHeight="1">
      <c r="A162" s="25" t="s">
        <v>48</v>
      </c>
      <c r="C162" s="25" t="s">
        <v>132</v>
      </c>
      <c r="D162" s="28">
        <v>22.2</v>
      </c>
      <c r="E162" s="28">
        <v>13.2</v>
      </c>
      <c r="F162" s="28">
        <v>86.1</v>
      </c>
    </row>
    <row r="163" ht="15.75" customHeight="1">
      <c r="A163" s="25" t="s">
        <v>48</v>
      </c>
      <c r="C163" s="25" t="s">
        <v>106</v>
      </c>
      <c r="D163" s="28">
        <v>19.0</v>
      </c>
      <c r="E163" s="28">
        <v>10.6</v>
      </c>
      <c r="F163" s="28">
        <v>72.1</v>
      </c>
    </row>
    <row r="164" ht="15.75" customHeight="1">
      <c r="A164" s="25" t="s">
        <v>48</v>
      </c>
      <c r="C164" s="25" t="s">
        <v>102</v>
      </c>
      <c r="D164" s="28">
        <v>17.6</v>
      </c>
      <c r="E164" s="28">
        <v>9.1</v>
      </c>
      <c r="F164" s="28">
        <v>68.6</v>
      </c>
    </row>
    <row r="165" ht="15.75" customHeight="1">
      <c r="A165" s="25" t="s">
        <v>48</v>
      </c>
      <c r="C165" s="25" t="s">
        <v>76</v>
      </c>
      <c r="D165" s="28">
        <v>18.6</v>
      </c>
      <c r="E165" s="28">
        <v>10.1</v>
      </c>
      <c r="F165" s="28">
        <v>76.2</v>
      </c>
    </row>
    <row r="166" ht="15.75" customHeight="1">
      <c r="A166" s="25" t="s">
        <v>48</v>
      </c>
      <c r="C166" s="25" t="s">
        <v>70</v>
      </c>
      <c r="D166" s="28">
        <v>21.4</v>
      </c>
      <c r="E166" s="28">
        <v>12.5</v>
      </c>
      <c r="F166" s="28">
        <v>84.4</v>
      </c>
    </row>
    <row r="167" ht="15.75" customHeight="1">
      <c r="A167" s="25" t="s">
        <v>48</v>
      </c>
      <c r="C167" s="25" t="s">
        <v>64</v>
      </c>
      <c r="D167" s="28">
        <v>23.8</v>
      </c>
      <c r="E167" s="28">
        <v>14.9</v>
      </c>
      <c r="F167" s="28">
        <v>98.4</v>
      </c>
    </row>
    <row r="168" ht="15.75" customHeight="1">
      <c r="A168" s="25" t="s">
        <v>48</v>
      </c>
      <c r="C168" s="25" t="s">
        <v>49</v>
      </c>
      <c r="D168" s="28">
        <v>26.2</v>
      </c>
      <c r="E168" s="28">
        <v>17.0</v>
      </c>
      <c r="F168" s="28">
        <v>114.7</v>
      </c>
    </row>
    <row r="169" ht="15.75" customHeight="1">
      <c r="A169" s="25" t="s">
        <v>48</v>
      </c>
      <c r="C169" s="25" t="s">
        <v>123</v>
      </c>
      <c r="D169" s="28">
        <v>28.1</v>
      </c>
      <c r="E169" s="28">
        <v>18.6</v>
      </c>
      <c r="F169" s="28">
        <v>124.8</v>
      </c>
    </row>
    <row r="170" ht="15.75" customHeight="1">
      <c r="A170" s="25" t="s">
        <v>59</v>
      </c>
      <c r="C170" s="25" t="s">
        <v>87</v>
      </c>
      <c r="D170" s="28">
        <v>16.4</v>
      </c>
      <c r="E170" s="28">
        <v>5.3</v>
      </c>
      <c r="F170" s="28">
        <v>20.0</v>
      </c>
    </row>
    <row r="171" ht="15.75" customHeight="1">
      <c r="A171" s="25" t="s">
        <v>59</v>
      </c>
      <c r="C171" s="25" t="s">
        <v>86</v>
      </c>
      <c r="D171" s="28">
        <v>19.5</v>
      </c>
      <c r="E171" s="28">
        <v>7.6</v>
      </c>
      <c r="F171" s="28">
        <v>25.8</v>
      </c>
    </row>
    <row r="172" ht="15.75" customHeight="1">
      <c r="A172" s="25" t="s">
        <v>59</v>
      </c>
      <c r="C172" s="25" t="s">
        <v>83</v>
      </c>
      <c r="D172" s="28">
        <v>23.4</v>
      </c>
      <c r="E172" s="28">
        <v>11.4</v>
      </c>
      <c r="F172" s="28">
        <v>33.9</v>
      </c>
    </row>
    <row r="173" ht="15.75" customHeight="1">
      <c r="A173" s="25" t="s">
        <v>59</v>
      </c>
      <c r="C173" s="25" t="s">
        <v>78</v>
      </c>
      <c r="D173" s="28">
        <v>28.1</v>
      </c>
      <c r="E173" s="28">
        <v>15.8</v>
      </c>
      <c r="F173" s="28">
        <v>23.4</v>
      </c>
    </row>
    <row r="174" ht="15.75" customHeight="1">
      <c r="A174" s="25" t="s">
        <v>59</v>
      </c>
      <c r="C174" s="25" t="s">
        <v>132</v>
      </c>
      <c r="D174" s="28">
        <v>34.2</v>
      </c>
      <c r="E174" s="28">
        <v>21.3</v>
      </c>
      <c r="F174" s="28">
        <v>16.3</v>
      </c>
    </row>
    <row r="175" ht="15.75" customHeight="1">
      <c r="A175" s="25" t="s">
        <v>59</v>
      </c>
      <c r="C175" s="25" t="s">
        <v>106</v>
      </c>
      <c r="D175" s="28">
        <v>38.0</v>
      </c>
      <c r="E175" s="28">
        <v>25.3</v>
      </c>
      <c r="F175" s="28">
        <v>15.7</v>
      </c>
    </row>
    <row r="176" ht="15.75" customHeight="1">
      <c r="A176" s="25" t="s">
        <v>59</v>
      </c>
      <c r="C176" s="25" t="s">
        <v>102</v>
      </c>
      <c r="D176" s="28">
        <v>37.5</v>
      </c>
      <c r="E176" s="28">
        <v>26.8</v>
      </c>
      <c r="F176" s="28">
        <v>60.5</v>
      </c>
    </row>
    <row r="177" ht="15.75" customHeight="1">
      <c r="A177" s="25" t="s">
        <v>59</v>
      </c>
      <c r="C177" s="25" t="s">
        <v>76</v>
      </c>
      <c r="D177" s="28">
        <v>36.8</v>
      </c>
      <c r="E177" s="28">
        <v>26.5</v>
      </c>
      <c r="F177" s="28">
        <v>55.6</v>
      </c>
    </row>
    <row r="178" ht="15.75" customHeight="1">
      <c r="A178" s="25" t="s">
        <v>59</v>
      </c>
      <c r="C178" s="25" t="s">
        <v>70</v>
      </c>
      <c r="D178" s="28">
        <v>35.0</v>
      </c>
      <c r="E178" s="28">
        <v>23.9</v>
      </c>
      <c r="F178" s="28">
        <v>19.5</v>
      </c>
    </row>
    <row r="179" ht="15.75" customHeight="1">
      <c r="A179" s="25" t="s">
        <v>59</v>
      </c>
      <c r="C179" s="25" t="s">
        <v>64</v>
      </c>
      <c r="D179" s="28">
        <v>30.2</v>
      </c>
      <c r="E179" s="28">
        <v>18.7</v>
      </c>
      <c r="F179" s="28">
        <v>7.2</v>
      </c>
    </row>
    <row r="180" ht="15.75" customHeight="1">
      <c r="A180" s="25" t="s">
        <v>59</v>
      </c>
      <c r="C180" s="25" t="s">
        <v>49</v>
      </c>
      <c r="D180" s="28">
        <v>25.1</v>
      </c>
      <c r="E180" s="28">
        <v>12.6</v>
      </c>
      <c r="F180" s="28">
        <v>6.5</v>
      </c>
    </row>
    <row r="181" ht="15.75" customHeight="1">
      <c r="A181" s="25" t="s">
        <v>59</v>
      </c>
      <c r="C181" s="25" t="s">
        <v>123</v>
      </c>
      <c r="D181" s="28">
        <v>18.8</v>
      </c>
      <c r="E181" s="28">
        <v>6.6</v>
      </c>
      <c r="F181" s="28">
        <v>14.7</v>
      </c>
    </row>
    <row r="182" ht="15.75" customHeight="1">
      <c r="A182" s="25" t="s">
        <v>58</v>
      </c>
      <c r="C182" s="25" t="s">
        <v>87</v>
      </c>
      <c r="D182" s="34">
        <v>7.8</v>
      </c>
      <c r="E182" s="34">
        <v>1.9</v>
      </c>
      <c r="F182" s="34">
        <v>84.4</v>
      </c>
      <c r="G182" s="35"/>
    </row>
    <row r="183" ht="15.75" customHeight="1">
      <c r="A183" s="25" t="s">
        <v>58</v>
      </c>
      <c r="C183" s="25" t="s">
        <v>86</v>
      </c>
      <c r="D183" s="34">
        <v>8.3</v>
      </c>
      <c r="E183" s="34">
        <v>1.8</v>
      </c>
      <c r="F183" s="34">
        <v>60.9</v>
      </c>
      <c r="G183" s="35"/>
    </row>
    <row r="184" ht="15.75" customHeight="1">
      <c r="A184" s="25" t="s">
        <v>58</v>
      </c>
      <c r="C184" s="25" t="s">
        <v>83</v>
      </c>
      <c r="D184" s="34">
        <v>10.8</v>
      </c>
      <c r="E184" s="34">
        <v>3.1</v>
      </c>
      <c r="F184" s="34">
        <v>51.6</v>
      </c>
      <c r="G184" s="35"/>
    </row>
    <row r="185" ht="15.75" customHeight="1">
      <c r="A185" s="25" t="s">
        <v>58</v>
      </c>
      <c r="C185" s="25" t="s">
        <v>78</v>
      </c>
      <c r="D185" s="34">
        <v>13.9</v>
      </c>
      <c r="E185" s="34">
        <v>4.7</v>
      </c>
      <c r="F185" s="34">
        <v>53.2</v>
      </c>
      <c r="G185" s="35"/>
    </row>
    <row r="186" ht="15.75" customHeight="1">
      <c r="A186" s="25" t="s">
        <v>58</v>
      </c>
      <c r="C186" s="25" t="s">
        <v>132</v>
      </c>
      <c r="D186" s="34">
        <v>17.2</v>
      </c>
      <c r="E186" s="34">
        <v>7.5</v>
      </c>
      <c r="F186" s="34">
        <v>52.4</v>
      </c>
      <c r="G186" s="35"/>
    </row>
    <row r="187" ht="15.75" customHeight="1">
      <c r="A187" s="25" t="s">
        <v>58</v>
      </c>
      <c r="C187" s="25" t="s">
        <v>106</v>
      </c>
      <c r="D187" s="34">
        <v>20.0</v>
      </c>
      <c r="E187" s="34">
        <v>10.3</v>
      </c>
      <c r="F187" s="34">
        <v>52.5</v>
      </c>
      <c r="G187" s="35"/>
    </row>
    <row r="188" ht="15.75" customHeight="1">
      <c r="A188" s="25" t="s">
        <v>58</v>
      </c>
      <c r="C188" s="25" t="s">
        <v>102</v>
      </c>
      <c r="D188" s="34">
        <v>22.5</v>
      </c>
      <c r="E188" s="34">
        <v>12.0</v>
      </c>
      <c r="F188" s="34">
        <v>45.8</v>
      </c>
      <c r="G188" s="35"/>
    </row>
    <row r="189" ht="15.75" customHeight="1">
      <c r="A189" s="25" t="s">
        <v>58</v>
      </c>
      <c r="C189" s="25" t="s">
        <v>76</v>
      </c>
      <c r="D189" s="34">
        <v>21.5</v>
      </c>
      <c r="E189" s="34">
        <v>11.6</v>
      </c>
      <c r="F189" s="34">
        <v>52.8</v>
      </c>
      <c r="G189" s="35"/>
    </row>
    <row r="190" ht="15.75" customHeight="1">
      <c r="A190" s="25" t="s">
        <v>58</v>
      </c>
      <c r="C190" s="25" t="s">
        <v>70</v>
      </c>
      <c r="D190" s="34">
        <v>18.3</v>
      </c>
      <c r="E190" s="34">
        <v>10.0</v>
      </c>
      <c r="F190" s="34">
        <v>49.6</v>
      </c>
      <c r="G190" s="35"/>
    </row>
    <row r="191" ht="15.75" customHeight="1">
      <c r="A191" s="25" t="s">
        <v>58</v>
      </c>
      <c r="C191" s="25" t="s">
        <v>64</v>
      </c>
      <c r="D191" s="34">
        <v>15.8</v>
      </c>
      <c r="E191" s="34">
        <v>8.8</v>
      </c>
      <c r="F191" s="34">
        <v>65.1</v>
      </c>
      <c r="G191" s="35"/>
    </row>
    <row r="192" ht="15.75" customHeight="1">
      <c r="A192" s="25" t="s">
        <v>58</v>
      </c>
      <c r="C192" s="25" t="s">
        <v>49</v>
      </c>
      <c r="D192" s="34">
        <v>11.5</v>
      </c>
      <c r="E192" s="34">
        <v>5.3</v>
      </c>
      <c r="F192" s="34">
        <v>66.6</v>
      </c>
      <c r="G192" s="35"/>
    </row>
    <row r="193" ht="15.75" customHeight="1">
      <c r="A193" s="25" t="s">
        <v>58</v>
      </c>
      <c r="C193" s="25" t="s">
        <v>123</v>
      </c>
      <c r="D193" s="34">
        <v>8.8</v>
      </c>
      <c r="E193" s="34">
        <v>3.1</v>
      </c>
      <c r="F193" s="34">
        <v>57.1</v>
      </c>
      <c r="G193" s="35"/>
    </row>
    <row r="194" ht="15.75" customHeight="1">
      <c r="A194" s="25" t="s">
        <v>133</v>
      </c>
      <c r="C194" s="25" t="s">
        <v>87</v>
      </c>
      <c r="D194" s="28">
        <v>7.7</v>
      </c>
      <c r="E194" s="28">
        <v>2.3</v>
      </c>
      <c r="F194" s="28">
        <v>138.3</v>
      </c>
    </row>
    <row r="195" ht="15.75" customHeight="1">
      <c r="A195" s="25" t="s">
        <v>133</v>
      </c>
      <c r="C195" s="25" t="s">
        <v>86</v>
      </c>
      <c r="D195" s="28">
        <v>8.1</v>
      </c>
      <c r="E195" s="28">
        <v>2.1</v>
      </c>
      <c r="F195" s="28">
        <v>104.5</v>
      </c>
    </row>
    <row r="196" ht="15.75" customHeight="1">
      <c r="A196" s="25" t="s">
        <v>133</v>
      </c>
      <c r="C196" s="25" t="s">
        <v>83</v>
      </c>
      <c r="D196" s="28">
        <v>10.1</v>
      </c>
      <c r="E196" s="28">
        <v>3.2</v>
      </c>
      <c r="F196" s="28">
        <v>90.0</v>
      </c>
    </row>
    <row r="197" ht="15.75" customHeight="1">
      <c r="A197" s="25" t="s">
        <v>133</v>
      </c>
      <c r="C197" s="25" t="s">
        <v>78</v>
      </c>
      <c r="D197" s="28">
        <v>12.8</v>
      </c>
      <c r="E197" s="28">
        <v>4.6</v>
      </c>
      <c r="F197" s="28">
        <v>78.5</v>
      </c>
    </row>
    <row r="198" ht="15.75" customHeight="1">
      <c r="A198" s="25" t="s">
        <v>133</v>
      </c>
      <c r="C198" s="25" t="s">
        <v>132</v>
      </c>
      <c r="D198" s="28">
        <v>15.8</v>
      </c>
      <c r="E198" s="28">
        <v>7.1</v>
      </c>
      <c r="F198" s="28">
        <v>75.0</v>
      </c>
    </row>
    <row r="199" ht="15.75" customHeight="1">
      <c r="A199" s="25" t="s">
        <v>133</v>
      </c>
      <c r="C199" s="25" t="s">
        <v>106</v>
      </c>
      <c r="D199" s="28">
        <v>18.4</v>
      </c>
      <c r="E199" s="28">
        <v>9.9</v>
      </c>
      <c r="F199" s="28">
        <v>73.5</v>
      </c>
    </row>
    <row r="200" ht="15.75" customHeight="1">
      <c r="A200" s="25" t="s">
        <v>133</v>
      </c>
      <c r="C200" s="25" t="s">
        <v>102</v>
      </c>
      <c r="D200" s="28">
        <v>19.9</v>
      </c>
      <c r="E200" s="28">
        <v>11.2</v>
      </c>
      <c r="F200" s="28">
        <v>83.6</v>
      </c>
    </row>
    <row r="201" ht="15.75" customHeight="1">
      <c r="A201" s="25" t="s">
        <v>133</v>
      </c>
      <c r="C201" s="25" t="s">
        <v>76</v>
      </c>
      <c r="D201" s="28">
        <v>19.4</v>
      </c>
      <c r="E201" s="28">
        <v>11.0</v>
      </c>
      <c r="F201" s="28">
        <v>104.8</v>
      </c>
    </row>
    <row r="202" ht="15.75" customHeight="1">
      <c r="A202" s="25" t="s">
        <v>133</v>
      </c>
      <c r="C202" s="25" t="s">
        <v>70</v>
      </c>
      <c r="D202" s="28">
        <v>17.5</v>
      </c>
      <c r="E202" s="28">
        <v>10.7</v>
      </c>
      <c r="F202" s="28">
        <v>86.3</v>
      </c>
    </row>
    <row r="203" ht="15.75" customHeight="1">
      <c r="A203" s="25" t="s">
        <v>133</v>
      </c>
      <c r="C203" s="25" t="s">
        <v>64</v>
      </c>
      <c r="D203" s="28">
        <v>15.3</v>
      </c>
      <c r="E203" s="28">
        <v>8.0</v>
      </c>
      <c r="F203" s="28">
        <v>129.1</v>
      </c>
    </row>
    <row r="204" ht="15.75" customHeight="1">
      <c r="A204" s="25" t="s">
        <v>133</v>
      </c>
      <c r="C204" s="25" t="s">
        <v>49</v>
      </c>
      <c r="D204" s="28">
        <v>11.6</v>
      </c>
      <c r="E204" s="28">
        <v>4.9</v>
      </c>
      <c r="F204" s="28">
        <v>130.6</v>
      </c>
    </row>
    <row r="205" ht="15.75" customHeight="1">
      <c r="A205" s="25" t="s">
        <v>133</v>
      </c>
      <c r="C205" s="25" t="s">
        <v>123</v>
      </c>
      <c r="D205" s="28">
        <v>9.1</v>
      </c>
      <c r="E205" s="28">
        <v>2.9</v>
      </c>
      <c r="F205" s="28">
        <v>139.6</v>
      </c>
    </row>
    <row r="206" ht="15.75" customHeight="1">
      <c r="A206" s="25" t="s">
        <v>62</v>
      </c>
      <c r="C206" s="25" t="s">
        <v>87</v>
      </c>
      <c r="D206" s="28">
        <v>28.5</v>
      </c>
      <c r="E206" s="28">
        <v>21.8</v>
      </c>
      <c r="F206" s="28">
        <v>122.1</v>
      </c>
    </row>
    <row r="207" ht="15.75" customHeight="1">
      <c r="A207" s="25" t="s">
        <v>62</v>
      </c>
      <c r="C207" s="25" t="s">
        <v>86</v>
      </c>
      <c r="D207" s="28">
        <v>29.6</v>
      </c>
      <c r="E207" s="28">
        <v>22.6</v>
      </c>
      <c r="F207" s="28">
        <v>89.4</v>
      </c>
    </row>
    <row r="208" ht="15.75" customHeight="1">
      <c r="A208" s="25" t="s">
        <v>62</v>
      </c>
      <c r="C208" s="25" t="s">
        <v>83</v>
      </c>
      <c r="D208" s="28">
        <v>31.4</v>
      </c>
      <c r="E208" s="28">
        <v>23.8</v>
      </c>
      <c r="F208" s="28">
        <v>113.9</v>
      </c>
    </row>
    <row r="209" ht="15.75" customHeight="1">
      <c r="A209" s="25" t="s">
        <v>62</v>
      </c>
      <c r="C209" s="25" t="s">
        <v>78</v>
      </c>
      <c r="D209" s="28">
        <v>32.6</v>
      </c>
      <c r="E209" s="28">
        <v>25.0</v>
      </c>
      <c r="F209" s="28">
        <v>118.9</v>
      </c>
    </row>
    <row r="210" ht="15.75" customHeight="1">
      <c r="A210" s="25" t="s">
        <v>62</v>
      </c>
      <c r="C210" s="25" t="s">
        <v>132</v>
      </c>
      <c r="D210" s="28">
        <v>32.2</v>
      </c>
      <c r="E210" s="28">
        <v>25.4</v>
      </c>
      <c r="F210" s="28">
        <v>169.1</v>
      </c>
    </row>
    <row r="211" ht="15.75" customHeight="1">
      <c r="A211" s="25" t="s">
        <v>62</v>
      </c>
      <c r="C211" s="25" t="s">
        <v>106</v>
      </c>
      <c r="D211" s="28">
        <v>31.0</v>
      </c>
      <c r="E211" s="28">
        <v>25.2</v>
      </c>
      <c r="F211" s="28">
        <v>249.6</v>
      </c>
    </row>
    <row r="212" ht="15.75" customHeight="1">
      <c r="A212" s="25" t="s">
        <v>62</v>
      </c>
      <c r="C212" s="25" t="s">
        <v>102</v>
      </c>
      <c r="D212" s="28">
        <v>30.4</v>
      </c>
      <c r="E212" s="28">
        <v>25.0</v>
      </c>
      <c r="F212" s="28">
        <v>285.8</v>
      </c>
    </row>
    <row r="213" ht="15.75" customHeight="1">
      <c r="A213" s="25" t="s">
        <v>62</v>
      </c>
      <c r="C213" s="25" t="s">
        <v>76</v>
      </c>
      <c r="D213" s="28">
        <v>30.2</v>
      </c>
      <c r="E213" s="28">
        <v>24.8</v>
      </c>
      <c r="F213" s="28">
        <v>270.3</v>
      </c>
    </row>
    <row r="214" ht="15.75" customHeight="1">
      <c r="A214" s="25" t="s">
        <v>62</v>
      </c>
      <c r="C214" s="25" t="s">
        <v>70</v>
      </c>
      <c r="D214" s="28">
        <v>30.0</v>
      </c>
      <c r="E214" s="28">
        <v>24.6</v>
      </c>
      <c r="F214" s="28">
        <v>223.4</v>
      </c>
    </row>
    <row r="215" ht="15.75" customHeight="1">
      <c r="A215" s="25" t="s">
        <v>62</v>
      </c>
      <c r="C215" s="25" t="s">
        <v>64</v>
      </c>
      <c r="D215" s="28">
        <v>29.6</v>
      </c>
      <c r="E215" s="28">
        <v>24.2</v>
      </c>
      <c r="F215" s="28">
        <v>164.3</v>
      </c>
    </row>
    <row r="216" ht="15.75" customHeight="1">
      <c r="A216" s="25" t="s">
        <v>62</v>
      </c>
      <c r="C216" s="25" t="s">
        <v>49</v>
      </c>
      <c r="D216" s="28">
        <v>29.2</v>
      </c>
      <c r="E216" s="28">
        <v>23.8</v>
      </c>
      <c r="F216" s="28">
        <v>148.6</v>
      </c>
    </row>
    <row r="217" ht="15.75" customHeight="1">
      <c r="A217" s="25" t="s">
        <v>62</v>
      </c>
      <c r="C217" s="25" t="s">
        <v>123</v>
      </c>
      <c r="D217" s="28">
        <v>28.8</v>
      </c>
      <c r="E217" s="28">
        <v>23.4</v>
      </c>
      <c r="F217" s="28">
        <v>121.9</v>
      </c>
    </row>
    <row r="218" ht="15.75" customHeight="1">
      <c r="A218" s="25" t="s">
        <v>134</v>
      </c>
      <c r="C218" s="25" t="s">
        <v>87</v>
      </c>
      <c r="D218" s="28">
        <v>25.3</v>
      </c>
      <c r="E218" s="28">
        <v>16.4</v>
      </c>
      <c r="F218" s="28">
        <v>10.0</v>
      </c>
    </row>
    <row r="219" ht="15.75" customHeight="1">
      <c r="A219" s="25" t="s">
        <v>134</v>
      </c>
      <c r="C219" s="25" t="s">
        <v>86</v>
      </c>
      <c r="D219" s="28">
        <v>28.0</v>
      </c>
      <c r="E219" s="28">
        <v>18.6</v>
      </c>
      <c r="F219" s="28">
        <v>25.8</v>
      </c>
    </row>
    <row r="220" ht="15.75" customHeight="1">
      <c r="A220" s="25" t="s">
        <v>134</v>
      </c>
      <c r="C220" s="25" t="s">
        <v>83</v>
      </c>
      <c r="D220" s="28">
        <v>30.7</v>
      </c>
      <c r="E220" s="28">
        <v>21.3</v>
      </c>
      <c r="F220" s="28">
        <v>33.9</v>
      </c>
    </row>
    <row r="221" ht="15.75" customHeight="1">
      <c r="A221" s="25" t="s">
        <v>134</v>
      </c>
      <c r="C221" s="25" t="s">
        <v>78</v>
      </c>
      <c r="D221" s="28">
        <v>34.2</v>
      </c>
      <c r="E221" s="28">
        <v>24.8</v>
      </c>
      <c r="F221" s="28">
        <v>23.4</v>
      </c>
    </row>
    <row r="222" ht="15.75" customHeight="1">
      <c r="A222" s="25" t="s">
        <v>134</v>
      </c>
      <c r="C222" s="25" t="s">
        <v>132</v>
      </c>
      <c r="D222" s="28">
        <v>39.2</v>
      </c>
      <c r="E222" s="28">
        <v>28.3</v>
      </c>
      <c r="F222" s="28">
        <v>7.2</v>
      </c>
    </row>
    <row r="223" ht="15.75" customHeight="1">
      <c r="A223" s="25" t="s">
        <v>134</v>
      </c>
      <c r="C223" s="25" t="s">
        <v>106</v>
      </c>
      <c r="D223" s="28">
        <v>41.1</v>
      </c>
      <c r="E223" s="28">
        <v>31.4</v>
      </c>
      <c r="F223" s="28">
        <v>0.1</v>
      </c>
    </row>
    <row r="224" ht="15.75" customHeight="1">
      <c r="A224" s="25" t="s">
        <v>134</v>
      </c>
      <c r="C224" s="25" t="s">
        <v>102</v>
      </c>
      <c r="D224" s="28">
        <v>41.7</v>
      </c>
      <c r="E224" s="28">
        <v>32.4</v>
      </c>
      <c r="F224" s="28">
        <v>0.0</v>
      </c>
    </row>
    <row r="225" ht="15.75" customHeight="1">
      <c r="A225" s="25" t="s">
        <v>134</v>
      </c>
      <c r="C225" s="25" t="s">
        <v>76</v>
      </c>
      <c r="D225" s="28">
        <v>41.4</v>
      </c>
      <c r="E225" s="28">
        <v>32.1</v>
      </c>
      <c r="F225" s="28">
        <v>0.0</v>
      </c>
    </row>
    <row r="226" ht="15.75" customHeight="1">
      <c r="A226" s="25" t="s">
        <v>134</v>
      </c>
      <c r="C226" s="25" t="s">
        <v>70</v>
      </c>
      <c r="D226" s="28">
        <v>40.3</v>
      </c>
      <c r="E226" s="28">
        <v>29.4</v>
      </c>
      <c r="F226" s="28">
        <v>1.3</v>
      </c>
    </row>
    <row r="227" ht="15.75" customHeight="1">
      <c r="A227" s="25" t="s">
        <v>134</v>
      </c>
      <c r="C227" s="25" t="s">
        <v>64</v>
      </c>
      <c r="D227" s="28">
        <v>36.9</v>
      </c>
      <c r="E227" s="28">
        <v>27.0</v>
      </c>
      <c r="F227" s="28">
        <v>4.6</v>
      </c>
    </row>
    <row r="228" ht="15.75" customHeight="1">
      <c r="A228" s="25" t="s">
        <v>134</v>
      </c>
      <c r="C228" s="25" t="s">
        <v>49</v>
      </c>
      <c r="D228" s="28">
        <v>31.8</v>
      </c>
      <c r="E228" s="28">
        <v>23.6</v>
      </c>
      <c r="F228" s="28">
        <v>12.7</v>
      </c>
    </row>
    <row r="229" ht="15.75" customHeight="1">
      <c r="A229" s="25" t="s">
        <v>134</v>
      </c>
      <c r="C229" s="25" t="s">
        <v>123</v>
      </c>
      <c r="D229" s="28">
        <v>27.8</v>
      </c>
      <c r="E229" s="28">
        <v>19.0</v>
      </c>
      <c r="F229" s="28">
        <v>14.7</v>
      </c>
    </row>
    <row r="230" ht="15.75" customHeight="1">
      <c r="A230" s="25" t="s">
        <v>54</v>
      </c>
      <c r="C230" s="25" t="s">
        <v>87</v>
      </c>
      <c r="D230" s="28">
        <v>26.5</v>
      </c>
      <c r="E230" s="28">
        <v>15.9</v>
      </c>
      <c r="F230" s="28">
        <v>125.1</v>
      </c>
    </row>
    <row r="231" ht="15.75" customHeight="1">
      <c r="A231" s="25" t="s">
        <v>54</v>
      </c>
      <c r="C231" s="25" t="s">
        <v>86</v>
      </c>
      <c r="D231" s="28">
        <v>26.4</v>
      </c>
      <c r="E231" s="28">
        <v>15.8</v>
      </c>
      <c r="F231" s="28">
        <v>117.7</v>
      </c>
    </row>
    <row r="232" ht="15.75" customHeight="1">
      <c r="A232" s="25" t="s">
        <v>54</v>
      </c>
      <c r="C232" s="25" t="s">
        <v>83</v>
      </c>
      <c r="D232" s="28">
        <v>25.9</v>
      </c>
      <c r="E232" s="28">
        <v>15.5</v>
      </c>
      <c r="F232" s="28">
        <v>107.2</v>
      </c>
    </row>
    <row r="233" ht="15.75" customHeight="1">
      <c r="A233" s="25" t="s">
        <v>54</v>
      </c>
      <c r="C233" s="25" t="s">
        <v>78</v>
      </c>
      <c r="D233" s="28">
        <v>23.6</v>
      </c>
      <c r="E233" s="28">
        <v>13.2</v>
      </c>
      <c r="F233" s="28">
        <v>96.7</v>
      </c>
    </row>
    <row r="234" ht="15.75" customHeight="1">
      <c r="A234" s="25" t="s">
        <v>54</v>
      </c>
      <c r="C234" s="25" t="s">
        <v>132</v>
      </c>
      <c r="D234" s="28">
        <v>22.2</v>
      </c>
      <c r="E234" s="28">
        <v>11.4</v>
      </c>
      <c r="F234" s="28">
        <v>86.1</v>
      </c>
    </row>
    <row r="235" ht="15.75" customHeight="1">
      <c r="A235" s="25" t="s">
        <v>54</v>
      </c>
      <c r="C235" s="25" t="s">
        <v>106</v>
      </c>
      <c r="D235" s="28">
        <v>19.0</v>
      </c>
      <c r="E235" s="28">
        <v>9.6</v>
      </c>
      <c r="F235" s="28">
        <v>72.1</v>
      </c>
    </row>
    <row r="236" ht="15.75" customHeight="1">
      <c r="A236" s="25" t="s">
        <v>54</v>
      </c>
      <c r="C236" s="25" t="s">
        <v>102</v>
      </c>
      <c r="D236" s="28">
        <v>17.6</v>
      </c>
      <c r="E236" s="28">
        <v>7.1</v>
      </c>
      <c r="F236" s="28">
        <v>68.6</v>
      </c>
    </row>
    <row r="237" ht="15.75" customHeight="1">
      <c r="A237" s="25" t="s">
        <v>54</v>
      </c>
      <c r="C237" s="25" t="s">
        <v>76</v>
      </c>
      <c r="D237" s="28">
        <v>18.6</v>
      </c>
      <c r="E237" s="28">
        <v>8.1</v>
      </c>
      <c r="F237" s="28">
        <v>76.2</v>
      </c>
    </row>
    <row r="238" ht="15.75" customHeight="1">
      <c r="A238" s="25" t="s">
        <v>54</v>
      </c>
      <c r="C238" s="25" t="s">
        <v>70</v>
      </c>
      <c r="D238" s="28">
        <v>21.4</v>
      </c>
      <c r="E238" s="28">
        <v>10.5</v>
      </c>
      <c r="F238" s="28">
        <v>84.4</v>
      </c>
    </row>
    <row r="239" ht="15.75" customHeight="1">
      <c r="A239" s="25" t="s">
        <v>54</v>
      </c>
      <c r="C239" s="25" t="s">
        <v>64</v>
      </c>
      <c r="D239" s="28">
        <v>23.8</v>
      </c>
      <c r="E239" s="28">
        <v>12.9</v>
      </c>
      <c r="F239" s="28">
        <v>98.4</v>
      </c>
    </row>
    <row r="240" ht="15.75" customHeight="1">
      <c r="A240" s="25" t="s">
        <v>54</v>
      </c>
      <c r="C240" s="25" t="s">
        <v>49</v>
      </c>
      <c r="D240" s="28">
        <v>26.2</v>
      </c>
      <c r="E240" s="28">
        <v>15.0</v>
      </c>
      <c r="F240" s="28">
        <v>114.7</v>
      </c>
    </row>
    <row r="241" ht="15.75" customHeight="1">
      <c r="A241" s="25" t="s">
        <v>54</v>
      </c>
      <c r="C241" s="25" t="s">
        <v>123</v>
      </c>
      <c r="D241" s="28">
        <v>28.1</v>
      </c>
      <c r="E241" s="28">
        <v>16.6</v>
      </c>
      <c r="F241" s="28">
        <v>124.8</v>
      </c>
    </row>
    <row r="242" ht="15.75" customHeight="1">
      <c r="A242" s="25" t="s">
        <v>56</v>
      </c>
      <c r="C242" s="25" t="s">
        <v>87</v>
      </c>
      <c r="D242" s="28">
        <v>17.8</v>
      </c>
      <c r="E242" s="28">
        <v>10.8</v>
      </c>
      <c r="F242" s="28">
        <v>79.9</v>
      </c>
    </row>
    <row r="243" ht="15.75" customHeight="1">
      <c r="A243" s="25" t="s">
        <v>56</v>
      </c>
      <c r="C243" s="25" t="s">
        <v>86</v>
      </c>
      <c r="D243" s="28">
        <v>17.9</v>
      </c>
      <c r="E243" s="28">
        <v>11.3</v>
      </c>
      <c r="F243" s="28">
        <v>78.4</v>
      </c>
    </row>
    <row r="244" ht="15.75" customHeight="1">
      <c r="A244" s="25" t="s">
        <v>56</v>
      </c>
      <c r="C244" s="25" t="s">
        <v>83</v>
      </c>
      <c r="D244" s="28">
        <v>16.6</v>
      </c>
      <c r="E244" s="28">
        <v>9.9</v>
      </c>
      <c r="F244" s="28">
        <v>72.8</v>
      </c>
    </row>
    <row r="245" ht="15.75" customHeight="1">
      <c r="A245" s="25" t="s">
        <v>56</v>
      </c>
      <c r="C245" s="25" t="s">
        <v>78</v>
      </c>
      <c r="D245" s="28">
        <v>14.4</v>
      </c>
      <c r="E245" s="28">
        <v>8.4</v>
      </c>
      <c r="F245" s="28">
        <v>64.4</v>
      </c>
    </row>
    <row r="246" ht="15.75" customHeight="1">
      <c r="A246" s="25" t="s">
        <v>56</v>
      </c>
      <c r="C246" s="25" t="s">
        <v>132</v>
      </c>
      <c r="D246" s="28">
        <v>12.0</v>
      </c>
      <c r="E246" s="28">
        <v>6.7</v>
      </c>
      <c r="F246" s="28">
        <v>60.8</v>
      </c>
    </row>
    <row r="247" ht="15.75" customHeight="1">
      <c r="A247" s="25" t="s">
        <v>56</v>
      </c>
      <c r="C247" s="25" t="s">
        <v>106</v>
      </c>
      <c r="D247" s="28">
        <v>10.2</v>
      </c>
      <c r="E247" s="28">
        <v>4.9</v>
      </c>
      <c r="F247" s="28">
        <v>66.8</v>
      </c>
    </row>
    <row r="248" ht="15.75" customHeight="1">
      <c r="A248" s="25" t="s">
        <v>56</v>
      </c>
      <c r="C248" s="25" t="s">
        <v>102</v>
      </c>
      <c r="D248" s="28">
        <v>9.5</v>
      </c>
      <c r="E248" s="28">
        <v>4.3</v>
      </c>
      <c r="F248" s="28">
        <v>68.2</v>
      </c>
    </row>
    <row r="249" ht="15.75" customHeight="1">
      <c r="A249" s="25" t="s">
        <v>56</v>
      </c>
      <c r="C249" s="25" t="s">
        <v>76</v>
      </c>
      <c r="D249" s="28">
        <v>9.9</v>
      </c>
      <c r="E249" s="28">
        <v>5.0</v>
      </c>
      <c r="F249" s="28">
        <v>64.8</v>
      </c>
    </row>
    <row r="250" ht="15.75" customHeight="1">
      <c r="A250" s="25" t="s">
        <v>56</v>
      </c>
      <c r="C250" s="25" t="s">
        <v>70</v>
      </c>
      <c r="D250" s="28">
        <v>11.3</v>
      </c>
      <c r="E250" s="28">
        <v>6.4</v>
      </c>
      <c r="F250" s="28">
        <v>61.9</v>
      </c>
    </row>
    <row r="251" ht="15.75" customHeight="1">
      <c r="A251" s="25" t="s">
        <v>56</v>
      </c>
      <c r="C251" s="25" t="s">
        <v>64</v>
      </c>
      <c r="D251" s="28">
        <v>12.9</v>
      </c>
      <c r="E251" s="28">
        <v>8.0</v>
      </c>
      <c r="F251" s="28">
        <v>68.7</v>
      </c>
    </row>
    <row r="252" ht="15.75" customHeight="1">
      <c r="A252" s="25" t="s">
        <v>56</v>
      </c>
      <c r="C252" s="25" t="s">
        <v>49</v>
      </c>
      <c r="D252" s="28">
        <v>14.5</v>
      </c>
      <c r="E252" s="28">
        <v>9.5</v>
      </c>
      <c r="F252" s="28">
        <v>76.3</v>
      </c>
    </row>
    <row r="253" ht="15.75" customHeight="1">
      <c r="A253" s="25" t="s">
        <v>56</v>
      </c>
      <c r="C253" s="25" t="s">
        <v>123</v>
      </c>
      <c r="D253" s="28">
        <v>16.4</v>
      </c>
      <c r="E253" s="28">
        <v>11.0</v>
      </c>
      <c r="F253" s="28">
        <v>79.6</v>
      </c>
    </row>
    <row r="254" ht="15.75" customHeight="1">
      <c r="A254" s="25" t="s">
        <v>61</v>
      </c>
      <c r="C254" s="25" t="s">
        <v>87</v>
      </c>
      <c r="D254" s="28">
        <v>25.9</v>
      </c>
      <c r="E254" s="28">
        <v>13.8</v>
      </c>
      <c r="F254" s="28">
        <v>17.3</v>
      </c>
    </row>
    <row r="255" ht="15.75" customHeight="1">
      <c r="A255" s="25" t="s">
        <v>61</v>
      </c>
      <c r="C255" s="25" t="s">
        <v>86</v>
      </c>
      <c r="D255" s="28">
        <v>28.2</v>
      </c>
      <c r="E255" s="28">
        <v>16.0</v>
      </c>
      <c r="F255" s="28">
        <v>20.1</v>
      </c>
    </row>
    <row r="256" ht="15.75" customHeight="1">
      <c r="A256" s="25" t="s">
        <v>61</v>
      </c>
      <c r="C256" s="25" t="s">
        <v>83</v>
      </c>
      <c r="D256" s="28">
        <v>30.4</v>
      </c>
      <c r="E256" s="28">
        <v>18.2</v>
      </c>
      <c r="F256" s="28">
        <v>30.7</v>
      </c>
    </row>
    <row r="257" ht="15.75" customHeight="1">
      <c r="A257" s="25" t="s">
        <v>61</v>
      </c>
      <c r="C257" s="25" t="s">
        <v>78</v>
      </c>
      <c r="D257" s="28">
        <v>32.6</v>
      </c>
      <c r="E257" s="28">
        <v>20.4</v>
      </c>
      <c r="F257" s="28">
        <v>49.0</v>
      </c>
    </row>
    <row r="258" ht="15.75" customHeight="1">
      <c r="A258" s="25" t="s">
        <v>61</v>
      </c>
      <c r="C258" s="25" t="s">
        <v>132</v>
      </c>
      <c r="D258" s="28">
        <v>34.2</v>
      </c>
      <c r="E258" s="28">
        <v>22.4</v>
      </c>
      <c r="F258" s="28">
        <v>68.6</v>
      </c>
    </row>
    <row r="259" ht="15.75" customHeight="1">
      <c r="A259" s="25" t="s">
        <v>61</v>
      </c>
      <c r="C259" s="25" t="s">
        <v>106</v>
      </c>
      <c r="D259" s="28">
        <v>33.0</v>
      </c>
      <c r="E259" s="28">
        <v>23.6</v>
      </c>
      <c r="F259" s="28">
        <v>233.2</v>
      </c>
    </row>
    <row r="260" ht="15.75" customHeight="1">
      <c r="A260" s="25" t="s">
        <v>61</v>
      </c>
      <c r="C260" s="25" t="s">
        <v>102</v>
      </c>
      <c r="D260" s="28">
        <v>32.6</v>
      </c>
      <c r="E260" s="28">
        <v>24.4</v>
      </c>
      <c r="F260" s="28">
        <v>328.8</v>
      </c>
    </row>
    <row r="261" ht="15.75" customHeight="1">
      <c r="A261" s="25" t="s">
        <v>61</v>
      </c>
      <c r="C261" s="25" t="s">
        <v>76</v>
      </c>
      <c r="D261" s="28">
        <v>32.2</v>
      </c>
      <c r="E261" s="28">
        <v>24.0</v>
      </c>
      <c r="F261" s="28">
        <v>285.8</v>
      </c>
    </row>
    <row r="262" ht="15.75" customHeight="1">
      <c r="A262" s="25" t="s">
        <v>61</v>
      </c>
      <c r="C262" s="25" t="s">
        <v>70</v>
      </c>
      <c r="D262" s="28">
        <v>31.8</v>
      </c>
      <c r="E262" s="28">
        <v>23.6</v>
      </c>
      <c r="F262" s="28">
        <v>249.6</v>
      </c>
    </row>
    <row r="263" ht="15.75" customHeight="1">
      <c r="A263" s="25" t="s">
        <v>61</v>
      </c>
      <c r="C263" s="25" t="s">
        <v>64</v>
      </c>
      <c r="D263" s="28">
        <v>29.8</v>
      </c>
      <c r="E263" s="28">
        <v>22.2</v>
      </c>
      <c r="F263" s="28">
        <v>164.3</v>
      </c>
    </row>
    <row r="264" ht="15.75" customHeight="1">
      <c r="A264" s="25" t="s">
        <v>61</v>
      </c>
      <c r="C264" s="25" t="s">
        <v>49</v>
      </c>
      <c r="D264" s="28">
        <v>27.6</v>
      </c>
      <c r="E264" s="28">
        <v>18.2</v>
      </c>
      <c r="F264" s="28">
        <v>43.9</v>
      </c>
    </row>
    <row r="265" ht="15.75" customHeight="1">
      <c r="A265" s="25" t="s">
        <v>61</v>
      </c>
      <c r="C265" s="25" t="s">
        <v>123</v>
      </c>
      <c r="D265" s="28">
        <v>25.4</v>
      </c>
      <c r="E265" s="28">
        <v>13.8</v>
      </c>
      <c r="F265" s="28">
        <v>19.8</v>
      </c>
    </row>
    <row r="266" ht="15.75" customHeight="1">
      <c r="A266" s="25" t="s">
        <v>47</v>
      </c>
      <c r="B266" s="25" t="s">
        <v>91</v>
      </c>
      <c r="C266" s="25" t="s">
        <v>87</v>
      </c>
      <c r="D266" s="28">
        <v>29.7</v>
      </c>
      <c r="E266" s="28">
        <v>22.3</v>
      </c>
      <c r="F266" s="28">
        <v>44.1</v>
      </c>
    </row>
    <row r="267" ht="15.75" customHeight="1">
      <c r="A267" s="25" t="s">
        <v>47</v>
      </c>
      <c r="B267" s="25" t="s">
        <v>91</v>
      </c>
      <c r="C267" s="25" t="s">
        <v>86</v>
      </c>
      <c r="D267" s="28">
        <v>31.3</v>
      </c>
      <c r="E267" s="28">
        <v>23.5</v>
      </c>
      <c r="F267" s="28">
        <v>43.7</v>
      </c>
    </row>
    <row r="268" ht="15.75" customHeight="1">
      <c r="A268" s="25" t="s">
        <v>47</v>
      </c>
      <c r="B268" s="25" t="s">
        <v>91</v>
      </c>
      <c r="C268" s="25" t="s">
        <v>83</v>
      </c>
      <c r="D268" s="28">
        <v>32.7</v>
      </c>
      <c r="E268" s="28">
        <v>25.0</v>
      </c>
      <c r="F268" s="28">
        <v>43.2</v>
      </c>
    </row>
    <row r="269" ht="15.75" customHeight="1">
      <c r="A269" s="25" t="s">
        <v>47</v>
      </c>
      <c r="B269" s="25" t="s">
        <v>91</v>
      </c>
      <c r="C269" s="25" t="s">
        <v>78</v>
      </c>
      <c r="D269" s="28">
        <v>33.6</v>
      </c>
      <c r="E269" s="28">
        <v>26.1</v>
      </c>
      <c r="F269" s="28">
        <v>79.9</v>
      </c>
    </row>
    <row r="270" ht="15.75" customHeight="1">
      <c r="A270" s="25" t="s">
        <v>47</v>
      </c>
      <c r="B270" s="25" t="s">
        <v>91</v>
      </c>
      <c r="C270" s="25" t="s">
        <v>132</v>
      </c>
      <c r="D270" s="28">
        <v>32.6</v>
      </c>
      <c r="E270" s="28">
        <v>25.9</v>
      </c>
      <c r="F270" s="28">
        <v>147.3</v>
      </c>
    </row>
    <row r="271" ht="15.75" customHeight="1">
      <c r="A271" s="25" t="s">
        <v>47</v>
      </c>
      <c r="B271" s="25" t="s">
        <v>91</v>
      </c>
      <c r="C271" s="25" t="s">
        <v>106</v>
      </c>
      <c r="D271" s="28">
        <v>30.5</v>
      </c>
      <c r="E271" s="28">
        <v>25.0</v>
      </c>
      <c r="F271" s="28">
        <v>207.4</v>
      </c>
    </row>
    <row r="272" ht="15.75" customHeight="1">
      <c r="A272" s="25" t="s">
        <v>47</v>
      </c>
      <c r="B272" s="25" t="s">
        <v>91</v>
      </c>
      <c r="C272" s="25" t="s">
        <v>102</v>
      </c>
      <c r="D272" s="28">
        <v>29.8</v>
      </c>
      <c r="E272" s="28">
        <v>24.6</v>
      </c>
      <c r="F272" s="28">
        <v>217.3</v>
      </c>
    </row>
    <row r="273" ht="15.75" customHeight="1">
      <c r="A273" s="25" t="s">
        <v>47</v>
      </c>
      <c r="B273" s="25" t="s">
        <v>91</v>
      </c>
      <c r="C273" s="25" t="s">
        <v>76</v>
      </c>
      <c r="D273" s="28">
        <v>29.6</v>
      </c>
      <c r="E273" s="28">
        <v>24.4</v>
      </c>
      <c r="F273" s="28">
        <v>244.0</v>
      </c>
    </row>
    <row r="274" ht="15.75" customHeight="1">
      <c r="A274" s="25" t="s">
        <v>47</v>
      </c>
      <c r="B274" s="25" t="s">
        <v>91</v>
      </c>
      <c r="C274" s="25" t="s">
        <v>70</v>
      </c>
      <c r="D274" s="28">
        <v>30.1</v>
      </c>
      <c r="E274" s="28">
        <v>24.7</v>
      </c>
      <c r="F274" s="28">
        <v>227.1</v>
      </c>
    </row>
    <row r="275" ht="15.75" customHeight="1">
      <c r="A275" s="25" t="s">
        <v>47</v>
      </c>
      <c r="B275" s="25" t="s">
        <v>91</v>
      </c>
      <c r="C275" s="25" t="s">
        <v>64</v>
      </c>
      <c r="D275" s="28">
        <v>30.9</v>
      </c>
      <c r="E275" s="28">
        <v>24.7</v>
      </c>
      <c r="F275" s="28">
        <v>181.5</v>
      </c>
    </row>
    <row r="276" ht="15.75" customHeight="1">
      <c r="A276" s="25" t="s">
        <v>47</v>
      </c>
      <c r="B276" s="25" t="s">
        <v>91</v>
      </c>
      <c r="C276" s="25" t="s">
        <v>49</v>
      </c>
      <c r="D276" s="28">
        <v>29.8</v>
      </c>
      <c r="E276" s="28">
        <v>23.9</v>
      </c>
      <c r="F276" s="28">
        <v>125.3</v>
      </c>
    </row>
    <row r="277" ht="15.75" customHeight="1">
      <c r="A277" s="25" t="s">
        <v>47</v>
      </c>
      <c r="B277" s="25" t="s">
        <v>91</v>
      </c>
      <c r="C277" s="25" t="s">
        <v>123</v>
      </c>
      <c r="D277" s="28">
        <v>29.4</v>
      </c>
      <c r="E277" s="28">
        <v>22.8</v>
      </c>
      <c r="F277" s="28">
        <v>52.2</v>
      </c>
    </row>
    <row r="278" ht="15.75" customHeight="1">
      <c r="A278" s="25" t="s">
        <v>47</v>
      </c>
      <c r="B278" s="25" t="s">
        <v>107</v>
      </c>
      <c r="C278" s="25" t="s">
        <v>87</v>
      </c>
      <c r="D278" s="28">
        <v>27.7</v>
      </c>
      <c r="E278" s="28">
        <v>20.8</v>
      </c>
      <c r="F278" s="28">
        <v>14.5</v>
      </c>
    </row>
    <row r="279" ht="15.75" customHeight="1">
      <c r="A279" s="25" t="s">
        <v>47</v>
      </c>
      <c r="B279" s="25" t="s">
        <v>107</v>
      </c>
      <c r="C279" s="25" t="s">
        <v>86</v>
      </c>
      <c r="D279" s="28">
        <v>29.6</v>
      </c>
      <c r="E279" s="28">
        <v>22.0</v>
      </c>
      <c r="F279" s="28">
        <v>10.9</v>
      </c>
    </row>
    <row r="280" ht="15.75" customHeight="1">
      <c r="A280" s="25" t="s">
        <v>47</v>
      </c>
      <c r="B280" s="25" t="s">
        <v>107</v>
      </c>
      <c r="C280" s="25" t="s">
        <v>83</v>
      </c>
      <c r="D280" s="28">
        <v>31.4</v>
      </c>
      <c r="E280" s="28">
        <v>23.2</v>
      </c>
      <c r="F280" s="28">
        <v>4.6</v>
      </c>
    </row>
    <row r="281" ht="15.75" customHeight="1">
      <c r="A281" s="25" t="s">
        <v>47</v>
      </c>
      <c r="B281" s="25" t="s">
        <v>107</v>
      </c>
      <c r="C281" s="25" t="s">
        <v>78</v>
      </c>
      <c r="D281" s="28">
        <v>33.2</v>
      </c>
      <c r="E281" s="28">
        <v>24.4</v>
      </c>
      <c r="F281" s="28">
        <v>0.8</v>
      </c>
    </row>
    <row r="282" ht="15.75" customHeight="1">
      <c r="A282" s="25" t="s">
        <v>47</v>
      </c>
      <c r="B282" s="25" t="s">
        <v>107</v>
      </c>
      <c r="C282" s="25" t="s">
        <v>132</v>
      </c>
      <c r="D282" s="28">
        <v>35.0</v>
      </c>
      <c r="E282" s="28">
        <v>25.6</v>
      </c>
      <c r="F282" s="28">
        <v>0.1</v>
      </c>
    </row>
    <row r="283" ht="15.75" customHeight="1">
      <c r="A283" s="25" t="s">
        <v>47</v>
      </c>
      <c r="B283" s="25" t="s">
        <v>107</v>
      </c>
      <c r="C283" s="25" t="s">
        <v>106</v>
      </c>
      <c r="D283" s="28">
        <v>34.2</v>
      </c>
      <c r="E283" s="28">
        <v>26.2</v>
      </c>
      <c r="F283" s="28">
        <v>62.2</v>
      </c>
    </row>
    <row r="284" ht="15.75" customHeight="1">
      <c r="A284" s="25" t="s">
        <v>47</v>
      </c>
      <c r="B284" s="25" t="s">
        <v>107</v>
      </c>
      <c r="C284" s="25" t="s">
        <v>102</v>
      </c>
      <c r="D284" s="28">
        <v>33.0</v>
      </c>
      <c r="E284" s="28">
        <v>26.0</v>
      </c>
      <c r="F284" s="28">
        <v>322.6</v>
      </c>
    </row>
    <row r="285" ht="15.75" customHeight="1">
      <c r="A285" s="25" t="s">
        <v>47</v>
      </c>
      <c r="B285" s="25" t="s">
        <v>107</v>
      </c>
      <c r="C285" s="25" t="s">
        <v>76</v>
      </c>
      <c r="D285" s="28">
        <v>32.6</v>
      </c>
      <c r="E285" s="28">
        <v>25.4</v>
      </c>
      <c r="F285" s="28">
        <v>270.3</v>
      </c>
    </row>
    <row r="286" ht="15.75" customHeight="1">
      <c r="A286" s="25" t="s">
        <v>47</v>
      </c>
      <c r="B286" s="25" t="s">
        <v>107</v>
      </c>
      <c r="C286" s="25" t="s">
        <v>70</v>
      </c>
      <c r="D286" s="28">
        <v>32.2</v>
      </c>
      <c r="E286" s="28">
        <v>25.2</v>
      </c>
      <c r="F286" s="28">
        <v>223.4</v>
      </c>
    </row>
    <row r="287" ht="15.75" customHeight="1">
      <c r="A287" s="25" t="s">
        <v>47</v>
      </c>
      <c r="B287" s="25" t="s">
        <v>107</v>
      </c>
      <c r="C287" s="25" t="s">
        <v>64</v>
      </c>
      <c r="D287" s="28">
        <v>31.8</v>
      </c>
      <c r="E287" s="28">
        <v>24.2</v>
      </c>
      <c r="F287" s="28">
        <v>164.3</v>
      </c>
    </row>
    <row r="288" ht="15.75" customHeight="1">
      <c r="A288" s="25" t="s">
        <v>47</v>
      </c>
      <c r="B288" s="25" t="s">
        <v>107</v>
      </c>
      <c r="C288" s="25" t="s">
        <v>49</v>
      </c>
      <c r="D288" s="28">
        <v>29.2</v>
      </c>
      <c r="E288" s="28">
        <v>23.8</v>
      </c>
      <c r="F288" s="28">
        <v>148.6</v>
      </c>
    </row>
    <row r="289" ht="15.75" customHeight="1">
      <c r="A289" s="25" t="s">
        <v>47</v>
      </c>
      <c r="B289" s="25" t="s">
        <v>107</v>
      </c>
      <c r="C289" s="25" t="s">
        <v>123</v>
      </c>
      <c r="D289" s="28">
        <v>27.8</v>
      </c>
      <c r="E289" s="28">
        <v>23.4</v>
      </c>
      <c r="F289" s="28">
        <v>121.9</v>
      </c>
    </row>
    <row r="290" ht="15.75" customHeight="1">
      <c r="A290" s="25" t="s">
        <v>47</v>
      </c>
      <c r="B290" s="25" t="s">
        <v>100</v>
      </c>
      <c r="C290" s="25" t="s">
        <v>87</v>
      </c>
      <c r="D290" s="28">
        <v>28.4</v>
      </c>
      <c r="E290" s="28">
        <v>16.4</v>
      </c>
      <c r="F290" s="28">
        <v>13.8</v>
      </c>
    </row>
    <row r="291" ht="15.75" customHeight="1">
      <c r="A291" s="25" t="s">
        <v>47</v>
      </c>
      <c r="B291" s="25" t="s">
        <v>100</v>
      </c>
      <c r="C291" s="25" t="s">
        <v>86</v>
      </c>
      <c r="D291" s="28">
        <v>30.7</v>
      </c>
      <c r="E291" s="28">
        <v>18.6</v>
      </c>
      <c r="F291" s="28">
        <v>20.1</v>
      </c>
    </row>
    <row r="292" ht="15.75" customHeight="1">
      <c r="A292" s="25" t="s">
        <v>47</v>
      </c>
      <c r="B292" s="25" t="s">
        <v>100</v>
      </c>
      <c r="C292" s="25" t="s">
        <v>83</v>
      </c>
      <c r="D292" s="28">
        <v>32.9</v>
      </c>
      <c r="E292" s="28">
        <v>21.3</v>
      </c>
      <c r="F292" s="28">
        <v>30.7</v>
      </c>
    </row>
    <row r="293" ht="15.75" customHeight="1">
      <c r="A293" s="25" t="s">
        <v>47</v>
      </c>
      <c r="B293" s="25" t="s">
        <v>100</v>
      </c>
      <c r="C293" s="25" t="s">
        <v>78</v>
      </c>
      <c r="D293" s="28">
        <v>35.6</v>
      </c>
      <c r="E293" s="28">
        <v>24.0</v>
      </c>
      <c r="F293" s="28">
        <v>49.0</v>
      </c>
    </row>
    <row r="294" ht="15.75" customHeight="1">
      <c r="A294" s="25" t="s">
        <v>47</v>
      </c>
      <c r="B294" s="25" t="s">
        <v>100</v>
      </c>
      <c r="C294" s="25" t="s">
        <v>132</v>
      </c>
      <c r="D294" s="28">
        <v>37.2</v>
      </c>
      <c r="E294" s="28">
        <v>26.4</v>
      </c>
      <c r="F294" s="28">
        <v>68.6</v>
      </c>
    </row>
    <row r="295" ht="15.75" customHeight="1">
      <c r="A295" s="25" t="s">
        <v>47</v>
      </c>
      <c r="B295" s="25" t="s">
        <v>100</v>
      </c>
      <c r="C295" s="25" t="s">
        <v>106</v>
      </c>
      <c r="D295" s="28">
        <v>36.0</v>
      </c>
      <c r="E295" s="28">
        <v>27.6</v>
      </c>
      <c r="F295" s="28">
        <v>233.2</v>
      </c>
    </row>
    <row r="296" ht="15.75" customHeight="1">
      <c r="A296" s="25" t="s">
        <v>47</v>
      </c>
      <c r="B296" s="25" t="s">
        <v>100</v>
      </c>
      <c r="C296" s="25" t="s">
        <v>102</v>
      </c>
      <c r="D296" s="28">
        <v>35.6</v>
      </c>
      <c r="E296" s="28">
        <v>28.2</v>
      </c>
      <c r="F296" s="28">
        <v>328.8</v>
      </c>
    </row>
    <row r="297" ht="15.75" customHeight="1">
      <c r="A297" s="25" t="s">
        <v>47</v>
      </c>
      <c r="B297" s="25" t="s">
        <v>100</v>
      </c>
      <c r="C297" s="25" t="s">
        <v>76</v>
      </c>
      <c r="D297" s="28">
        <v>35.2</v>
      </c>
      <c r="E297" s="28">
        <v>28.0</v>
      </c>
      <c r="F297" s="28">
        <v>285.8</v>
      </c>
    </row>
    <row r="298" ht="15.75" customHeight="1">
      <c r="A298" s="25" t="s">
        <v>47</v>
      </c>
      <c r="B298" s="25" t="s">
        <v>100</v>
      </c>
      <c r="C298" s="25" t="s">
        <v>70</v>
      </c>
      <c r="D298" s="28">
        <v>34.8</v>
      </c>
      <c r="E298" s="28">
        <v>27.6</v>
      </c>
      <c r="F298" s="28">
        <v>249.6</v>
      </c>
    </row>
    <row r="299" ht="15.75" customHeight="1">
      <c r="A299" s="25" t="s">
        <v>47</v>
      </c>
      <c r="B299" s="25" t="s">
        <v>100</v>
      </c>
      <c r="C299" s="25" t="s">
        <v>64</v>
      </c>
      <c r="D299" s="28">
        <v>32.6</v>
      </c>
      <c r="E299" s="28">
        <v>26.2</v>
      </c>
      <c r="F299" s="28">
        <v>164.3</v>
      </c>
    </row>
    <row r="300" ht="15.75" customHeight="1">
      <c r="A300" s="25" t="s">
        <v>47</v>
      </c>
      <c r="B300" s="25" t="s">
        <v>100</v>
      </c>
      <c r="C300" s="25" t="s">
        <v>49</v>
      </c>
      <c r="D300" s="28">
        <v>29.6</v>
      </c>
      <c r="E300" s="28">
        <v>23.6</v>
      </c>
      <c r="F300" s="28">
        <v>43.9</v>
      </c>
    </row>
    <row r="301" ht="15.75" customHeight="1">
      <c r="A301" s="25" t="s">
        <v>47</v>
      </c>
      <c r="B301" s="25" t="s">
        <v>100</v>
      </c>
      <c r="C301" s="25" t="s">
        <v>123</v>
      </c>
      <c r="D301" s="28">
        <v>27.4</v>
      </c>
      <c r="E301" s="28">
        <v>17.4</v>
      </c>
      <c r="F301" s="28">
        <v>19.8</v>
      </c>
    </row>
    <row r="302" ht="15.75" customHeight="1">
      <c r="A302" s="25" t="s">
        <v>47</v>
      </c>
      <c r="B302" s="25" t="s">
        <v>98</v>
      </c>
      <c r="C302" s="25" t="s">
        <v>87</v>
      </c>
      <c r="D302" s="28">
        <v>25.8</v>
      </c>
      <c r="E302" s="28">
        <v>15.4</v>
      </c>
      <c r="F302" s="28">
        <v>17.3</v>
      </c>
    </row>
    <row r="303" ht="15.75" customHeight="1">
      <c r="A303" s="25" t="s">
        <v>47</v>
      </c>
      <c r="B303" s="25" t="s">
        <v>98</v>
      </c>
      <c r="C303" s="25" t="s">
        <v>86</v>
      </c>
      <c r="D303" s="28">
        <v>28.0</v>
      </c>
      <c r="E303" s="28">
        <v>16.6</v>
      </c>
      <c r="F303" s="28">
        <v>19.5</v>
      </c>
    </row>
    <row r="304" ht="15.75" customHeight="1">
      <c r="A304" s="25" t="s">
        <v>47</v>
      </c>
      <c r="B304" s="25" t="s">
        <v>98</v>
      </c>
      <c r="C304" s="25" t="s">
        <v>83</v>
      </c>
      <c r="D304" s="28">
        <v>30.2</v>
      </c>
      <c r="E304" s="28">
        <v>18.2</v>
      </c>
      <c r="F304" s="28">
        <v>29.6</v>
      </c>
    </row>
    <row r="305" ht="15.75" customHeight="1">
      <c r="A305" s="25" t="s">
        <v>47</v>
      </c>
      <c r="B305" s="25" t="s">
        <v>98</v>
      </c>
      <c r="C305" s="25" t="s">
        <v>78</v>
      </c>
      <c r="D305" s="28">
        <v>32.4</v>
      </c>
      <c r="E305" s="28">
        <v>19.8</v>
      </c>
      <c r="F305" s="28">
        <v>46.5</v>
      </c>
    </row>
    <row r="306" ht="15.75" customHeight="1">
      <c r="A306" s="25" t="s">
        <v>47</v>
      </c>
      <c r="B306" s="25" t="s">
        <v>98</v>
      </c>
      <c r="C306" s="25" t="s">
        <v>132</v>
      </c>
      <c r="D306" s="28">
        <v>34.6</v>
      </c>
      <c r="E306" s="28">
        <v>21.0</v>
      </c>
      <c r="F306" s="28">
        <v>66.8</v>
      </c>
    </row>
    <row r="307" ht="15.75" customHeight="1">
      <c r="A307" s="25" t="s">
        <v>47</v>
      </c>
      <c r="B307" s="25" t="s">
        <v>98</v>
      </c>
      <c r="C307" s="25" t="s">
        <v>106</v>
      </c>
      <c r="D307" s="28">
        <v>34.2</v>
      </c>
      <c r="E307" s="28">
        <v>22.2</v>
      </c>
      <c r="F307" s="28">
        <v>188.0</v>
      </c>
    </row>
    <row r="308" ht="15.75" customHeight="1">
      <c r="A308" s="25" t="s">
        <v>47</v>
      </c>
      <c r="B308" s="25" t="s">
        <v>98</v>
      </c>
      <c r="C308" s="25" t="s">
        <v>102</v>
      </c>
      <c r="D308" s="28">
        <v>33.6</v>
      </c>
      <c r="E308" s="28">
        <v>23.2</v>
      </c>
      <c r="F308" s="28">
        <v>314.2</v>
      </c>
    </row>
    <row r="309" ht="15.75" customHeight="1">
      <c r="A309" s="25" t="s">
        <v>47</v>
      </c>
      <c r="B309" s="25" t="s">
        <v>98</v>
      </c>
      <c r="C309" s="25" t="s">
        <v>76</v>
      </c>
      <c r="D309" s="28">
        <v>33.0</v>
      </c>
      <c r="E309" s="28">
        <v>22.6</v>
      </c>
      <c r="F309" s="28">
        <v>309.4</v>
      </c>
    </row>
    <row r="310" ht="15.75" customHeight="1">
      <c r="A310" s="25" t="s">
        <v>47</v>
      </c>
      <c r="B310" s="25" t="s">
        <v>98</v>
      </c>
      <c r="C310" s="25" t="s">
        <v>70</v>
      </c>
      <c r="D310" s="28">
        <v>32.4</v>
      </c>
      <c r="E310" s="28">
        <v>22.2</v>
      </c>
      <c r="F310" s="28">
        <v>258.8</v>
      </c>
    </row>
    <row r="311" ht="15.75" customHeight="1">
      <c r="A311" s="25" t="s">
        <v>47</v>
      </c>
      <c r="B311" s="25" t="s">
        <v>98</v>
      </c>
      <c r="C311" s="25" t="s">
        <v>64</v>
      </c>
      <c r="D311" s="28">
        <v>30.6</v>
      </c>
      <c r="E311" s="28">
        <v>21.0</v>
      </c>
      <c r="F311" s="28">
        <v>163.3</v>
      </c>
    </row>
    <row r="312" ht="15.75" customHeight="1">
      <c r="A312" s="25" t="s">
        <v>47</v>
      </c>
      <c r="B312" s="25" t="s">
        <v>98</v>
      </c>
      <c r="C312" s="25" t="s">
        <v>49</v>
      </c>
      <c r="D312" s="28">
        <v>27.8</v>
      </c>
      <c r="E312" s="28">
        <v>18.6</v>
      </c>
      <c r="F312" s="28">
        <v>43.2</v>
      </c>
    </row>
    <row r="313" ht="15.75" customHeight="1">
      <c r="A313" s="25" t="s">
        <v>47</v>
      </c>
      <c r="B313" s="25" t="s">
        <v>98</v>
      </c>
      <c r="C313" s="25" t="s">
        <v>123</v>
      </c>
      <c r="D313" s="28">
        <v>25.2</v>
      </c>
      <c r="E313" s="28">
        <v>16.0</v>
      </c>
      <c r="F313" s="28">
        <v>19.0</v>
      </c>
    </row>
    <row r="314" ht="15.75" customHeight="1">
      <c r="A314" s="25" t="s">
        <v>47</v>
      </c>
      <c r="B314" s="25" t="s">
        <v>114</v>
      </c>
      <c r="C314" s="25" t="s">
        <v>87</v>
      </c>
      <c r="D314" s="28">
        <v>23.4</v>
      </c>
      <c r="E314" s="28">
        <v>11.4</v>
      </c>
      <c r="F314" s="28">
        <v>15.8</v>
      </c>
    </row>
    <row r="315" ht="15.75" customHeight="1">
      <c r="A315" s="25" t="s">
        <v>47</v>
      </c>
      <c r="B315" s="25" t="s">
        <v>114</v>
      </c>
      <c r="C315" s="25" t="s">
        <v>86</v>
      </c>
      <c r="D315" s="28">
        <v>26.2</v>
      </c>
      <c r="E315" s="28">
        <v>13.6</v>
      </c>
      <c r="F315" s="28">
        <v>19.5</v>
      </c>
    </row>
    <row r="316" ht="15.75" customHeight="1">
      <c r="A316" s="25" t="s">
        <v>47</v>
      </c>
      <c r="B316" s="25" t="s">
        <v>114</v>
      </c>
      <c r="C316" s="25" t="s">
        <v>83</v>
      </c>
      <c r="D316" s="28">
        <v>29.4</v>
      </c>
      <c r="E316" s="28">
        <v>15.8</v>
      </c>
      <c r="F316" s="28">
        <v>29.6</v>
      </c>
    </row>
    <row r="317" ht="15.75" customHeight="1">
      <c r="A317" s="25" t="s">
        <v>47</v>
      </c>
      <c r="B317" s="25" t="s">
        <v>114</v>
      </c>
      <c r="C317" s="25" t="s">
        <v>78</v>
      </c>
      <c r="D317" s="28">
        <v>32.6</v>
      </c>
      <c r="E317" s="28">
        <v>18.0</v>
      </c>
      <c r="F317" s="28">
        <v>46.5</v>
      </c>
    </row>
    <row r="318" ht="15.75" customHeight="1">
      <c r="A318" s="25" t="s">
        <v>47</v>
      </c>
      <c r="B318" s="25" t="s">
        <v>114</v>
      </c>
      <c r="C318" s="25" t="s">
        <v>132</v>
      </c>
      <c r="D318" s="28">
        <v>35.0</v>
      </c>
      <c r="E318" s="28">
        <v>20.2</v>
      </c>
      <c r="F318" s="28">
        <v>66.8</v>
      </c>
    </row>
    <row r="319" ht="15.75" customHeight="1">
      <c r="A319" s="25" t="s">
        <v>47</v>
      </c>
      <c r="B319" s="25" t="s">
        <v>114</v>
      </c>
      <c r="C319" s="25" t="s">
        <v>106</v>
      </c>
      <c r="D319" s="28">
        <v>35.8</v>
      </c>
      <c r="E319" s="28">
        <v>21.6</v>
      </c>
      <c r="F319" s="28">
        <v>188.0</v>
      </c>
    </row>
    <row r="320" ht="15.75" customHeight="1">
      <c r="A320" s="25" t="s">
        <v>47</v>
      </c>
      <c r="B320" s="25" t="s">
        <v>114</v>
      </c>
      <c r="C320" s="25" t="s">
        <v>102</v>
      </c>
      <c r="D320" s="28">
        <v>35.2</v>
      </c>
      <c r="E320" s="28">
        <v>22.4</v>
      </c>
      <c r="F320" s="28">
        <v>314.2</v>
      </c>
    </row>
    <row r="321" ht="15.75" customHeight="1">
      <c r="A321" s="25" t="s">
        <v>47</v>
      </c>
      <c r="B321" s="25" t="s">
        <v>114</v>
      </c>
      <c r="C321" s="25" t="s">
        <v>76</v>
      </c>
      <c r="D321" s="28">
        <v>34.6</v>
      </c>
      <c r="E321" s="28">
        <v>22.0</v>
      </c>
      <c r="F321" s="28">
        <v>309.4</v>
      </c>
    </row>
    <row r="322" ht="15.75" customHeight="1">
      <c r="A322" s="25" t="s">
        <v>47</v>
      </c>
      <c r="B322" s="25" t="s">
        <v>114</v>
      </c>
      <c r="C322" s="25" t="s">
        <v>70</v>
      </c>
      <c r="D322" s="28">
        <v>33.8</v>
      </c>
      <c r="E322" s="28">
        <v>21.6</v>
      </c>
      <c r="F322" s="28">
        <v>258.8</v>
      </c>
    </row>
    <row r="323" ht="15.75" customHeight="1">
      <c r="A323" s="25" t="s">
        <v>47</v>
      </c>
      <c r="B323" s="25" t="s">
        <v>114</v>
      </c>
      <c r="C323" s="25" t="s">
        <v>64</v>
      </c>
      <c r="D323" s="28">
        <v>31.8</v>
      </c>
      <c r="E323" s="28">
        <v>20.4</v>
      </c>
      <c r="F323" s="28">
        <v>163.3</v>
      </c>
    </row>
    <row r="324" ht="15.75" customHeight="1">
      <c r="A324" s="25" t="s">
        <v>47</v>
      </c>
      <c r="B324" s="25" t="s">
        <v>114</v>
      </c>
      <c r="C324" s="25" t="s">
        <v>49</v>
      </c>
      <c r="D324" s="28">
        <v>28.8</v>
      </c>
      <c r="E324" s="28">
        <v>18.0</v>
      </c>
      <c r="F324" s="28">
        <v>43.2</v>
      </c>
    </row>
    <row r="325" ht="15.75" customHeight="1">
      <c r="A325" s="25" t="s">
        <v>47</v>
      </c>
      <c r="B325" s="25" t="s">
        <v>114</v>
      </c>
      <c r="C325" s="25" t="s">
        <v>123</v>
      </c>
      <c r="D325" s="28">
        <v>26.0</v>
      </c>
      <c r="E325" s="28">
        <v>13.6</v>
      </c>
      <c r="F325" s="28">
        <v>19.0</v>
      </c>
    </row>
    <row r="326" ht="15.75" customHeight="1">
      <c r="A326" s="25" t="s">
        <v>47</v>
      </c>
      <c r="B326" s="25" t="s">
        <v>108</v>
      </c>
      <c r="C326" s="25" t="s">
        <v>87</v>
      </c>
      <c r="D326" s="28">
        <v>27.9</v>
      </c>
      <c r="E326" s="28">
        <v>17.6</v>
      </c>
      <c r="F326" s="28">
        <v>19.8</v>
      </c>
    </row>
    <row r="327" ht="15.75" customHeight="1">
      <c r="A327" s="25" t="s">
        <v>47</v>
      </c>
      <c r="B327" s="25" t="s">
        <v>108</v>
      </c>
      <c r="C327" s="25" t="s">
        <v>86</v>
      </c>
      <c r="D327" s="28">
        <v>29.8</v>
      </c>
      <c r="E327" s="28">
        <v>19.6</v>
      </c>
      <c r="F327" s="28">
        <v>20.1</v>
      </c>
    </row>
    <row r="328" ht="15.75" customHeight="1">
      <c r="A328" s="25" t="s">
        <v>47</v>
      </c>
      <c r="B328" s="25" t="s">
        <v>108</v>
      </c>
      <c r="C328" s="25" t="s">
        <v>83</v>
      </c>
      <c r="D328" s="28">
        <v>31.8</v>
      </c>
      <c r="E328" s="28">
        <v>21.8</v>
      </c>
      <c r="F328" s="28">
        <v>30.7</v>
      </c>
    </row>
    <row r="329" ht="15.75" customHeight="1">
      <c r="A329" s="25" t="s">
        <v>47</v>
      </c>
      <c r="B329" s="25" t="s">
        <v>108</v>
      </c>
      <c r="C329" s="25" t="s">
        <v>78</v>
      </c>
      <c r="D329" s="28">
        <v>33.9</v>
      </c>
      <c r="E329" s="28">
        <v>23.4</v>
      </c>
      <c r="F329" s="28">
        <v>49.0</v>
      </c>
    </row>
    <row r="330" ht="15.75" customHeight="1">
      <c r="A330" s="25" t="s">
        <v>47</v>
      </c>
      <c r="B330" s="25" t="s">
        <v>108</v>
      </c>
      <c r="C330" s="25" t="s">
        <v>132</v>
      </c>
      <c r="D330" s="28">
        <v>35.5</v>
      </c>
      <c r="E330" s="28">
        <v>25.6</v>
      </c>
      <c r="F330" s="28">
        <v>68.6</v>
      </c>
    </row>
    <row r="331" ht="15.75" customHeight="1">
      <c r="A331" s="25" t="s">
        <v>47</v>
      </c>
      <c r="B331" s="25" t="s">
        <v>108</v>
      </c>
      <c r="C331" s="25" t="s">
        <v>106</v>
      </c>
      <c r="D331" s="28">
        <v>34.7</v>
      </c>
      <c r="E331" s="28">
        <v>26.8</v>
      </c>
      <c r="F331" s="28">
        <v>233.2</v>
      </c>
    </row>
    <row r="332" ht="15.75" customHeight="1">
      <c r="A332" s="25" t="s">
        <v>47</v>
      </c>
      <c r="B332" s="25" t="s">
        <v>108</v>
      </c>
      <c r="C332" s="25" t="s">
        <v>102</v>
      </c>
      <c r="D332" s="28">
        <v>34.1</v>
      </c>
      <c r="E332" s="28">
        <v>27.4</v>
      </c>
      <c r="F332" s="28">
        <v>328.8</v>
      </c>
    </row>
    <row r="333" ht="15.75" customHeight="1">
      <c r="A333" s="25" t="s">
        <v>47</v>
      </c>
      <c r="B333" s="25" t="s">
        <v>108</v>
      </c>
      <c r="C333" s="25" t="s">
        <v>76</v>
      </c>
      <c r="D333" s="28">
        <v>33.7</v>
      </c>
      <c r="E333" s="28">
        <v>27.2</v>
      </c>
      <c r="F333" s="28">
        <v>285.8</v>
      </c>
    </row>
    <row r="334" ht="15.75" customHeight="1">
      <c r="A334" s="25" t="s">
        <v>47</v>
      </c>
      <c r="B334" s="25" t="s">
        <v>108</v>
      </c>
      <c r="C334" s="25" t="s">
        <v>70</v>
      </c>
      <c r="D334" s="28">
        <v>33.3</v>
      </c>
      <c r="E334" s="28">
        <v>27.0</v>
      </c>
      <c r="F334" s="28">
        <v>249.6</v>
      </c>
    </row>
    <row r="335" ht="15.75" customHeight="1">
      <c r="A335" s="25" t="s">
        <v>47</v>
      </c>
      <c r="B335" s="25" t="s">
        <v>108</v>
      </c>
      <c r="C335" s="25" t="s">
        <v>64</v>
      </c>
      <c r="D335" s="28">
        <v>31.9</v>
      </c>
      <c r="E335" s="28">
        <v>25.8</v>
      </c>
      <c r="F335" s="28">
        <v>164.3</v>
      </c>
    </row>
    <row r="336" ht="15.75" customHeight="1">
      <c r="A336" s="25" t="s">
        <v>47</v>
      </c>
      <c r="B336" s="25" t="s">
        <v>108</v>
      </c>
      <c r="C336" s="25" t="s">
        <v>49</v>
      </c>
      <c r="D336" s="28">
        <v>29.3</v>
      </c>
      <c r="E336" s="28">
        <v>23.4</v>
      </c>
      <c r="F336" s="28">
        <v>43.9</v>
      </c>
    </row>
    <row r="337" ht="15.75" customHeight="1">
      <c r="A337" s="25" t="s">
        <v>47</v>
      </c>
      <c r="B337" s="25" t="s">
        <v>108</v>
      </c>
      <c r="C337" s="25" t="s">
        <v>123</v>
      </c>
      <c r="D337" s="28">
        <v>27.1</v>
      </c>
      <c r="E337" s="28">
        <v>18.4</v>
      </c>
      <c r="F337" s="28">
        <v>19.8</v>
      </c>
    </row>
    <row r="338" ht="15.75" customHeight="1">
      <c r="A338" s="25" t="s">
        <v>47</v>
      </c>
      <c r="B338" s="25" t="s">
        <v>101</v>
      </c>
      <c r="C338" s="25" t="s">
        <v>87</v>
      </c>
      <c r="D338" s="28">
        <v>19.0</v>
      </c>
      <c r="E338" s="28">
        <v>6.1</v>
      </c>
      <c r="F338" s="28">
        <v>15.8</v>
      </c>
    </row>
    <row r="339" ht="15.75" customHeight="1">
      <c r="A339" s="25" t="s">
        <v>47</v>
      </c>
      <c r="B339" s="25" t="s">
        <v>101</v>
      </c>
      <c r="C339" s="25" t="s">
        <v>86</v>
      </c>
      <c r="D339" s="28">
        <v>21.6</v>
      </c>
      <c r="E339" s="28">
        <v>8.1</v>
      </c>
      <c r="F339" s="28">
        <v>19.5</v>
      </c>
    </row>
    <row r="340" ht="15.75" customHeight="1">
      <c r="A340" s="25" t="s">
        <v>47</v>
      </c>
      <c r="B340" s="25" t="s">
        <v>101</v>
      </c>
      <c r="C340" s="25" t="s">
        <v>83</v>
      </c>
      <c r="D340" s="28">
        <v>24.4</v>
      </c>
      <c r="E340" s="28">
        <v>11.1</v>
      </c>
      <c r="F340" s="28">
        <v>29.6</v>
      </c>
    </row>
    <row r="341" ht="15.75" customHeight="1">
      <c r="A341" s="25" t="s">
        <v>47</v>
      </c>
      <c r="B341" s="25" t="s">
        <v>101</v>
      </c>
      <c r="C341" s="25" t="s">
        <v>78</v>
      </c>
      <c r="D341" s="28">
        <v>28.2</v>
      </c>
      <c r="E341" s="28">
        <v>14.4</v>
      </c>
      <c r="F341" s="28">
        <v>46.5</v>
      </c>
    </row>
    <row r="342" ht="15.75" customHeight="1">
      <c r="A342" s="25" t="s">
        <v>47</v>
      </c>
      <c r="B342" s="25" t="s">
        <v>101</v>
      </c>
      <c r="C342" s="25" t="s">
        <v>132</v>
      </c>
      <c r="D342" s="28">
        <v>32.0</v>
      </c>
      <c r="E342" s="28">
        <v>17.6</v>
      </c>
      <c r="F342" s="28">
        <v>66.8</v>
      </c>
    </row>
    <row r="343" ht="15.75" customHeight="1">
      <c r="A343" s="25" t="s">
        <v>47</v>
      </c>
      <c r="B343" s="25" t="s">
        <v>101</v>
      </c>
      <c r="C343" s="25" t="s">
        <v>106</v>
      </c>
      <c r="D343" s="28">
        <v>34.8</v>
      </c>
      <c r="E343" s="28">
        <v>21.0</v>
      </c>
      <c r="F343" s="28">
        <v>188.0</v>
      </c>
    </row>
    <row r="344" ht="15.75" customHeight="1">
      <c r="A344" s="25" t="s">
        <v>47</v>
      </c>
      <c r="B344" s="25" t="s">
        <v>101</v>
      </c>
      <c r="C344" s="25" t="s">
        <v>102</v>
      </c>
      <c r="D344" s="28">
        <v>34.2</v>
      </c>
      <c r="E344" s="28">
        <v>21.6</v>
      </c>
      <c r="F344" s="28">
        <v>314.2</v>
      </c>
    </row>
    <row r="345" ht="15.75" customHeight="1">
      <c r="A345" s="25" t="s">
        <v>47</v>
      </c>
      <c r="B345" s="25" t="s">
        <v>101</v>
      </c>
      <c r="C345" s="25" t="s">
        <v>76</v>
      </c>
      <c r="D345" s="28">
        <v>33.6</v>
      </c>
      <c r="E345" s="28">
        <v>21.4</v>
      </c>
      <c r="F345" s="28">
        <v>309.4</v>
      </c>
    </row>
    <row r="346" ht="15.75" customHeight="1">
      <c r="A346" s="25" t="s">
        <v>47</v>
      </c>
      <c r="B346" s="25" t="s">
        <v>101</v>
      </c>
      <c r="C346" s="25" t="s">
        <v>70</v>
      </c>
      <c r="D346" s="28">
        <v>32.8</v>
      </c>
      <c r="E346" s="28">
        <v>20.6</v>
      </c>
      <c r="F346" s="28">
        <v>258.8</v>
      </c>
    </row>
    <row r="347" ht="15.75" customHeight="1">
      <c r="A347" s="25" t="s">
        <v>47</v>
      </c>
      <c r="B347" s="25" t="s">
        <v>101</v>
      </c>
      <c r="C347" s="25" t="s">
        <v>64</v>
      </c>
      <c r="D347" s="28">
        <v>30.8</v>
      </c>
      <c r="E347" s="28">
        <v>18.6</v>
      </c>
      <c r="F347" s="28">
        <v>163.3</v>
      </c>
    </row>
    <row r="348" ht="15.75" customHeight="1">
      <c r="A348" s="25" t="s">
        <v>47</v>
      </c>
      <c r="B348" s="25" t="s">
        <v>101</v>
      </c>
      <c r="C348" s="25" t="s">
        <v>49</v>
      </c>
      <c r="D348" s="28">
        <v>27.2</v>
      </c>
      <c r="E348" s="28">
        <v>13.4</v>
      </c>
      <c r="F348" s="28">
        <v>43.2</v>
      </c>
    </row>
    <row r="349" ht="15.75" customHeight="1">
      <c r="A349" s="25" t="s">
        <v>47</v>
      </c>
      <c r="B349" s="25" t="s">
        <v>101</v>
      </c>
      <c r="C349" s="25" t="s">
        <v>123</v>
      </c>
      <c r="D349" s="28">
        <v>19.8</v>
      </c>
      <c r="E349" s="28">
        <v>7.6</v>
      </c>
      <c r="F349" s="28">
        <v>19.0</v>
      </c>
    </row>
    <row r="350" ht="15.75" customHeight="1">
      <c r="D350" s="28"/>
      <c r="E350" s="28"/>
      <c r="F350" s="28"/>
    </row>
    <row r="351" ht="15.75" customHeight="1">
      <c r="D351" s="28"/>
      <c r="E351" s="28"/>
      <c r="F351" s="28"/>
    </row>
    <row r="352" ht="15.75" customHeight="1">
      <c r="D352" s="28"/>
      <c r="E352" s="28"/>
      <c r="F352" s="28"/>
    </row>
    <row r="353" ht="15.75" customHeight="1">
      <c r="D353" s="28"/>
      <c r="E353" s="28"/>
      <c r="F353" s="28"/>
    </row>
    <row r="354" ht="15.75" customHeight="1">
      <c r="D354" s="28"/>
      <c r="E354" s="28"/>
      <c r="F354" s="28"/>
    </row>
    <row r="355" ht="15.75" customHeight="1">
      <c r="D355" s="28"/>
      <c r="E355" s="28"/>
      <c r="F355" s="28"/>
    </row>
    <row r="356" ht="15.75" customHeight="1">
      <c r="D356" s="28"/>
      <c r="E356" s="28"/>
      <c r="F356" s="28"/>
    </row>
    <row r="357" ht="15.75" customHeight="1">
      <c r="D357" s="28"/>
      <c r="E357" s="28"/>
      <c r="F357" s="28"/>
    </row>
    <row r="358" ht="15.75" customHeight="1">
      <c r="D358" s="28"/>
      <c r="E358" s="28"/>
      <c r="F358" s="28"/>
    </row>
    <row r="359" ht="15.75" customHeight="1">
      <c r="D359" s="28"/>
      <c r="E359" s="28"/>
      <c r="F359" s="28"/>
    </row>
    <row r="360" ht="15.75" customHeight="1">
      <c r="D360" s="28"/>
      <c r="E360" s="28"/>
      <c r="F360" s="28"/>
    </row>
    <row r="361" ht="15.75" customHeight="1">
      <c r="D361" s="28"/>
      <c r="E361" s="28"/>
      <c r="F361" s="28"/>
    </row>
    <row r="362" ht="15.75" customHeight="1">
      <c r="D362" s="28"/>
      <c r="E362" s="28"/>
      <c r="F362" s="28"/>
    </row>
    <row r="363" ht="15.75" customHeight="1">
      <c r="D363" s="28"/>
      <c r="E363" s="28"/>
      <c r="F363" s="28"/>
    </row>
    <row r="364" ht="15.75" customHeight="1">
      <c r="D364" s="28"/>
      <c r="E364" s="28"/>
      <c r="F364" s="28"/>
    </row>
    <row r="365" ht="15.75" customHeight="1">
      <c r="D365" s="28"/>
      <c r="E365" s="28"/>
      <c r="F365" s="28"/>
    </row>
    <row r="366" ht="15.75" customHeight="1">
      <c r="D366" s="28"/>
      <c r="E366" s="28"/>
      <c r="F366" s="28"/>
    </row>
    <row r="367" ht="15.75" customHeight="1">
      <c r="D367" s="28"/>
      <c r="E367" s="28"/>
      <c r="F367" s="28"/>
    </row>
    <row r="368" ht="15.75" customHeight="1">
      <c r="D368" s="28"/>
      <c r="E368" s="28"/>
      <c r="F368" s="28"/>
    </row>
    <row r="369" ht="15.75" customHeight="1">
      <c r="D369" s="28"/>
      <c r="E369" s="28"/>
      <c r="F369" s="28"/>
    </row>
    <row r="370" ht="15.75" customHeight="1">
      <c r="D370" s="28"/>
      <c r="E370" s="28"/>
      <c r="F370" s="28"/>
    </row>
    <row r="371" ht="15.75" customHeight="1">
      <c r="D371" s="28"/>
      <c r="E371" s="28"/>
      <c r="F371" s="28"/>
    </row>
    <row r="372" ht="15.75" customHeight="1">
      <c r="D372" s="28"/>
      <c r="E372" s="28"/>
      <c r="F372" s="28"/>
    </row>
    <row r="373" ht="15.75" customHeight="1">
      <c r="D373" s="28"/>
      <c r="E373" s="28"/>
      <c r="F373" s="28"/>
    </row>
    <row r="374" ht="15.75" customHeight="1">
      <c r="D374" s="28"/>
      <c r="E374" s="28"/>
      <c r="F374" s="28"/>
    </row>
    <row r="375" ht="15.75" customHeight="1">
      <c r="D375" s="28"/>
      <c r="E375" s="28"/>
      <c r="F375" s="28"/>
    </row>
    <row r="376" ht="15.75" customHeight="1">
      <c r="D376" s="28"/>
      <c r="E376" s="28"/>
      <c r="F376" s="28"/>
    </row>
    <row r="377" ht="15.75" customHeight="1">
      <c r="D377" s="28"/>
      <c r="E377" s="28"/>
      <c r="F377" s="28"/>
    </row>
    <row r="378" ht="15.75" customHeight="1">
      <c r="D378" s="28"/>
      <c r="E378" s="28"/>
      <c r="F378" s="28"/>
    </row>
    <row r="379" ht="15.75" customHeight="1">
      <c r="D379" s="28"/>
      <c r="E379" s="28"/>
      <c r="F379" s="28"/>
    </row>
    <row r="380" ht="15.75" customHeight="1">
      <c r="D380" s="28"/>
      <c r="E380" s="28"/>
      <c r="F380" s="28"/>
    </row>
    <row r="381" ht="15.75" customHeight="1">
      <c r="D381" s="28"/>
      <c r="E381" s="28"/>
      <c r="F381" s="28"/>
    </row>
    <row r="382" ht="15.75" customHeight="1">
      <c r="D382" s="28"/>
      <c r="E382" s="28"/>
      <c r="F382" s="28"/>
    </row>
    <row r="383" ht="15.75" customHeight="1">
      <c r="D383" s="28"/>
      <c r="E383" s="28"/>
      <c r="F383" s="28"/>
    </row>
    <row r="384" ht="15.75" customHeight="1">
      <c r="D384" s="28"/>
      <c r="E384" s="28"/>
      <c r="F384" s="28"/>
    </row>
    <row r="385" ht="15.75" customHeight="1">
      <c r="D385" s="28"/>
      <c r="E385" s="28"/>
      <c r="F385" s="28"/>
    </row>
    <row r="386" ht="15.75" customHeight="1">
      <c r="D386" s="28"/>
      <c r="E386" s="28"/>
      <c r="F386" s="28"/>
    </row>
    <row r="387" ht="15.75" customHeight="1">
      <c r="D387" s="28"/>
      <c r="E387" s="28"/>
      <c r="F387" s="28"/>
    </row>
    <row r="388" ht="15.75" customHeight="1">
      <c r="D388" s="28"/>
      <c r="E388" s="28"/>
      <c r="F388" s="28"/>
    </row>
    <row r="389" ht="15.75" customHeight="1">
      <c r="D389" s="28"/>
      <c r="E389" s="28"/>
      <c r="F389" s="28"/>
    </row>
    <row r="390" ht="15.75" customHeight="1">
      <c r="D390" s="28"/>
      <c r="E390" s="28"/>
      <c r="F390" s="28"/>
    </row>
    <row r="391" ht="15.75" customHeight="1">
      <c r="D391" s="28"/>
      <c r="E391" s="28"/>
      <c r="F391" s="28"/>
    </row>
    <row r="392" ht="15.75" customHeight="1">
      <c r="D392" s="28"/>
      <c r="E392" s="28"/>
      <c r="F392" s="28"/>
    </row>
    <row r="393" ht="15.75" customHeight="1">
      <c r="D393" s="28"/>
      <c r="E393" s="28"/>
      <c r="F393" s="28"/>
    </row>
    <row r="394" ht="15.75" customHeight="1">
      <c r="D394" s="28"/>
      <c r="E394" s="28"/>
      <c r="F394" s="28"/>
    </row>
    <row r="395" ht="15.75" customHeight="1">
      <c r="D395" s="28"/>
      <c r="E395" s="28"/>
      <c r="F395" s="28"/>
    </row>
    <row r="396" ht="15.75" customHeight="1">
      <c r="D396" s="28"/>
      <c r="E396" s="28"/>
      <c r="F396" s="28"/>
    </row>
    <row r="397" ht="15.75" customHeight="1">
      <c r="D397" s="28"/>
      <c r="E397" s="28"/>
      <c r="F397" s="28"/>
    </row>
    <row r="398" ht="15.75" customHeight="1">
      <c r="D398" s="28"/>
      <c r="E398" s="28"/>
      <c r="F398" s="28"/>
    </row>
    <row r="399" ht="15.75" customHeight="1">
      <c r="D399" s="28"/>
      <c r="E399" s="28"/>
      <c r="F399" s="28"/>
    </row>
    <row r="400" ht="15.75" customHeight="1">
      <c r="D400" s="28"/>
      <c r="E400" s="28"/>
      <c r="F400" s="28"/>
    </row>
    <row r="401" ht="15.75" customHeight="1">
      <c r="D401" s="28"/>
      <c r="E401" s="28"/>
      <c r="F401" s="28"/>
    </row>
    <row r="402" ht="15.75" customHeight="1">
      <c r="D402" s="28"/>
      <c r="E402" s="28"/>
      <c r="F402" s="28"/>
    </row>
    <row r="403" ht="15.75" customHeight="1">
      <c r="D403" s="28"/>
      <c r="E403" s="28"/>
      <c r="F403" s="28"/>
    </row>
    <row r="404" ht="15.75" customHeight="1">
      <c r="D404" s="28"/>
      <c r="E404" s="28"/>
      <c r="F404" s="28"/>
    </row>
    <row r="405" ht="15.75" customHeight="1">
      <c r="D405" s="28"/>
      <c r="E405" s="28"/>
      <c r="F405" s="28"/>
    </row>
    <row r="406" ht="15.75" customHeight="1">
      <c r="D406" s="28"/>
      <c r="E406" s="28"/>
      <c r="F406" s="28"/>
    </row>
    <row r="407" ht="15.75" customHeight="1">
      <c r="D407" s="28"/>
      <c r="E407" s="28"/>
      <c r="F407" s="28"/>
    </row>
    <row r="408" ht="15.75" customHeight="1">
      <c r="D408" s="28"/>
      <c r="E408" s="28"/>
      <c r="F408" s="28"/>
    </row>
    <row r="409" ht="15.75" customHeight="1">
      <c r="D409" s="28"/>
      <c r="E409" s="28"/>
      <c r="F409" s="28"/>
    </row>
    <row r="410" ht="15.75" customHeight="1">
      <c r="D410" s="28"/>
      <c r="E410" s="28"/>
      <c r="F410" s="28"/>
    </row>
    <row r="411" ht="15.75" customHeight="1">
      <c r="D411" s="28"/>
      <c r="E411" s="28"/>
      <c r="F411" s="28"/>
    </row>
    <row r="412" ht="15.75" customHeight="1">
      <c r="D412" s="28"/>
      <c r="E412" s="28"/>
      <c r="F412" s="28"/>
    </row>
    <row r="413" ht="15.75" customHeight="1">
      <c r="D413" s="28"/>
      <c r="E413" s="28"/>
      <c r="F413" s="28"/>
    </row>
    <row r="414" ht="15.75" customHeight="1">
      <c r="D414" s="28"/>
      <c r="E414" s="28"/>
      <c r="F414" s="28"/>
    </row>
    <row r="415" ht="15.75" customHeight="1">
      <c r="D415" s="28"/>
      <c r="E415" s="28"/>
      <c r="F415" s="28"/>
    </row>
    <row r="416" ht="15.75" customHeight="1">
      <c r="D416" s="28"/>
      <c r="E416" s="28"/>
      <c r="F416" s="28"/>
    </row>
    <row r="417" ht="15.75" customHeight="1">
      <c r="D417" s="28"/>
      <c r="E417" s="28"/>
      <c r="F417" s="28"/>
    </row>
    <row r="418" ht="15.75" customHeight="1">
      <c r="D418" s="28"/>
      <c r="E418" s="28"/>
      <c r="F418" s="28"/>
    </row>
    <row r="419" ht="15.75" customHeight="1">
      <c r="D419" s="28"/>
      <c r="E419" s="28"/>
      <c r="F419" s="28"/>
    </row>
    <row r="420" ht="15.75" customHeight="1">
      <c r="D420" s="28"/>
      <c r="E420" s="28"/>
      <c r="F420" s="28"/>
    </row>
    <row r="421" ht="15.75" customHeight="1">
      <c r="D421" s="28"/>
      <c r="E421" s="28"/>
      <c r="F421" s="28"/>
    </row>
    <row r="422" ht="15.75" customHeight="1">
      <c r="D422" s="28"/>
      <c r="E422" s="28"/>
      <c r="F422" s="28"/>
    </row>
    <row r="423" ht="15.75" customHeight="1">
      <c r="D423" s="28"/>
      <c r="E423" s="28"/>
      <c r="F423" s="28"/>
    </row>
    <row r="424" ht="15.75" customHeight="1">
      <c r="D424" s="28"/>
      <c r="E424" s="28"/>
      <c r="F424" s="28"/>
    </row>
    <row r="425" ht="15.75" customHeight="1">
      <c r="D425" s="28"/>
      <c r="E425" s="28"/>
      <c r="F425" s="28"/>
    </row>
    <row r="426" ht="15.75" customHeight="1">
      <c r="D426" s="28"/>
      <c r="E426" s="28"/>
      <c r="F426" s="28"/>
    </row>
    <row r="427" ht="15.75" customHeight="1">
      <c r="D427" s="28"/>
      <c r="E427" s="28"/>
      <c r="F427" s="28"/>
    </row>
    <row r="428" ht="15.75" customHeight="1">
      <c r="D428" s="28"/>
      <c r="E428" s="28"/>
      <c r="F428" s="28"/>
    </row>
    <row r="429" ht="15.75" customHeight="1">
      <c r="D429" s="28"/>
      <c r="E429" s="28"/>
      <c r="F429" s="28"/>
    </row>
    <row r="430" ht="15.75" customHeight="1">
      <c r="D430" s="28"/>
      <c r="E430" s="28"/>
      <c r="F430" s="28"/>
    </row>
    <row r="431" ht="15.75" customHeight="1">
      <c r="D431" s="28"/>
      <c r="E431" s="28"/>
      <c r="F431" s="28"/>
    </row>
    <row r="432" ht="15.75" customHeight="1">
      <c r="D432" s="28"/>
      <c r="E432" s="28"/>
      <c r="F432" s="28"/>
    </row>
    <row r="433" ht="15.75" customHeight="1">
      <c r="D433" s="28"/>
      <c r="E433" s="28"/>
      <c r="F433" s="28"/>
    </row>
    <row r="434" ht="15.75" customHeight="1">
      <c r="D434" s="28"/>
      <c r="E434" s="28"/>
      <c r="F434" s="28"/>
    </row>
    <row r="435" ht="15.75" customHeight="1">
      <c r="D435" s="28"/>
      <c r="E435" s="28"/>
      <c r="F435" s="28"/>
    </row>
    <row r="436" ht="15.75" customHeight="1">
      <c r="D436" s="28"/>
      <c r="E436" s="28"/>
      <c r="F436" s="28"/>
    </row>
    <row r="437" ht="15.75" customHeight="1">
      <c r="D437" s="28"/>
      <c r="E437" s="28"/>
      <c r="F437" s="28"/>
    </row>
    <row r="438" ht="15.75" customHeight="1">
      <c r="D438" s="28"/>
      <c r="E438" s="28"/>
      <c r="F438" s="28"/>
    </row>
    <row r="439" ht="15.75" customHeight="1">
      <c r="D439" s="28"/>
      <c r="E439" s="28"/>
      <c r="F439" s="28"/>
    </row>
    <row r="440" ht="15.75" customHeight="1">
      <c r="D440" s="28"/>
      <c r="E440" s="28"/>
      <c r="F440" s="28"/>
    </row>
    <row r="441" ht="15.75" customHeight="1">
      <c r="D441" s="28"/>
      <c r="E441" s="28"/>
      <c r="F441" s="28"/>
    </row>
    <row r="442" ht="15.75" customHeight="1">
      <c r="D442" s="28"/>
      <c r="E442" s="28"/>
      <c r="F442" s="28"/>
    </row>
    <row r="443" ht="15.75" customHeight="1">
      <c r="D443" s="28"/>
      <c r="E443" s="28"/>
      <c r="F443" s="28"/>
    </row>
    <row r="444" ht="15.75" customHeight="1">
      <c r="D444" s="28"/>
      <c r="E444" s="28"/>
      <c r="F444" s="28"/>
    </row>
    <row r="445" ht="15.75" customHeight="1">
      <c r="D445" s="28"/>
      <c r="E445" s="28"/>
      <c r="F445" s="28"/>
    </row>
    <row r="446" ht="15.75" customHeight="1">
      <c r="D446" s="28"/>
      <c r="E446" s="28"/>
      <c r="F446" s="28"/>
    </row>
    <row r="447" ht="15.75" customHeight="1">
      <c r="D447" s="28"/>
      <c r="E447" s="28"/>
      <c r="F447" s="28"/>
    </row>
    <row r="448" ht="15.75" customHeight="1">
      <c r="D448" s="28"/>
      <c r="E448" s="28"/>
      <c r="F448" s="28"/>
    </row>
    <row r="449" ht="15.75" customHeight="1">
      <c r="D449" s="28"/>
      <c r="E449" s="28"/>
      <c r="F449" s="28"/>
    </row>
    <row r="450" ht="15.75" customHeight="1">
      <c r="D450" s="28"/>
      <c r="E450" s="28"/>
      <c r="F450" s="28"/>
    </row>
    <row r="451" ht="15.75" customHeight="1">
      <c r="D451" s="28"/>
      <c r="E451" s="28"/>
      <c r="F451" s="28"/>
    </row>
    <row r="452" ht="15.75" customHeight="1">
      <c r="D452" s="28"/>
      <c r="E452" s="28"/>
      <c r="F452" s="28"/>
    </row>
    <row r="453" ht="15.75" customHeight="1">
      <c r="D453" s="28"/>
      <c r="E453" s="28"/>
      <c r="F453" s="28"/>
    </row>
    <row r="454" ht="15.75" customHeight="1">
      <c r="D454" s="28"/>
      <c r="E454" s="28"/>
      <c r="F454" s="28"/>
    </row>
    <row r="455" ht="15.75" customHeight="1">
      <c r="D455" s="28"/>
      <c r="E455" s="28"/>
      <c r="F455" s="28"/>
    </row>
    <row r="456" ht="15.75" customHeight="1">
      <c r="D456" s="28"/>
      <c r="E456" s="28"/>
      <c r="F456" s="28"/>
    </row>
    <row r="457" ht="15.75" customHeight="1">
      <c r="D457" s="28"/>
      <c r="E457" s="28"/>
      <c r="F457" s="28"/>
    </row>
    <row r="458" ht="15.75" customHeight="1">
      <c r="D458" s="28"/>
      <c r="E458" s="28"/>
      <c r="F458" s="28"/>
    </row>
    <row r="459" ht="15.75" customHeight="1">
      <c r="D459" s="28"/>
      <c r="E459" s="28"/>
      <c r="F459" s="28"/>
    </row>
    <row r="460" ht="15.75" customHeight="1">
      <c r="D460" s="28"/>
      <c r="E460" s="28"/>
      <c r="F460" s="28"/>
    </row>
    <row r="461" ht="15.75" customHeight="1">
      <c r="D461" s="28"/>
      <c r="E461" s="28"/>
      <c r="F461" s="28"/>
    </row>
    <row r="462" ht="15.75" customHeight="1">
      <c r="D462" s="28"/>
      <c r="E462" s="28"/>
      <c r="F462" s="28"/>
    </row>
    <row r="463" ht="15.75" customHeight="1">
      <c r="D463" s="28"/>
      <c r="E463" s="28"/>
      <c r="F463" s="28"/>
    </row>
    <row r="464" ht="15.75" customHeight="1">
      <c r="D464" s="28"/>
      <c r="E464" s="28"/>
      <c r="F464" s="28"/>
    </row>
    <row r="465" ht="15.75" customHeight="1">
      <c r="D465" s="28"/>
      <c r="E465" s="28"/>
      <c r="F465" s="28"/>
    </row>
    <row r="466" ht="15.75" customHeight="1">
      <c r="D466" s="28"/>
      <c r="E466" s="28"/>
      <c r="F466" s="28"/>
    </row>
    <row r="467" ht="15.75" customHeight="1">
      <c r="D467" s="28"/>
      <c r="E467" s="28"/>
      <c r="F467" s="28"/>
    </row>
    <row r="468" ht="15.75" customHeight="1">
      <c r="D468" s="28"/>
      <c r="E468" s="28"/>
      <c r="F468" s="28"/>
    </row>
    <row r="469" ht="15.75" customHeight="1">
      <c r="D469" s="28"/>
      <c r="E469" s="28"/>
      <c r="F469" s="28"/>
    </row>
    <row r="470" ht="15.75" customHeight="1">
      <c r="D470" s="28"/>
      <c r="E470" s="28"/>
      <c r="F470" s="28"/>
    </row>
    <row r="471" ht="15.75" customHeight="1">
      <c r="D471" s="28"/>
      <c r="E471" s="28"/>
      <c r="F471" s="28"/>
    </row>
    <row r="472" ht="15.75" customHeight="1">
      <c r="D472" s="28"/>
      <c r="E472" s="28"/>
      <c r="F472" s="28"/>
    </row>
    <row r="473" ht="15.75" customHeight="1">
      <c r="D473" s="28"/>
      <c r="E473" s="28"/>
      <c r="F473" s="28"/>
    </row>
    <row r="474" ht="15.75" customHeight="1">
      <c r="D474" s="28"/>
      <c r="E474" s="28"/>
      <c r="F474" s="28"/>
    </row>
    <row r="475" ht="15.75" customHeight="1">
      <c r="D475" s="28"/>
      <c r="E475" s="28"/>
      <c r="F475" s="28"/>
    </row>
    <row r="476" ht="15.75" customHeight="1">
      <c r="D476" s="28"/>
      <c r="E476" s="28"/>
      <c r="F476" s="28"/>
    </row>
    <row r="477" ht="15.75" customHeight="1">
      <c r="D477" s="28"/>
      <c r="E477" s="28"/>
      <c r="F477" s="28"/>
    </row>
    <row r="478" ht="15.75" customHeight="1">
      <c r="D478" s="28"/>
      <c r="E478" s="28"/>
      <c r="F478" s="28"/>
    </row>
    <row r="479" ht="15.75" customHeight="1">
      <c r="D479" s="28"/>
      <c r="E479" s="28"/>
      <c r="F479" s="28"/>
    </row>
    <row r="480" ht="15.75" customHeight="1">
      <c r="D480" s="28"/>
      <c r="E480" s="28"/>
      <c r="F480" s="28"/>
    </row>
    <row r="481" ht="15.75" customHeight="1">
      <c r="D481" s="28"/>
      <c r="E481" s="28"/>
      <c r="F481" s="28"/>
    </row>
    <row r="482" ht="15.75" customHeight="1">
      <c r="D482" s="28"/>
      <c r="E482" s="28"/>
      <c r="F482" s="28"/>
    </row>
    <row r="483" ht="15.75" customHeight="1">
      <c r="D483" s="28"/>
      <c r="E483" s="28"/>
      <c r="F483" s="28"/>
    </row>
    <row r="484" ht="15.75" customHeight="1">
      <c r="D484" s="28"/>
      <c r="E484" s="28"/>
      <c r="F484" s="28"/>
    </row>
    <row r="485" ht="15.75" customHeight="1">
      <c r="D485" s="28"/>
      <c r="E485" s="28"/>
      <c r="F485" s="28"/>
    </row>
    <row r="486" ht="15.75" customHeight="1">
      <c r="D486" s="28"/>
      <c r="E486" s="28"/>
      <c r="F486" s="28"/>
    </row>
    <row r="487" ht="15.75" customHeight="1">
      <c r="D487" s="28"/>
      <c r="E487" s="28"/>
      <c r="F487" s="28"/>
    </row>
    <row r="488" ht="15.75" customHeight="1">
      <c r="D488" s="28"/>
      <c r="E488" s="28"/>
      <c r="F488" s="28"/>
    </row>
    <row r="489" ht="15.75" customHeight="1">
      <c r="D489" s="28"/>
      <c r="E489" s="28"/>
      <c r="F489" s="28"/>
    </row>
    <row r="490" ht="15.75" customHeight="1">
      <c r="D490" s="28"/>
      <c r="E490" s="28"/>
      <c r="F490" s="28"/>
    </row>
    <row r="491" ht="15.75" customHeight="1">
      <c r="D491" s="28"/>
      <c r="E491" s="28"/>
      <c r="F491" s="28"/>
    </row>
    <row r="492" ht="15.75" customHeight="1">
      <c r="D492" s="28"/>
      <c r="E492" s="28"/>
      <c r="F492" s="28"/>
    </row>
    <row r="493" ht="15.75" customHeight="1">
      <c r="D493" s="28"/>
      <c r="E493" s="28"/>
      <c r="F493" s="28"/>
    </row>
    <row r="494" ht="15.75" customHeight="1">
      <c r="D494" s="28"/>
      <c r="E494" s="28"/>
      <c r="F494" s="28"/>
    </row>
    <row r="495" ht="15.75" customHeight="1">
      <c r="D495" s="28"/>
      <c r="E495" s="28"/>
      <c r="F495" s="28"/>
    </row>
    <row r="496" ht="15.75" customHeight="1">
      <c r="D496" s="28"/>
      <c r="E496" s="28"/>
      <c r="F496" s="28"/>
    </row>
    <row r="497" ht="15.75" customHeight="1">
      <c r="D497" s="28"/>
      <c r="E497" s="28"/>
      <c r="F497" s="28"/>
    </row>
    <row r="498" ht="15.75" customHeight="1">
      <c r="D498" s="28"/>
      <c r="E498" s="28"/>
      <c r="F498" s="28"/>
    </row>
    <row r="499" ht="15.75" customHeight="1">
      <c r="D499" s="28"/>
      <c r="E499" s="28"/>
      <c r="F499" s="28"/>
    </row>
    <row r="500" ht="15.75" customHeight="1">
      <c r="D500" s="28"/>
      <c r="E500" s="28"/>
      <c r="F500" s="28"/>
    </row>
    <row r="501" ht="15.75" customHeight="1">
      <c r="D501" s="28"/>
      <c r="E501" s="28"/>
      <c r="F501" s="28"/>
    </row>
    <row r="502" ht="15.75" customHeight="1">
      <c r="D502" s="28"/>
      <c r="E502" s="28"/>
      <c r="F502" s="28"/>
    </row>
    <row r="503" ht="15.75" customHeight="1">
      <c r="D503" s="28"/>
      <c r="E503" s="28"/>
      <c r="F503" s="28"/>
    </row>
    <row r="504" ht="15.75" customHeight="1">
      <c r="D504" s="28"/>
      <c r="E504" s="28"/>
      <c r="F504" s="28"/>
    </row>
    <row r="505" ht="15.75" customHeight="1">
      <c r="D505" s="28"/>
      <c r="E505" s="28"/>
      <c r="F505" s="28"/>
    </row>
    <row r="506" ht="15.75" customHeight="1">
      <c r="D506" s="28"/>
      <c r="E506" s="28"/>
      <c r="F506" s="28"/>
    </row>
    <row r="507" ht="15.75" customHeight="1">
      <c r="D507" s="28"/>
      <c r="E507" s="28"/>
      <c r="F507" s="28"/>
    </row>
    <row r="508" ht="15.75" customHeight="1">
      <c r="D508" s="28"/>
      <c r="E508" s="28"/>
      <c r="F508" s="28"/>
    </row>
    <row r="509" ht="15.75" customHeight="1">
      <c r="D509" s="28"/>
      <c r="E509" s="28"/>
      <c r="F509" s="28"/>
    </row>
    <row r="510" ht="15.75" customHeight="1">
      <c r="D510" s="28"/>
      <c r="E510" s="28"/>
      <c r="F510" s="28"/>
    </row>
    <row r="511" ht="15.75" customHeight="1">
      <c r="D511" s="28"/>
      <c r="E511" s="28"/>
      <c r="F511" s="28"/>
    </row>
    <row r="512" ht="15.75" customHeight="1">
      <c r="D512" s="28"/>
      <c r="E512" s="28"/>
      <c r="F512" s="28"/>
    </row>
    <row r="513" ht="15.75" customHeight="1">
      <c r="D513" s="28"/>
      <c r="E513" s="28"/>
      <c r="F513" s="28"/>
    </row>
    <row r="514" ht="15.75" customHeight="1">
      <c r="D514" s="28"/>
      <c r="E514" s="28"/>
      <c r="F514" s="28"/>
    </row>
    <row r="515" ht="15.75" customHeight="1">
      <c r="D515" s="28"/>
      <c r="E515" s="28"/>
      <c r="F515" s="28"/>
    </row>
    <row r="516" ht="15.75" customHeight="1">
      <c r="D516" s="28"/>
      <c r="E516" s="28"/>
      <c r="F516" s="28"/>
    </row>
    <row r="517" ht="15.75" customHeight="1">
      <c r="D517" s="28"/>
      <c r="E517" s="28"/>
      <c r="F517" s="28"/>
    </row>
    <row r="518" ht="15.75" customHeight="1">
      <c r="D518" s="28"/>
      <c r="E518" s="28"/>
      <c r="F518" s="28"/>
    </row>
    <row r="519" ht="15.75" customHeight="1">
      <c r="D519" s="28"/>
      <c r="E519" s="28"/>
      <c r="F519" s="28"/>
    </row>
    <row r="520" ht="15.75" customHeight="1">
      <c r="D520" s="28"/>
      <c r="E520" s="28"/>
      <c r="F520" s="28"/>
    </row>
    <row r="521" ht="15.75" customHeight="1">
      <c r="D521" s="28"/>
      <c r="E521" s="28"/>
      <c r="F521" s="28"/>
    </row>
    <row r="522" ht="15.75" customHeight="1">
      <c r="D522" s="28"/>
      <c r="E522" s="28"/>
      <c r="F522" s="28"/>
    </row>
    <row r="523" ht="15.75" customHeight="1">
      <c r="D523" s="28"/>
      <c r="E523" s="28"/>
      <c r="F523" s="28"/>
    </row>
    <row r="524" ht="15.75" customHeight="1">
      <c r="D524" s="28"/>
      <c r="E524" s="28"/>
      <c r="F524" s="28"/>
    </row>
    <row r="525" ht="15.75" customHeight="1">
      <c r="D525" s="28"/>
      <c r="E525" s="28"/>
      <c r="F525" s="28"/>
    </row>
    <row r="526" ht="15.75" customHeight="1">
      <c r="D526" s="28"/>
      <c r="E526" s="28"/>
      <c r="F526" s="28"/>
    </row>
    <row r="527" ht="15.75" customHeight="1">
      <c r="D527" s="28"/>
      <c r="E527" s="28"/>
      <c r="F527" s="28"/>
    </row>
    <row r="528" ht="15.75" customHeight="1">
      <c r="D528" s="28"/>
      <c r="E528" s="28"/>
      <c r="F528" s="28"/>
    </row>
    <row r="529" ht="15.75" customHeight="1">
      <c r="D529" s="28"/>
      <c r="E529" s="28"/>
      <c r="F529" s="28"/>
    </row>
    <row r="530" ht="15.75" customHeight="1">
      <c r="D530" s="28"/>
      <c r="E530" s="28"/>
      <c r="F530" s="28"/>
    </row>
    <row r="531" ht="15.75" customHeight="1">
      <c r="D531" s="28"/>
      <c r="E531" s="28"/>
      <c r="F531" s="28"/>
    </row>
    <row r="532" ht="15.75" customHeight="1">
      <c r="D532" s="28"/>
      <c r="E532" s="28"/>
      <c r="F532" s="28"/>
    </row>
    <row r="533" ht="15.75" customHeight="1">
      <c r="D533" s="28"/>
      <c r="E533" s="28"/>
      <c r="F533" s="28"/>
    </row>
    <row r="534" ht="15.75" customHeight="1">
      <c r="D534" s="28"/>
      <c r="E534" s="28"/>
      <c r="F534" s="28"/>
    </row>
    <row r="535" ht="15.75" customHeight="1">
      <c r="D535" s="28"/>
      <c r="E535" s="28"/>
      <c r="F535" s="28"/>
    </row>
    <row r="536" ht="15.75" customHeight="1">
      <c r="D536" s="28"/>
      <c r="E536" s="28"/>
      <c r="F536" s="28"/>
    </row>
    <row r="537" ht="15.75" customHeight="1">
      <c r="D537" s="28"/>
      <c r="E537" s="28"/>
      <c r="F537" s="28"/>
    </row>
    <row r="538" ht="15.75" customHeight="1">
      <c r="D538" s="28"/>
      <c r="E538" s="28"/>
      <c r="F538" s="28"/>
    </row>
    <row r="539" ht="15.75" customHeight="1">
      <c r="D539" s="28"/>
      <c r="E539" s="28"/>
      <c r="F539" s="28"/>
    </row>
    <row r="540" ht="15.75" customHeight="1">
      <c r="D540" s="28"/>
      <c r="E540" s="28"/>
      <c r="F540" s="28"/>
    </row>
    <row r="541" ht="15.75" customHeight="1">
      <c r="D541" s="28"/>
      <c r="E541" s="28"/>
      <c r="F541" s="28"/>
    </row>
    <row r="542" ht="15.75" customHeight="1">
      <c r="D542" s="28"/>
      <c r="E542" s="28"/>
      <c r="F542" s="28"/>
    </row>
    <row r="543" ht="15.75" customHeight="1">
      <c r="D543" s="28"/>
      <c r="E543" s="28"/>
      <c r="F543" s="28"/>
    </row>
    <row r="544" ht="15.75" customHeight="1">
      <c r="D544" s="28"/>
      <c r="E544" s="28"/>
      <c r="F544" s="28"/>
    </row>
    <row r="545" ht="15.75" customHeight="1">
      <c r="D545" s="28"/>
      <c r="E545" s="28"/>
      <c r="F545" s="28"/>
    </row>
    <row r="546" ht="15.75" customHeight="1">
      <c r="D546" s="28"/>
      <c r="E546" s="28"/>
      <c r="F546" s="28"/>
    </row>
    <row r="547" ht="15.75" customHeight="1">
      <c r="D547" s="28"/>
      <c r="E547" s="28"/>
      <c r="F547" s="28"/>
    </row>
    <row r="548" ht="15.75" customHeight="1">
      <c r="D548" s="28"/>
      <c r="E548" s="28"/>
      <c r="F548" s="28"/>
    </row>
    <row r="549" ht="15.75" customHeight="1">
      <c r="D549" s="28"/>
      <c r="E549" s="28"/>
      <c r="F549" s="28"/>
    </row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2.88"/>
    <col customWidth="1" min="6" max="6" width="16.13"/>
    <col customWidth="1" min="7" max="7" width="19.13"/>
    <col customWidth="1" min="8" max="8" width="18.13"/>
    <col customWidth="1" min="9" max="9" width="17.38"/>
  </cols>
  <sheetData>
    <row r="1" ht="15.75" customHeight="1">
      <c r="A1" s="36" t="s">
        <v>130</v>
      </c>
      <c r="B1" s="36" t="s">
        <v>135</v>
      </c>
      <c r="C1" s="36" t="s">
        <v>136</v>
      </c>
      <c r="D1" s="36" t="s">
        <v>137</v>
      </c>
      <c r="E1" s="5" t="s">
        <v>138</v>
      </c>
      <c r="F1" s="5" t="s">
        <v>139</v>
      </c>
      <c r="G1" s="6" t="s">
        <v>140</v>
      </c>
      <c r="H1" s="6" t="s">
        <v>141</v>
      </c>
      <c r="I1" s="6" t="s">
        <v>142</v>
      </c>
    </row>
    <row r="2" ht="15.75" customHeight="1">
      <c r="A2" s="25" t="s">
        <v>47</v>
      </c>
      <c r="B2" s="25">
        <v>45.0</v>
      </c>
      <c r="C2" s="25">
        <v>16.0</v>
      </c>
      <c r="D2" s="24">
        <v>2.8125</v>
      </c>
      <c r="E2" s="15">
        <v>29.216249999999995</v>
      </c>
      <c r="F2" s="15">
        <v>82.43625</v>
      </c>
      <c r="G2" s="25">
        <v>5.422499999999999</v>
      </c>
      <c r="H2" s="25">
        <v>40.535</v>
      </c>
      <c r="I2" s="25">
        <v>43.995000000000005</v>
      </c>
    </row>
    <row r="3" ht="15.75" customHeight="1">
      <c r="A3" s="25" t="s">
        <v>54</v>
      </c>
      <c r="B3" s="25">
        <v>24.0</v>
      </c>
      <c r="C3" s="25">
        <v>22.0</v>
      </c>
      <c r="D3" s="24">
        <v>1.0909090909090908</v>
      </c>
      <c r="E3" s="25">
        <v>29.26</v>
      </c>
      <c r="F3" s="25">
        <v>86.99071428571429</v>
      </c>
      <c r="G3" s="25">
        <v>5.596923076923077</v>
      </c>
      <c r="H3" s="25">
        <v>26.36384615384615</v>
      </c>
      <c r="I3" s="25">
        <v>26.93846153846153</v>
      </c>
    </row>
    <row r="4" ht="15.75" customHeight="1">
      <c r="A4" s="25" t="s">
        <v>48</v>
      </c>
      <c r="B4" s="25">
        <v>27.0</v>
      </c>
      <c r="C4" s="25">
        <v>24.0</v>
      </c>
      <c r="D4" s="24">
        <v>1.125</v>
      </c>
      <c r="E4" s="25">
        <v>27.727333333333334</v>
      </c>
      <c r="F4" s="25">
        <v>92.17733333333332</v>
      </c>
      <c r="G4" s="25">
        <v>5.772307692307693</v>
      </c>
      <c r="H4" s="25">
        <v>39.89076923076924</v>
      </c>
      <c r="I4" s="25">
        <v>41.56384615384616</v>
      </c>
    </row>
    <row r="5" ht="15.75" customHeight="1">
      <c r="A5" s="25" t="s">
        <v>56</v>
      </c>
      <c r="B5" s="25">
        <v>24.0</v>
      </c>
      <c r="C5" s="25">
        <v>32.0</v>
      </c>
      <c r="D5" s="24">
        <v>0.75</v>
      </c>
      <c r="E5" s="25">
        <v>29.453333333333333</v>
      </c>
      <c r="F5" s="25">
        <v>88.70466666666665</v>
      </c>
      <c r="G5" s="25">
        <v>5.574545454545454</v>
      </c>
      <c r="H5" s="25">
        <v>33.232727272727274</v>
      </c>
      <c r="I5" s="25">
        <v>35.72636363636363</v>
      </c>
    </row>
    <row r="6" ht="15.75" customHeight="1">
      <c r="A6" s="25" t="s">
        <v>58</v>
      </c>
      <c r="B6" s="25">
        <v>36.0</v>
      </c>
      <c r="C6" s="25">
        <v>26.0</v>
      </c>
      <c r="D6" s="24">
        <v>1.3846153846153846</v>
      </c>
      <c r="E6" s="25">
        <v>30.137999999999998</v>
      </c>
      <c r="F6" s="25">
        <v>100.968</v>
      </c>
      <c r="G6" s="25">
        <v>5.778333333333333</v>
      </c>
      <c r="H6" s="25">
        <v>37.89333333333334</v>
      </c>
      <c r="I6" s="25">
        <v>39.69166666666667</v>
      </c>
    </row>
    <row r="7" ht="15.75" customHeight="1">
      <c r="A7" s="25" t="s">
        <v>59</v>
      </c>
      <c r="B7" s="25">
        <v>24.0</v>
      </c>
      <c r="C7" s="25">
        <v>24.0</v>
      </c>
      <c r="D7" s="24">
        <v>1.0</v>
      </c>
      <c r="E7" s="25">
        <v>28.993333333333332</v>
      </c>
      <c r="F7" s="25">
        <v>91.364</v>
      </c>
      <c r="G7" s="25">
        <v>5.425454545454545</v>
      </c>
      <c r="H7" s="25">
        <v>46.032727272727264</v>
      </c>
      <c r="I7" s="25">
        <v>51.62</v>
      </c>
    </row>
    <row r="8" ht="15.75" customHeight="1">
      <c r="A8" s="25" t="s">
        <v>62</v>
      </c>
      <c r="B8" s="25">
        <v>7.0</v>
      </c>
      <c r="C8" s="25">
        <v>32.0</v>
      </c>
      <c r="D8" s="24">
        <v>0.21875</v>
      </c>
      <c r="E8" s="25">
        <v>24.878750000000004</v>
      </c>
      <c r="F8" s="25">
        <v>76.75124999999998</v>
      </c>
      <c r="G8" s="25">
        <v>5.679166666666667</v>
      </c>
      <c r="H8" s="25">
        <v>34.49333333333333</v>
      </c>
      <c r="I8" s="25">
        <v>38.29833333333333</v>
      </c>
    </row>
    <row r="9" ht="15.75" customHeight="1">
      <c r="A9" s="25" t="s">
        <v>61</v>
      </c>
      <c r="B9" s="25">
        <v>13.0</v>
      </c>
      <c r="C9" s="25">
        <v>24.0</v>
      </c>
      <c r="D9" s="24">
        <v>0.5416666666666666</v>
      </c>
      <c r="E9" s="25">
        <v>21.11625</v>
      </c>
      <c r="F9" s="25">
        <v>78.83125</v>
      </c>
      <c r="G9" s="25">
        <v>5.192727272727272</v>
      </c>
      <c r="H9" s="25">
        <v>33.17</v>
      </c>
      <c r="I9" s="25">
        <v>38.899090909090894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5.13"/>
    <col customWidth="1" min="5" max="5" width="12.63"/>
    <col customWidth="1" min="6" max="6" width="15.25"/>
    <col customWidth="1" min="7" max="7" width="17.38"/>
  </cols>
  <sheetData>
    <row r="1" ht="15.75" customHeight="1">
      <c r="A1" s="25" t="s">
        <v>143</v>
      </c>
      <c r="B1" s="25" t="s">
        <v>144</v>
      </c>
      <c r="C1" s="25" t="s">
        <v>145</v>
      </c>
      <c r="D1" s="25" t="s">
        <v>146</v>
      </c>
      <c r="E1" s="25" t="s">
        <v>13</v>
      </c>
      <c r="F1" s="25" t="s">
        <v>147</v>
      </c>
      <c r="G1" s="25" t="s">
        <v>148</v>
      </c>
    </row>
    <row r="2" ht="15.75" customHeight="1">
      <c r="A2" s="25" t="s">
        <v>48</v>
      </c>
      <c r="B2" s="25" t="s">
        <v>56</v>
      </c>
      <c r="C2" s="25">
        <v>388.0</v>
      </c>
      <c r="D2" s="25">
        <v>383.0</v>
      </c>
      <c r="E2" s="25" t="s">
        <v>48</v>
      </c>
      <c r="F2" s="25">
        <v>5.0</v>
      </c>
      <c r="G2" s="25">
        <v>0.0</v>
      </c>
    </row>
    <row r="3" ht="15.75" customHeight="1">
      <c r="A3" s="25" t="s">
        <v>59</v>
      </c>
      <c r="B3" s="25" t="s">
        <v>54</v>
      </c>
      <c r="C3" s="25">
        <v>270.0</v>
      </c>
      <c r="D3" s="25">
        <v>271.0</v>
      </c>
      <c r="E3" s="25" t="s">
        <v>54</v>
      </c>
      <c r="F3" s="25">
        <v>0.0</v>
      </c>
      <c r="G3" s="25">
        <v>1.0</v>
      </c>
    </row>
    <row r="4" ht="15.75" customHeight="1">
      <c r="A4" s="25" t="s">
        <v>54</v>
      </c>
      <c r="B4" s="25" t="s">
        <v>61</v>
      </c>
      <c r="C4" s="25">
        <v>382.0</v>
      </c>
      <c r="D4" s="25">
        <v>286.0</v>
      </c>
      <c r="E4" s="25" t="s">
        <v>54</v>
      </c>
      <c r="F4" s="25">
        <v>149.0</v>
      </c>
      <c r="G4" s="25">
        <v>0.0</v>
      </c>
    </row>
    <row r="5" ht="15.75" customHeight="1">
      <c r="A5" s="25" t="s">
        <v>47</v>
      </c>
      <c r="B5" s="25" t="s">
        <v>56</v>
      </c>
      <c r="C5" s="25">
        <v>274.0</v>
      </c>
      <c r="D5" s="25">
        <v>273.0</v>
      </c>
      <c r="E5" s="25" t="s">
        <v>47</v>
      </c>
      <c r="F5" s="25">
        <v>0.0</v>
      </c>
      <c r="G5" s="25">
        <v>4.0</v>
      </c>
    </row>
    <row r="6" ht="15.75" customHeight="1">
      <c r="A6" s="25" t="s">
        <v>54</v>
      </c>
      <c r="B6" s="25" t="s">
        <v>58</v>
      </c>
      <c r="C6" s="25">
        <v>399.0</v>
      </c>
      <c r="D6" s="25">
        <v>170.0</v>
      </c>
      <c r="E6" s="25" t="s">
        <v>54</v>
      </c>
      <c r="F6" s="25">
        <v>229.0</v>
      </c>
      <c r="G6" s="25">
        <v>0.0</v>
      </c>
    </row>
    <row r="7" ht="15.75" customHeight="1">
      <c r="A7" s="25" t="s">
        <v>48</v>
      </c>
      <c r="B7" s="25" t="s">
        <v>59</v>
      </c>
      <c r="C7" s="25">
        <v>367.0</v>
      </c>
      <c r="D7" s="25">
        <v>307.0</v>
      </c>
      <c r="E7" s="25" t="s">
        <v>48</v>
      </c>
      <c r="F7" s="25">
        <v>62.0</v>
      </c>
      <c r="G7" s="25">
        <v>0.0</v>
      </c>
    </row>
    <row r="8" ht="15.75" customHeight="1">
      <c r="A8" s="25" t="s">
        <v>47</v>
      </c>
      <c r="B8" s="25" t="s">
        <v>61</v>
      </c>
      <c r="C8" s="25">
        <v>261.0</v>
      </c>
      <c r="D8" s="25">
        <v>256.0</v>
      </c>
      <c r="E8" s="25" t="s">
        <v>47</v>
      </c>
      <c r="F8" s="25">
        <v>0.0</v>
      </c>
      <c r="G8" s="25">
        <v>7.0</v>
      </c>
    </row>
    <row r="9" ht="15.75" customHeight="1">
      <c r="A9" s="25" t="s">
        <v>48</v>
      </c>
      <c r="B9" s="25" t="s">
        <v>62</v>
      </c>
      <c r="C9" s="25">
        <v>215.0</v>
      </c>
      <c r="D9" s="25">
        <v>209.0</v>
      </c>
      <c r="E9" s="25" t="s">
        <v>48</v>
      </c>
      <c r="F9" s="25">
        <v>0.0</v>
      </c>
      <c r="G9" s="25">
        <v>5.0</v>
      </c>
    </row>
    <row r="10" ht="15.75" customHeight="1">
      <c r="A10" s="25" t="s">
        <v>47</v>
      </c>
      <c r="B10" s="25" t="s">
        <v>59</v>
      </c>
      <c r="C10" s="25">
        <v>192.0</v>
      </c>
      <c r="D10" s="25">
        <v>191.0</v>
      </c>
      <c r="E10" s="25" t="s">
        <v>47</v>
      </c>
      <c r="F10" s="25">
        <v>0.0</v>
      </c>
      <c r="G10" s="25">
        <v>7.0</v>
      </c>
    </row>
    <row r="11" ht="15.75" customHeight="1">
      <c r="A11" s="25" t="s">
        <v>56</v>
      </c>
      <c r="B11" s="25" t="s">
        <v>61</v>
      </c>
      <c r="C11" s="25">
        <v>248.0</v>
      </c>
      <c r="D11" s="25">
        <v>245.0</v>
      </c>
      <c r="E11" s="25" t="s">
        <v>56</v>
      </c>
      <c r="F11" s="25">
        <v>0.0</v>
      </c>
      <c r="G11" s="25">
        <v>8.0</v>
      </c>
    </row>
    <row r="12" ht="15.75" customHeight="1">
      <c r="A12" s="25" t="s">
        <v>48</v>
      </c>
      <c r="B12" s="25" t="s">
        <v>54</v>
      </c>
      <c r="C12" s="25">
        <v>177.0</v>
      </c>
      <c r="D12" s="25">
        <v>311.0</v>
      </c>
      <c r="E12" s="25" t="s">
        <v>54</v>
      </c>
      <c r="F12" s="25">
        <v>134.0</v>
      </c>
      <c r="G12" s="25">
        <v>0.0</v>
      </c>
    </row>
    <row r="13" ht="15.75" customHeight="1">
      <c r="A13" s="25" t="s">
        <v>59</v>
      </c>
      <c r="B13" s="25" t="s">
        <v>62</v>
      </c>
      <c r="C13" s="25">
        <v>345.0</v>
      </c>
      <c r="D13" s="25">
        <v>344.0</v>
      </c>
      <c r="E13" s="25" t="s">
        <v>59</v>
      </c>
      <c r="F13" s="25">
        <v>0.0</v>
      </c>
      <c r="G13" s="25">
        <v>6.0</v>
      </c>
    </row>
    <row r="14" ht="15.75" customHeight="1">
      <c r="A14" s="25" t="s">
        <v>58</v>
      </c>
      <c r="B14" s="25" t="s">
        <v>61</v>
      </c>
      <c r="C14" s="25">
        <v>364.0</v>
      </c>
      <c r="D14" s="25">
        <v>227.0</v>
      </c>
      <c r="E14" s="25" t="s">
        <v>58</v>
      </c>
      <c r="F14" s="25">
        <v>137.0</v>
      </c>
      <c r="G14" s="25">
        <v>0.0</v>
      </c>
    </row>
    <row r="15" ht="15.75" customHeight="1">
      <c r="A15" s="25" t="s">
        <v>47</v>
      </c>
      <c r="B15" s="25" t="s">
        <v>48</v>
      </c>
      <c r="C15" s="25">
        <v>201.0</v>
      </c>
      <c r="D15" s="25">
        <v>199.0</v>
      </c>
      <c r="E15" s="25" t="s">
        <v>47</v>
      </c>
      <c r="F15" s="25">
        <v>0.0</v>
      </c>
      <c r="G15" s="25">
        <v>6.0</v>
      </c>
    </row>
    <row r="16" ht="15.75" customHeight="1">
      <c r="A16" s="25" t="s">
        <v>54</v>
      </c>
      <c r="B16" s="25" t="s">
        <v>62</v>
      </c>
      <c r="C16" s="25">
        <v>428.0</v>
      </c>
      <c r="D16" s="25">
        <v>326.0</v>
      </c>
      <c r="E16" s="25" t="s">
        <v>54</v>
      </c>
      <c r="F16" s="25">
        <v>102.0</v>
      </c>
      <c r="G16" s="25">
        <v>0.0</v>
      </c>
    </row>
    <row r="17" ht="15.75" customHeight="1">
      <c r="A17" s="25" t="s">
        <v>58</v>
      </c>
      <c r="B17" s="25" t="s">
        <v>56</v>
      </c>
      <c r="C17" s="25">
        <v>282.0</v>
      </c>
      <c r="D17" s="25">
        <v>283.0</v>
      </c>
      <c r="E17" s="25" t="s">
        <v>56</v>
      </c>
      <c r="F17" s="25">
        <v>0.0</v>
      </c>
      <c r="G17" s="25">
        <v>9.0</v>
      </c>
    </row>
    <row r="18" ht="15.75" customHeight="1">
      <c r="A18" s="25" t="s">
        <v>48</v>
      </c>
      <c r="B18" s="25" t="s">
        <v>59</v>
      </c>
      <c r="C18" s="25">
        <v>351.0</v>
      </c>
      <c r="D18" s="25">
        <v>337.0</v>
      </c>
      <c r="E18" s="25" t="s">
        <v>48</v>
      </c>
      <c r="F18" s="25">
        <v>14.0</v>
      </c>
      <c r="G18" s="25">
        <v>0.0</v>
      </c>
    </row>
    <row r="19" ht="15.75" customHeight="1">
      <c r="A19" s="25" t="s">
        <v>58</v>
      </c>
      <c r="B19" s="25" t="s">
        <v>61</v>
      </c>
      <c r="C19" s="25">
        <v>197.0</v>
      </c>
      <c r="D19" s="25">
        <v>188.0</v>
      </c>
      <c r="E19" s="25" t="s">
        <v>58</v>
      </c>
      <c r="F19" s="25">
        <v>0.0</v>
      </c>
      <c r="G19" s="25">
        <v>4.0</v>
      </c>
    </row>
    <row r="20" ht="15.75" customHeight="1">
      <c r="A20" s="25" t="s">
        <v>59</v>
      </c>
      <c r="B20" s="25" t="s">
        <v>56</v>
      </c>
      <c r="C20" s="25">
        <v>345.0</v>
      </c>
      <c r="D20" s="25">
        <v>346.0</v>
      </c>
      <c r="E20" s="25" t="s">
        <v>56</v>
      </c>
      <c r="F20" s="25">
        <v>0.0</v>
      </c>
      <c r="G20" s="25">
        <v>5.0</v>
      </c>
    </row>
    <row r="21" ht="15.75" customHeight="1">
      <c r="A21" s="25" t="s">
        <v>62</v>
      </c>
      <c r="B21" s="25" t="s">
        <v>61</v>
      </c>
      <c r="C21" s="25">
        <v>263.0</v>
      </c>
      <c r="D21" s="25">
        <v>264.0</v>
      </c>
      <c r="E21" s="25" t="s">
        <v>61</v>
      </c>
      <c r="F21" s="25">
        <v>0.0</v>
      </c>
      <c r="G21" s="25">
        <v>7.0</v>
      </c>
    </row>
    <row r="22" ht="15.75" customHeight="1">
      <c r="A22" s="25" t="s">
        <v>58</v>
      </c>
      <c r="B22" s="25" t="s">
        <v>56</v>
      </c>
      <c r="C22" s="25">
        <v>175.0</v>
      </c>
      <c r="D22" s="25">
        <v>179.0</v>
      </c>
      <c r="E22" s="25" t="s">
        <v>56</v>
      </c>
      <c r="F22" s="25">
        <v>0.0</v>
      </c>
      <c r="G22" s="25">
        <v>6.0</v>
      </c>
    </row>
    <row r="23" ht="15.75" customHeight="1">
      <c r="A23" s="25" t="s">
        <v>48</v>
      </c>
      <c r="B23" s="25" t="s">
        <v>54</v>
      </c>
      <c r="C23" s="25">
        <v>191.0</v>
      </c>
      <c r="D23" s="25">
        <v>190.0</v>
      </c>
      <c r="E23" s="25" t="s">
        <v>48</v>
      </c>
      <c r="F23" s="25">
        <v>0.0</v>
      </c>
      <c r="G23" s="25">
        <v>5.0</v>
      </c>
    </row>
    <row r="24" ht="15.75" customHeight="1">
      <c r="A24" s="25" t="s">
        <v>58</v>
      </c>
      <c r="B24" s="25" t="s">
        <v>56</v>
      </c>
      <c r="C24" s="25">
        <v>128.0</v>
      </c>
      <c r="D24" s="25">
        <v>202.0</v>
      </c>
      <c r="E24" s="25" t="s">
        <v>56</v>
      </c>
      <c r="F24" s="25">
        <v>74.0</v>
      </c>
      <c r="G24" s="25">
        <v>0.0</v>
      </c>
    </row>
    <row r="25" ht="15.75" customHeight="1">
      <c r="A25" s="25" t="s">
        <v>48</v>
      </c>
      <c r="B25" s="25" t="s">
        <v>54</v>
      </c>
      <c r="C25" s="25">
        <v>168.0</v>
      </c>
      <c r="D25" s="25">
        <v>164.0</v>
      </c>
      <c r="E25" s="25" t="s">
        <v>48</v>
      </c>
      <c r="F25" s="25">
        <v>0.0</v>
      </c>
      <c r="G25" s="25">
        <v>8.0</v>
      </c>
    </row>
    <row r="26" ht="15.75" customHeight="1">
      <c r="A26" s="25" t="s">
        <v>58</v>
      </c>
      <c r="B26" s="25" t="s">
        <v>56</v>
      </c>
      <c r="C26" s="25">
        <v>198.0</v>
      </c>
      <c r="D26" s="25">
        <v>103.0</v>
      </c>
      <c r="E26" s="25" t="s">
        <v>58</v>
      </c>
      <c r="F26" s="25">
        <v>95.0</v>
      </c>
      <c r="G26" s="25">
        <v>0.0</v>
      </c>
    </row>
    <row r="27" ht="15.75" customHeight="1">
      <c r="A27" s="25" t="s">
        <v>48</v>
      </c>
      <c r="B27" s="25" t="s">
        <v>54</v>
      </c>
      <c r="C27" s="25">
        <v>226.0</v>
      </c>
      <c r="D27" s="25">
        <v>115.0</v>
      </c>
      <c r="E27" s="25" t="s">
        <v>48</v>
      </c>
      <c r="F27" s="25">
        <v>111.0</v>
      </c>
      <c r="G27" s="25">
        <v>0.0</v>
      </c>
    </row>
    <row r="28" ht="15.75" customHeight="1">
      <c r="A28" s="25" t="s">
        <v>58</v>
      </c>
      <c r="B28" s="25" t="s">
        <v>56</v>
      </c>
      <c r="C28" s="25">
        <v>143.0</v>
      </c>
      <c r="D28" s="25">
        <v>139.0</v>
      </c>
      <c r="E28" s="25" t="s">
        <v>58</v>
      </c>
      <c r="F28" s="25">
        <v>0.0</v>
      </c>
      <c r="G28" s="25">
        <v>7.0</v>
      </c>
    </row>
    <row r="29" ht="15.75" customHeight="1">
      <c r="A29" s="25" t="s">
        <v>59</v>
      </c>
      <c r="B29" s="25" t="s">
        <v>56</v>
      </c>
      <c r="C29" s="25">
        <v>193.0</v>
      </c>
      <c r="D29" s="25">
        <v>194.0</v>
      </c>
      <c r="E29" s="25" t="s">
        <v>56</v>
      </c>
      <c r="F29" s="25">
        <v>0.0</v>
      </c>
      <c r="G29" s="25">
        <v>6.0</v>
      </c>
    </row>
    <row r="30" ht="15.75" customHeight="1">
      <c r="A30" s="25" t="s">
        <v>59</v>
      </c>
      <c r="B30" s="25" t="s">
        <v>56</v>
      </c>
      <c r="C30" s="25">
        <v>159.0</v>
      </c>
      <c r="D30" s="25">
        <v>163.0</v>
      </c>
      <c r="E30" s="25" t="s">
        <v>56</v>
      </c>
      <c r="F30" s="25">
        <v>4.0</v>
      </c>
      <c r="G30" s="25">
        <v>0.0</v>
      </c>
    </row>
    <row r="31" ht="15.75" customHeight="1">
      <c r="A31" s="25" t="s">
        <v>59</v>
      </c>
      <c r="B31" s="25" t="s">
        <v>56</v>
      </c>
      <c r="C31" s="25">
        <v>192.0</v>
      </c>
      <c r="D31" s="25">
        <v>154.0</v>
      </c>
      <c r="E31" s="25" t="s">
        <v>59</v>
      </c>
      <c r="F31" s="25">
        <v>38.0</v>
      </c>
      <c r="G31" s="25">
        <v>0.0</v>
      </c>
    </row>
    <row r="32" ht="15.75" customHeight="1">
      <c r="A32" s="25" t="s">
        <v>59</v>
      </c>
      <c r="B32" s="25" t="s">
        <v>56</v>
      </c>
      <c r="C32" s="25">
        <v>182.0</v>
      </c>
      <c r="D32" s="25">
        <v>94.0</v>
      </c>
      <c r="E32" s="25" t="s">
        <v>59</v>
      </c>
      <c r="F32" s="25">
        <v>88.0</v>
      </c>
      <c r="G32" s="25">
        <v>0.0</v>
      </c>
    </row>
    <row r="33" ht="15.75" customHeight="1">
      <c r="A33" s="25" t="s">
        <v>56</v>
      </c>
      <c r="B33" s="25" t="s">
        <v>62</v>
      </c>
      <c r="C33" s="25">
        <v>183.0</v>
      </c>
      <c r="D33" s="25">
        <v>182.0</v>
      </c>
      <c r="E33" s="25" t="s">
        <v>56</v>
      </c>
      <c r="F33" s="25">
        <v>0.0</v>
      </c>
      <c r="G33" s="25">
        <v>4.0</v>
      </c>
    </row>
    <row r="34" ht="15.75" customHeight="1">
      <c r="A34" s="25" t="s">
        <v>56</v>
      </c>
      <c r="B34" s="25" t="s">
        <v>62</v>
      </c>
      <c r="C34" s="25">
        <v>146.0</v>
      </c>
      <c r="D34" s="25">
        <v>141.0</v>
      </c>
      <c r="E34" s="25" t="s">
        <v>56</v>
      </c>
      <c r="F34" s="25">
        <v>0.0</v>
      </c>
      <c r="G34" s="25">
        <v>9.0</v>
      </c>
    </row>
    <row r="35" ht="15.75" customHeight="1">
      <c r="A35" s="25" t="s">
        <v>58</v>
      </c>
      <c r="B35" s="25" t="s">
        <v>61</v>
      </c>
      <c r="C35" s="25">
        <v>142.0</v>
      </c>
      <c r="D35" s="25">
        <v>158.0</v>
      </c>
      <c r="E35" s="25" t="s">
        <v>61</v>
      </c>
      <c r="F35" s="25">
        <v>16.0</v>
      </c>
      <c r="G35" s="25">
        <v>0.0</v>
      </c>
    </row>
    <row r="36" ht="15.75" customHeight="1">
      <c r="A36" s="25" t="s">
        <v>58</v>
      </c>
      <c r="B36" s="25" t="s">
        <v>61</v>
      </c>
      <c r="C36" s="25">
        <v>117.0</v>
      </c>
      <c r="D36" s="25">
        <v>120.0</v>
      </c>
      <c r="E36" s="25" t="s">
        <v>61</v>
      </c>
      <c r="F36" s="25">
        <v>3.0</v>
      </c>
      <c r="G36" s="25">
        <v>0.0</v>
      </c>
    </row>
    <row r="37" ht="15.75" customHeight="1">
      <c r="A37" s="25" t="s">
        <v>58</v>
      </c>
      <c r="B37" s="25" t="s">
        <v>61</v>
      </c>
      <c r="C37" s="25">
        <v>117.0</v>
      </c>
      <c r="D37" s="25">
        <v>120.0</v>
      </c>
      <c r="E37" s="25" t="s">
        <v>61</v>
      </c>
      <c r="F37" s="25">
        <v>0.0</v>
      </c>
      <c r="G37" s="25">
        <v>4.0</v>
      </c>
    </row>
    <row r="38" ht="15.75" customHeight="1">
      <c r="A38" s="25" t="s">
        <v>58</v>
      </c>
      <c r="B38" s="25" t="s">
        <v>61</v>
      </c>
      <c r="C38" s="25">
        <v>156.0</v>
      </c>
      <c r="D38" s="25">
        <v>158.0</v>
      </c>
      <c r="E38" s="25" t="s">
        <v>61</v>
      </c>
      <c r="F38" s="25">
        <v>0.0</v>
      </c>
      <c r="G38" s="25">
        <v>6.0</v>
      </c>
    </row>
    <row r="39" ht="15.75" customHeight="1">
      <c r="A39" s="25" t="s">
        <v>58</v>
      </c>
      <c r="B39" s="25" t="s">
        <v>61</v>
      </c>
      <c r="C39" s="25">
        <v>156.0</v>
      </c>
      <c r="D39" s="25">
        <v>158.0</v>
      </c>
      <c r="E39" s="25" t="s">
        <v>61</v>
      </c>
      <c r="F39" s="25">
        <v>0.0</v>
      </c>
      <c r="G39" s="25">
        <v>6.0</v>
      </c>
    </row>
    <row r="40" ht="15.75" customHeight="1">
      <c r="A40" s="25" t="s">
        <v>47</v>
      </c>
      <c r="B40" s="25" t="s">
        <v>56</v>
      </c>
      <c r="C40" s="25">
        <v>234.0</v>
      </c>
      <c r="D40" s="25">
        <v>66.0</v>
      </c>
      <c r="E40" s="25" t="s">
        <v>47</v>
      </c>
      <c r="F40" s="25">
        <v>168.0</v>
      </c>
      <c r="G40" s="25">
        <v>0.0</v>
      </c>
    </row>
    <row r="41" ht="15.75" customHeight="1">
      <c r="A41" s="25" t="s">
        <v>47</v>
      </c>
      <c r="B41" s="25" t="s">
        <v>56</v>
      </c>
      <c r="C41" s="25">
        <v>234.0</v>
      </c>
      <c r="D41" s="25">
        <v>66.0</v>
      </c>
      <c r="E41" s="25" t="s">
        <v>47</v>
      </c>
      <c r="F41" s="25">
        <v>168.0</v>
      </c>
      <c r="G41" s="25">
        <v>0.0</v>
      </c>
    </row>
    <row r="42" ht="15.75" customHeight="1">
      <c r="A42" s="25" t="s">
        <v>47</v>
      </c>
      <c r="B42" s="25" t="s">
        <v>56</v>
      </c>
      <c r="C42" s="25">
        <v>101.0</v>
      </c>
      <c r="D42" s="25">
        <v>99.0</v>
      </c>
      <c r="E42" s="25" t="s">
        <v>47</v>
      </c>
      <c r="F42" s="25">
        <v>0.0</v>
      </c>
      <c r="G42" s="25">
        <v>6.0</v>
      </c>
    </row>
    <row r="43" ht="15.75" customHeight="1">
      <c r="A43" s="25" t="s">
        <v>47</v>
      </c>
      <c r="B43" s="25" t="s">
        <v>56</v>
      </c>
      <c r="C43" s="25">
        <v>101.0</v>
      </c>
      <c r="D43" s="25">
        <v>99.0</v>
      </c>
      <c r="E43" s="25" t="s">
        <v>47</v>
      </c>
      <c r="F43" s="25">
        <v>0.0</v>
      </c>
      <c r="G43" s="25">
        <v>6.0</v>
      </c>
    </row>
    <row r="44" ht="15.75" customHeight="1">
      <c r="A44" s="25" t="s">
        <v>47</v>
      </c>
      <c r="B44" s="25" t="s">
        <v>56</v>
      </c>
      <c r="C44" s="25">
        <v>155.0</v>
      </c>
      <c r="D44" s="25">
        <v>176.0</v>
      </c>
      <c r="E44" s="25" t="s">
        <v>56</v>
      </c>
      <c r="F44" s="25">
        <v>21.0</v>
      </c>
      <c r="G44" s="25">
        <v>0.0</v>
      </c>
    </row>
    <row r="45" ht="15.75" customHeight="1">
      <c r="A45" s="25" t="s">
        <v>47</v>
      </c>
      <c r="B45" s="25" t="s">
        <v>56</v>
      </c>
      <c r="C45" s="25">
        <v>176.0</v>
      </c>
      <c r="D45" s="25">
        <v>155.0</v>
      </c>
      <c r="E45" s="25" t="s">
        <v>47</v>
      </c>
      <c r="F45" s="25">
        <v>21.0</v>
      </c>
      <c r="G45" s="25">
        <v>0.0</v>
      </c>
    </row>
    <row r="46" ht="15.75" customHeight="1">
      <c r="A46" s="25" t="s">
        <v>47</v>
      </c>
      <c r="B46" s="25" t="s">
        <v>62</v>
      </c>
      <c r="C46" s="25">
        <v>228.0</v>
      </c>
      <c r="D46" s="25">
        <v>137.0</v>
      </c>
      <c r="E46" s="25" t="s">
        <v>47</v>
      </c>
      <c r="F46" s="25">
        <v>91.0</v>
      </c>
      <c r="G46" s="25">
        <v>0.0</v>
      </c>
    </row>
    <row r="47" ht="15.75" customHeight="1">
      <c r="A47" s="25" t="s">
        <v>47</v>
      </c>
      <c r="B47" s="25" t="s">
        <v>62</v>
      </c>
      <c r="C47" s="25">
        <v>228.0</v>
      </c>
      <c r="D47" s="25">
        <v>137.0</v>
      </c>
      <c r="E47" s="25" t="s">
        <v>47</v>
      </c>
      <c r="F47" s="25">
        <v>91.0</v>
      </c>
      <c r="G47" s="25">
        <v>0.0</v>
      </c>
    </row>
    <row r="48" ht="15.75" customHeight="1">
      <c r="A48" s="25" t="s">
        <v>47</v>
      </c>
      <c r="B48" s="25" t="s">
        <v>62</v>
      </c>
      <c r="C48" s="25">
        <v>190.0</v>
      </c>
      <c r="D48" s="25">
        <v>206.0</v>
      </c>
      <c r="E48" s="25" t="s">
        <v>62</v>
      </c>
      <c r="F48" s="25">
        <v>16.0</v>
      </c>
      <c r="G48" s="25">
        <v>0.0</v>
      </c>
    </row>
    <row r="49" ht="15.75" customHeight="1">
      <c r="A49" s="25" t="s">
        <v>47</v>
      </c>
      <c r="B49" s="25" t="s">
        <v>62</v>
      </c>
      <c r="C49" s="25">
        <v>162.0</v>
      </c>
      <c r="D49" s="25">
        <v>160.0</v>
      </c>
      <c r="E49" s="25" t="s">
        <v>47</v>
      </c>
      <c r="F49" s="25">
        <v>2.0</v>
      </c>
      <c r="G49" s="25">
        <v>0.0</v>
      </c>
    </row>
    <row r="50" ht="15.75" customHeight="1">
      <c r="A50" s="25" t="s">
        <v>47</v>
      </c>
      <c r="B50" s="25" t="s">
        <v>62</v>
      </c>
      <c r="C50" s="25">
        <v>162.0</v>
      </c>
      <c r="D50" s="25">
        <v>160.0</v>
      </c>
      <c r="E50" s="25" t="s">
        <v>47</v>
      </c>
      <c r="F50" s="25">
        <v>2.0</v>
      </c>
      <c r="G50" s="25">
        <v>0.0</v>
      </c>
    </row>
    <row r="51" ht="15.75" customHeight="1">
      <c r="A51" s="25" t="s">
        <v>58</v>
      </c>
      <c r="B51" s="25" t="s">
        <v>59</v>
      </c>
      <c r="C51" s="25">
        <v>138.0</v>
      </c>
      <c r="D51" s="25">
        <v>137.0</v>
      </c>
      <c r="E51" s="25" t="s">
        <v>58</v>
      </c>
      <c r="F51" s="25">
        <v>0.0</v>
      </c>
      <c r="G51" s="25">
        <v>5.0</v>
      </c>
    </row>
    <row r="52" ht="15.75" customHeight="1">
      <c r="A52" s="25" t="s">
        <v>47</v>
      </c>
      <c r="B52" s="25" t="s">
        <v>58</v>
      </c>
      <c r="C52" s="25">
        <v>168.0</v>
      </c>
      <c r="D52" s="25">
        <v>170.0</v>
      </c>
      <c r="E52" s="25" t="s">
        <v>58</v>
      </c>
      <c r="F52" s="25">
        <v>0.0</v>
      </c>
      <c r="G52" s="25">
        <v>10.0</v>
      </c>
    </row>
    <row r="53" ht="15.75" customHeight="1">
      <c r="A53" s="25" t="s">
        <v>56</v>
      </c>
      <c r="B53" s="25" t="s">
        <v>59</v>
      </c>
      <c r="C53" s="25">
        <v>152.0</v>
      </c>
      <c r="D53" s="25">
        <v>152.0</v>
      </c>
      <c r="E53" s="25" t="s">
        <v>59</v>
      </c>
      <c r="F53" s="25">
        <v>0.0</v>
      </c>
      <c r="G53" s="25">
        <v>7.0</v>
      </c>
    </row>
    <row r="54" ht="15.75" customHeight="1">
      <c r="A54" s="25" t="s">
        <v>59</v>
      </c>
      <c r="B54" s="25" t="s">
        <v>61</v>
      </c>
      <c r="C54" s="25">
        <v>128.0</v>
      </c>
      <c r="D54" s="25">
        <v>127.0</v>
      </c>
      <c r="E54" s="25" t="s">
        <v>59</v>
      </c>
      <c r="F54" s="25">
        <v>0.0</v>
      </c>
      <c r="G54" s="25">
        <v>5.0</v>
      </c>
    </row>
    <row r="55" ht="15.75" customHeight="1">
      <c r="A55" s="25" t="s">
        <v>58</v>
      </c>
      <c r="B55" s="25" t="s">
        <v>62</v>
      </c>
      <c r="C55" s="25">
        <v>144.0</v>
      </c>
      <c r="D55" s="25">
        <v>141.0</v>
      </c>
      <c r="E55" s="25" t="s">
        <v>58</v>
      </c>
      <c r="F55" s="25">
        <v>0.0</v>
      </c>
      <c r="G55" s="25">
        <v>4.0</v>
      </c>
    </row>
    <row r="56" ht="15.75" customHeight="1">
      <c r="A56" s="25" t="s">
        <v>59</v>
      </c>
      <c r="B56" s="25" t="s">
        <v>54</v>
      </c>
      <c r="C56" s="25">
        <v>185.0</v>
      </c>
      <c r="D56" s="25">
        <v>108.0</v>
      </c>
      <c r="E56" s="25" t="s">
        <v>59</v>
      </c>
      <c r="F56" s="25">
        <v>33.0</v>
      </c>
      <c r="G56" s="25">
        <v>0.0</v>
      </c>
    </row>
    <row r="57" ht="15.75" customHeight="1">
      <c r="A57" s="25" t="s">
        <v>47</v>
      </c>
      <c r="B57" s="25" t="s">
        <v>61</v>
      </c>
      <c r="C57" s="25">
        <v>184.0</v>
      </c>
      <c r="D57" s="25">
        <v>145.0</v>
      </c>
      <c r="E57" s="25" t="s">
        <v>47</v>
      </c>
      <c r="F57" s="25">
        <v>5.0</v>
      </c>
      <c r="G57" s="25">
        <v>0.0</v>
      </c>
    </row>
    <row r="58" ht="15.75" customHeight="1">
      <c r="A58" s="25" t="s">
        <v>58</v>
      </c>
      <c r="B58" s="25" t="s">
        <v>56</v>
      </c>
      <c r="C58" s="25">
        <v>179.0</v>
      </c>
      <c r="D58" s="25">
        <v>159.0</v>
      </c>
      <c r="E58" s="25" t="s">
        <v>58</v>
      </c>
      <c r="F58" s="25">
        <v>20.0</v>
      </c>
      <c r="G58" s="25">
        <v>0.0</v>
      </c>
    </row>
    <row r="59" ht="15.75" customHeight="1">
      <c r="A59" s="25" t="s">
        <v>47</v>
      </c>
      <c r="B59" s="25" t="s">
        <v>54</v>
      </c>
      <c r="C59" s="25">
        <v>133.0</v>
      </c>
      <c r="D59" s="25">
        <v>137.0</v>
      </c>
      <c r="E59" s="25" t="s">
        <v>54</v>
      </c>
      <c r="F59" s="25">
        <v>0.0</v>
      </c>
      <c r="G59" s="25">
        <v>5.0</v>
      </c>
    </row>
    <row r="60" ht="15.75" customHeight="1">
      <c r="A60" s="25" t="s">
        <v>56</v>
      </c>
      <c r="B60" s="25" t="s">
        <v>62</v>
      </c>
      <c r="C60" s="25">
        <v>167.0</v>
      </c>
      <c r="D60" s="25">
        <v>102.0</v>
      </c>
      <c r="E60" s="25" t="s">
        <v>56</v>
      </c>
      <c r="F60" s="25">
        <v>65.0</v>
      </c>
      <c r="G60" s="25">
        <v>0.0</v>
      </c>
    </row>
    <row r="61" ht="15.75" customHeight="1">
      <c r="A61" s="25" t="s">
        <v>54</v>
      </c>
      <c r="B61" s="25" t="s">
        <v>61</v>
      </c>
      <c r="C61" s="25">
        <v>205.0</v>
      </c>
      <c r="D61" s="25">
        <v>101.0</v>
      </c>
      <c r="E61" s="25" t="s">
        <v>54</v>
      </c>
      <c r="F61" s="25">
        <v>105.0</v>
      </c>
      <c r="G61" s="25">
        <v>0.0</v>
      </c>
    </row>
    <row r="62" ht="15.75" customHeight="1">
      <c r="A62" s="25" t="s">
        <v>48</v>
      </c>
      <c r="B62" s="25" t="s">
        <v>62</v>
      </c>
      <c r="C62" s="25">
        <v>158.0</v>
      </c>
      <c r="D62" s="25">
        <v>157.0</v>
      </c>
      <c r="E62" s="25" t="s">
        <v>48</v>
      </c>
      <c r="F62" s="25">
        <v>0.0</v>
      </c>
      <c r="G62" s="25">
        <v>7.0</v>
      </c>
    </row>
    <row r="63" ht="15.75" customHeight="1">
      <c r="A63" s="25" t="s">
        <v>47</v>
      </c>
      <c r="B63" s="25" t="s">
        <v>59</v>
      </c>
      <c r="C63" s="25">
        <v>160.0</v>
      </c>
      <c r="D63" s="25">
        <v>159.0</v>
      </c>
      <c r="E63" s="25" t="s">
        <v>47</v>
      </c>
      <c r="F63" s="25">
        <v>0.0</v>
      </c>
      <c r="G63" s="25">
        <v>4.0</v>
      </c>
    </row>
    <row r="64" ht="15.75" customHeight="1">
      <c r="A64" s="25" t="s">
        <v>48</v>
      </c>
      <c r="B64" s="25" t="s">
        <v>56</v>
      </c>
      <c r="C64" s="25">
        <v>111.0</v>
      </c>
      <c r="D64" s="25">
        <v>200.0</v>
      </c>
      <c r="E64" s="25" t="s">
        <v>56</v>
      </c>
      <c r="F64" s="25">
        <v>89.0</v>
      </c>
      <c r="G64" s="25">
        <v>0.0</v>
      </c>
    </row>
    <row r="65" ht="15.75" customHeight="1">
      <c r="A65" s="25" t="s">
        <v>47</v>
      </c>
      <c r="B65" s="25" t="s">
        <v>48</v>
      </c>
      <c r="C65" s="25">
        <v>186.0</v>
      </c>
      <c r="D65" s="25">
        <v>180.0</v>
      </c>
      <c r="E65" s="25" t="s">
        <v>47</v>
      </c>
      <c r="F65" s="25">
        <v>6.0</v>
      </c>
      <c r="G65" s="25">
        <v>0.0</v>
      </c>
    </row>
    <row r="66" ht="15.75" customHeight="1">
      <c r="A66" s="25" t="s">
        <v>58</v>
      </c>
      <c r="B66" s="25" t="s">
        <v>59</v>
      </c>
      <c r="C66" s="25">
        <v>163.0</v>
      </c>
      <c r="D66" s="25">
        <v>160.0</v>
      </c>
      <c r="E66" s="25" t="s">
        <v>58</v>
      </c>
      <c r="F66" s="25">
        <v>0.0</v>
      </c>
      <c r="G66" s="25">
        <v>6.0</v>
      </c>
    </row>
    <row r="67" ht="15.75" customHeight="1">
      <c r="A67" s="25" t="s">
        <v>56</v>
      </c>
      <c r="B67" s="25" t="s">
        <v>54</v>
      </c>
      <c r="C67" s="25">
        <v>98.0</v>
      </c>
      <c r="D67" s="25">
        <v>100.0</v>
      </c>
      <c r="E67" s="25" t="s">
        <v>54</v>
      </c>
      <c r="F67" s="25">
        <v>0.0</v>
      </c>
      <c r="G67" s="25">
        <v>9.0</v>
      </c>
    </row>
    <row r="68" ht="15.75" customHeight="1">
      <c r="A68" s="25" t="s">
        <v>48</v>
      </c>
      <c r="B68" s="25" t="s">
        <v>58</v>
      </c>
      <c r="C68" s="25">
        <v>170.0</v>
      </c>
      <c r="D68" s="25">
        <v>178.0</v>
      </c>
      <c r="E68" s="25" t="s">
        <v>58</v>
      </c>
      <c r="F68" s="25">
        <v>8.0</v>
      </c>
      <c r="G68" s="25">
        <v>0.0</v>
      </c>
    </row>
    <row r="69" ht="15.75" customHeight="1">
      <c r="A69" s="25" t="s">
        <v>48</v>
      </c>
      <c r="B69" s="25" t="s">
        <v>58</v>
      </c>
      <c r="C69" s="25">
        <v>200.0</v>
      </c>
      <c r="D69" s="25">
        <v>208.0</v>
      </c>
      <c r="E69" s="25" t="s">
        <v>58</v>
      </c>
      <c r="F69" s="25">
        <v>8.0</v>
      </c>
      <c r="G69" s="25">
        <v>0.0</v>
      </c>
    </row>
    <row r="70" ht="15.75" customHeight="1">
      <c r="A70" s="25" t="s">
        <v>47</v>
      </c>
      <c r="B70" s="25" t="s">
        <v>54</v>
      </c>
      <c r="C70" s="25">
        <v>178.0</v>
      </c>
      <c r="D70" s="25">
        <v>227.0</v>
      </c>
      <c r="E70" s="25" t="s">
        <v>54</v>
      </c>
      <c r="F70" s="25">
        <v>49.0</v>
      </c>
      <c r="G70" s="25">
        <v>0.0</v>
      </c>
    </row>
    <row r="71" ht="15.75" customHeight="1">
      <c r="A71" s="25" t="s">
        <v>58</v>
      </c>
      <c r="B71" s="25" t="s">
        <v>59</v>
      </c>
      <c r="C71" s="25">
        <v>209.0</v>
      </c>
      <c r="D71" s="25">
        <v>142.0</v>
      </c>
      <c r="E71" s="25" t="s">
        <v>58</v>
      </c>
      <c r="F71" s="25">
        <v>67.0</v>
      </c>
      <c r="G71" s="25">
        <v>0.0</v>
      </c>
    </row>
    <row r="72" ht="15.75" customHeight="1">
      <c r="A72" s="25" t="s">
        <v>47</v>
      </c>
      <c r="B72" s="25" t="s">
        <v>54</v>
      </c>
      <c r="C72" s="25">
        <v>237.0</v>
      </c>
      <c r="D72" s="25">
        <v>221.0</v>
      </c>
      <c r="E72" s="25" t="s">
        <v>47</v>
      </c>
      <c r="F72" s="25">
        <v>16.0</v>
      </c>
      <c r="G72" s="25">
        <v>0.0</v>
      </c>
    </row>
    <row r="73" ht="15.75" customHeight="1">
      <c r="A73" s="25" t="s">
        <v>58</v>
      </c>
      <c r="B73" s="25" t="s">
        <v>59</v>
      </c>
      <c r="C73" s="25">
        <v>170.0</v>
      </c>
      <c r="D73" s="25">
        <v>169.0</v>
      </c>
      <c r="E73" s="25" t="s">
        <v>58</v>
      </c>
      <c r="F73" s="25">
        <v>0.0</v>
      </c>
      <c r="G73" s="25">
        <v>8.0</v>
      </c>
    </row>
    <row r="74" ht="15.75" customHeight="1">
      <c r="A74" s="25" t="s">
        <v>58</v>
      </c>
      <c r="B74" s="25" t="s">
        <v>59</v>
      </c>
      <c r="C74" s="25">
        <v>139.0</v>
      </c>
      <c r="D74" s="25">
        <v>145.0</v>
      </c>
      <c r="E74" s="25" t="s">
        <v>59</v>
      </c>
      <c r="F74" s="25">
        <v>6.0</v>
      </c>
      <c r="G74" s="25">
        <v>0.0</v>
      </c>
    </row>
    <row r="75" ht="15.75" customHeight="1">
      <c r="A75" s="25" t="s">
        <v>47</v>
      </c>
      <c r="B75" s="25" t="s">
        <v>54</v>
      </c>
      <c r="C75" s="25">
        <v>110.0</v>
      </c>
      <c r="D75" s="25">
        <v>106.0</v>
      </c>
      <c r="E75" s="25" t="s">
        <v>47</v>
      </c>
      <c r="F75" s="25">
        <v>0.0</v>
      </c>
      <c r="G75" s="25">
        <v>8.0</v>
      </c>
    </row>
    <row r="76" ht="15.75" customHeight="1">
      <c r="A76" s="25" t="s">
        <v>58</v>
      </c>
      <c r="B76" s="25" t="s">
        <v>59</v>
      </c>
      <c r="C76" s="25">
        <v>163.0</v>
      </c>
      <c r="D76" s="25">
        <v>166.0</v>
      </c>
      <c r="E76" s="25" t="s">
        <v>59</v>
      </c>
      <c r="F76" s="25">
        <v>3.0</v>
      </c>
      <c r="G76" s="25">
        <v>0.0</v>
      </c>
    </row>
    <row r="77" ht="15.75" customHeight="1">
      <c r="A77" s="25" t="s">
        <v>47</v>
      </c>
      <c r="B77" s="25" t="s">
        <v>48</v>
      </c>
      <c r="C77" s="25">
        <v>187.0</v>
      </c>
      <c r="D77" s="25">
        <v>186.0</v>
      </c>
      <c r="E77" s="25" t="s">
        <v>47</v>
      </c>
      <c r="F77" s="25">
        <v>0.0</v>
      </c>
      <c r="G77" s="25">
        <v>6.0</v>
      </c>
    </row>
    <row r="78" ht="15.75" customHeight="1">
      <c r="A78" s="25" t="s">
        <v>58</v>
      </c>
      <c r="B78" s="25" t="s">
        <v>59</v>
      </c>
      <c r="C78" s="25">
        <v>221.0</v>
      </c>
      <c r="D78" s="25">
        <v>158.0</v>
      </c>
      <c r="E78" s="25" t="s">
        <v>58</v>
      </c>
      <c r="F78" s="25">
        <v>63.0</v>
      </c>
      <c r="G78" s="25">
        <v>0.0</v>
      </c>
    </row>
    <row r="79" ht="15.75" customHeight="1">
      <c r="A79" s="25" t="s">
        <v>47</v>
      </c>
      <c r="B79" s="25" t="s">
        <v>48</v>
      </c>
      <c r="C79" s="25">
        <v>92.0</v>
      </c>
      <c r="D79" s="25">
        <v>90.0</v>
      </c>
      <c r="E79" s="25" t="s">
        <v>47</v>
      </c>
      <c r="F79" s="25">
        <v>0.0</v>
      </c>
      <c r="G79" s="25">
        <v>6.0</v>
      </c>
    </row>
    <row r="80" ht="15.75" customHeight="1">
      <c r="A80" s="25" t="s">
        <v>58</v>
      </c>
      <c r="B80" s="25" t="s">
        <v>59</v>
      </c>
      <c r="C80" s="25">
        <v>199.0</v>
      </c>
      <c r="D80" s="25">
        <v>203.0</v>
      </c>
      <c r="E80" s="25" t="s">
        <v>59</v>
      </c>
      <c r="F80" s="25">
        <v>0.0</v>
      </c>
      <c r="G80" s="25">
        <v>10.0</v>
      </c>
    </row>
    <row r="81" ht="15.75" customHeight="1">
      <c r="A81" s="25" t="s">
        <v>58</v>
      </c>
      <c r="B81" s="25" t="s">
        <v>59</v>
      </c>
      <c r="C81" s="25">
        <v>160.0</v>
      </c>
      <c r="D81" s="25">
        <v>158.0</v>
      </c>
      <c r="E81" s="25" t="s">
        <v>58</v>
      </c>
      <c r="F81" s="25">
        <v>0.0</v>
      </c>
      <c r="G81" s="25">
        <v>6.0</v>
      </c>
    </row>
    <row r="82" ht="15.75" customHeight="1">
      <c r="A82" s="25" t="s">
        <v>47</v>
      </c>
      <c r="B82" s="25" t="s">
        <v>48</v>
      </c>
      <c r="C82" s="25">
        <v>208.0</v>
      </c>
      <c r="D82" s="25">
        <v>211.0</v>
      </c>
      <c r="E82" s="25" t="s">
        <v>48</v>
      </c>
      <c r="F82" s="25">
        <v>0.0</v>
      </c>
      <c r="G82" s="25">
        <v>4.0</v>
      </c>
    </row>
    <row r="83" ht="15.75" customHeight="1">
      <c r="A83" s="25" t="s">
        <v>54</v>
      </c>
      <c r="B83" s="25" t="s">
        <v>58</v>
      </c>
      <c r="C83" s="25">
        <v>191.0</v>
      </c>
      <c r="D83" s="25">
        <v>191.0</v>
      </c>
      <c r="E83" s="25" t="s">
        <v>54</v>
      </c>
      <c r="F83" s="25">
        <v>90.0</v>
      </c>
      <c r="G83" s="25">
        <v>0.0</v>
      </c>
    </row>
    <row r="84" ht="15.75" customHeight="1">
      <c r="A84" s="25" t="s">
        <v>54</v>
      </c>
      <c r="B84" s="25" t="s">
        <v>58</v>
      </c>
      <c r="C84" s="25">
        <v>207.0</v>
      </c>
      <c r="D84" s="25">
        <v>149.0</v>
      </c>
      <c r="E84" s="25" t="s">
        <v>54</v>
      </c>
      <c r="F84" s="25">
        <v>58.0</v>
      </c>
      <c r="G84" s="25">
        <v>0.0</v>
      </c>
    </row>
    <row r="85" ht="15.75" customHeight="1">
      <c r="A85" s="25" t="s">
        <v>54</v>
      </c>
      <c r="B85" s="25" t="s">
        <v>58</v>
      </c>
      <c r="C85" s="25">
        <v>193.0</v>
      </c>
      <c r="D85" s="25">
        <v>234.0</v>
      </c>
      <c r="E85" s="25" t="s">
        <v>58</v>
      </c>
      <c r="F85" s="25">
        <v>41.0</v>
      </c>
      <c r="G85" s="25">
        <v>0.0</v>
      </c>
    </row>
    <row r="86" ht="15.75" customHeight="1">
      <c r="A86" s="25" t="s">
        <v>47</v>
      </c>
      <c r="B86" s="25" t="s">
        <v>58</v>
      </c>
      <c r="C86" s="25">
        <v>198.0</v>
      </c>
      <c r="D86" s="25">
        <v>215.0</v>
      </c>
      <c r="E86" s="25" t="s">
        <v>58</v>
      </c>
      <c r="F86" s="25">
        <v>17.0</v>
      </c>
      <c r="G86" s="25">
        <v>0.0</v>
      </c>
    </row>
    <row r="87" ht="15.75" customHeight="1">
      <c r="A87" s="25" t="s">
        <v>47</v>
      </c>
      <c r="B87" s="25" t="s">
        <v>58</v>
      </c>
      <c r="C87" s="25">
        <v>170.0</v>
      </c>
      <c r="D87" s="25">
        <v>121.0</v>
      </c>
      <c r="E87" s="25" t="s">
        <v>47</v>
      </c>
      <c r="F87" s="25">
        <v>49.0</v>
      </c>
      <c r="G87" s="25">
        <v>0.0</v>
      </c>
    </row>
    <row r="88" ht="15.75" customHeight="1">
      <c r="A88" s="25" t="s">
        <v>47</v>
      </c>
      <c r="B88" s="25" t="s">
        <v>58</v>
      </c>
      <c r="C88" s="25">
        <v>198.0</v>
      </c>
      <c r="D88" s="25">
        <v>148.0</v>
      </c>
      <c r="E88" s="25" t="s">
        <v>47</v>
      </c>
      <c r="F88" s="25">
        <v>50.0</v>
      </c>
      <c r="G88" s="25">
        <v>0.0</v>
      </c>
    </row>
    <row r="89" ht="15.75" customHeight="1">
      <c r="A89" s="25" t="s">
        <v>47</v>
      </c>
      <c r="B89" s="25" t="s">
        <v>54</v>
      </c>
      <c r="C89" s="25">
        <v>169.0</v>
      </c>
      <c r="D89" s="25">
        <v>87.0</v>
      </c>
      <c r="E89" s="25" t="s">
        <v>47</v>
      </c>
      <c r="F89" s="25">
        <v>82.0</v>
      </c>
      <c r="G89" s="25">
        <v>0.0</v>
      </c>
    </row>
    <row r="90" ht="15.75" customHeight="1">
      <c r="A90" s="25" t="s">
        <v>47</v>
      </c>
      <c r="B90" s="25" t="s">
        <v>54</v>
      </c>
      <c r="C90" s="25">
        <v>179.0</v>
      </c>
      <c r="D90" s="25">
        <v>131.0</v>
      </c>
      <c r="E90" s="25" t="s">
        <v>47</v>
      </c>
      <c r="F90" s="25">
        <v>48.0</v>
      </c>
      <c r="G90" s="25">
        <v>0.0</v>
      </c>
    </row>
    <row r="91" ht="15.75" customHeight="1">
      <c r="A91" s="25" t="s">
        <v>47</v>
      </c>
      <c r="B91" s="25" t="s">
        <v>54</v>
      </c>
      <c r="C91" s="25">
        <v>148.0</v>
      </c>
      <c r="D91" s="25">
        <v>148.0</v>
      </c>
      <c r="E91" s="25" t="s">
        <v>54</v>
      </c>
      <c r="F91" s="25">
        <v>0.0</v>
      </c>
      <c r="G91" s="25">
        <v>4.0</v>
      </c>
    </row>
    <row r="92" ht="15.75" customHeight="1">
      <c r="A92" s="25" t="s">
        <v>48</v>
      </c>
      <c r="B92" s="25" t="s">
        <v>62</v>
      </c>
      <c r="C92" s="25">
        <v>176.0</v>
      </c>
      <c r="D92" s="25">
        <v>177.0</v>
      </c>
      <c r="E92" s="25" t="s">
        <v>62</v>
      </c>
      <c r="F92" s="25">
        <v>0.0</v>
      </c>
      <c r="G92" s="25">
        <v>4.0</v>
      </c>
    </row>
    <row r="93" ht="15.75" customHeight="1">
      <c r="A93" s="25" t="s">
        <v>47</v>
      </c>
      <c r="B93" s="25" t="s">
        <v>54</v>
      </c>
      <c r="C93" s="25">
        <v>211.0</v>
      </c>
      <c r="D93" s="25">
        <v>212.0</v>
      </c>
      <c r="E93" s="25" t="s">
        <v>54</v>
      </c>
      <c r="F93" s="25">
        <v>0.0</v>
      </c>
      <c r="G93" s="25">
        <v>7.0</v>
      </c>
    </row>
    <row r="94" ht="15.75" customHeight="1">
      <c r="A94" s="25" t="s">
        <v>48</v>
      </c>
      <c r="B94" s="25" t="s">
        <v>62</v>
      </c>
      <c r="C94" s="25">
        <v>126.0</v>
      </c>
      <c r="D94" s="25">
        <v>124.0</v>
      </c>
      <c r="E94" s="25" t="s">
        <v>48</v>
      </c>
      <c r="F94" s="25">
        <v>0.0</v>
      </c>
      <c r="G94" s="25">
        <v>3.0</v>
      </c>
    </row>
    <row r="95" ht="15.75" customHeight="1">
      <c r="A95" s="25" t="s">
        <v>48</v>
      </c>
      <c r="B95" s="25" t="s">
        <v>62</v>
      </c>
      <c r="C95" s="25">
        <v>134.0</v>
      </c>
      <c r="D95" s="25">
        <v>128.0</v>
      </c>
      <c r="E95" s="25" t="s">
        <v>48</v>
      </c>
      <c r="F95" s="25">
        <v>0.0</v>
      </c>
      <c r="G95" s="25">
        <v>10.0</v>
      </c>
    </row>
    <row r="96" ht="15.75" customHeight="1">
      <c r="A96" s="25" t="s">
        <v>48</v>
      </c>
      <c r="B96" s="25" t="s">
        <v>59</v>
      </c>
      <c r="C96" s="25">
        <v>163.0</v>
      </c>
      <c r="D96" s="25">
        <v>162.0</v>
      </c>
      <c r="E96" s="25" t="s">
        <v>48</v>
      </c>
      <c r="F96" s="25">
        <v>0.0</v>
      </c>
      <c r="G96" s="25">
        <v>3.0</v>
      </c>
    </row>
    <row r="97" ht="15.75" customHeight="1">
      <c r="A97" s="25" t="s">
        <v>47</v>
      </c>
      <c r="B97" s="25" t="s">
        <v>62</v>
      </c>
      <c r="C97" s="25">
        <v>148.0</v>
      </c>
      <c r="D97" s="25">
        <v>146.0</v>
      </c>
      <c r="E97" s="25" t="s">
        <v>47</v>
      </c>
      <c r="F97" s="25">
        <v>0.0</v>
      </c>
      <c r="G97" s="25">
        <v>6.0</v>
      </c>
    </row>
    <row r="98" ht="15.75" customHeight="1">
      <c r="A98" s="25" t="s">
        <v>47</v>
      </c>
      <c r="B98" s="25" t="s">
        <v>62</v>
      </c>
      <c r="C98" s="25">
        <v>186.0</v>
      </c>
      <c r="D98" s="25">
        <v>183.0</v>
      </c>
      <c r="E98" s="25" t="s">
        <v>47</v>
      </c>
      <c r="F98" s="25">
        <v>0.0</v>
      </c>
      <c r="G98" s="25">
        <v>7.0</v>
      </c>
    </row>
    <row r="99" ht="15.75" customHeight="1">
      <c r="A99" s="25" t="s">
        <v>47</v>
      </c>
      <c r="B99" s="25" t="s">
        <v>62</v>
      </c>
      <c r="C99" s="25">
        <v>199.0</v>
      </c>
      <c r="D99" s="25">
        <v>137.0</v>
      </c>
      <c r="E99" s="25" t="s">
        <v>47</v>
      </c>
      <c r="F99" s="25">
        <v>62.0</v>
      </c>
      <c r="G99" s="25">
        <v>0.0</v>
      </c>
    </row>
    <row r="100" ht="15.75" customHeight="1">
      <c r="A100" s="25" t="s">
        <v>48</v>
      </c>
      <c r="B100" s="25" t="s">
        <v>62</v>
      </c>
      <c r="C100" s="25">
        <v>154.0</v>
      </c>
      <c r="D100" s="25">
        <v>155.0</v>
      </c>
      <c r="E100" s="25" t="s">
        <v>62</v>
      </c>
      <c r="F100" s="25">
        <v>0.0</v>
      </c>
      <c r="G100" s="25">
        <v>5.0</v>
      </c>
    </row>
    <row r="101" ht="15.75" customHeight="1">
      <c r="A101" s="25" t="s">
        <v>48</v>
      </c>
      <c r="B101" s="25" t="s">
        <v>62</v>
      </c>
      <c r="C101" s="25">
        <v>143.0</v>
      </c>
      <c r="D101" s="25">
        <v>139.0</v>
      </c>
      <c r="E101" s="25" t="s">
        <v>48</v>
      </c>
      <c r="F101" s="25">
        <v>0.0</v>
      </c>
      <c r="G101" s="25">
        <v>6.0</v>
      </c>
    </row>
    <row r="102" ht="15.75" customHeight="1">
      <c r="A102" s="25" t="s">
        <v>48</v>
      </c>
      <c r="B102" s="25" t="s">
        <v>62</v>
      </c>
      <c r="C102" s="25">
        <v>124.0</v>
      </c>
      <c r="D102" s="25">
        <v>121.0</v>
      </c>
      <c r="E102" s="25" t="s">
        <v>48</v>
      </c>
      <c r="F102" s="25">
        <v>0.0</v>
      </c>
      <c r="G102" s="25">
        <v>6.0</v>
      </c>
    </row>
    <row r="103" ht="15.75" customHeight="1">
      <c r="A103" s="25" t="s">
        <v>48</v>
      </c>
      <c r="B103" s="25" t="s">
        <v>62</v>
      </c>
      <c r="C103" s="25">
        <v>149.0</v>
      </c>
      <c r="D103" s="25">
        <v>122.0</v>
      </c>
      <c r="E103" s="25" t="s">
        <v>48</v>
      </c>
      <c r="F103" s="25">
        <v>20.0</v>
      </c>
      <c r="G103" s="25">
        <v>0.0</v>
      </c>
    </row>
    <row r="104" ht="15.75" customHeight="1">
      <c r="A104" s="25" t="s">
        <v>48</v>
      </c>
      <c r="B104" s="25" t="s">
        <v>56</v>
      </c>
      <c r="C104" s="25">
        <v>173.0</v>
      </c>
      <c r="D104" s="25">
        <v>172.0</v>
      </c>
      <c r="E104" s="25" t="s">
        <v>48</v>
      </c>
      <c r="F104" s="25">
        <v>0.0</v>
      </c>
      <c r="G104" s="25">
        <v>8.0</v>
      </c>
    </row>
    <row r="105" ht="15.75" customHeight="1">
      <c r="A105" s="25" t="s">
        <v>48</v>
      </c>
      <c r="B105" s="25" t="s">
        <v>59</v>
      </c>
      <c r="C105" s="25">
        <v>177.0</v>
      </c>
      <c r="D105" s="25">
        <v>176.0</v>
      </c>
      <c r="E105" s="25" t="s">
        <v>48</v>
      </c>
      <c r="F105" s="25">
        <v>0.0</v>
      </c>
      <c r="G105" s="25">
        <v>5.0</v>
      </c>
    </row>
    <row r="106" ht="15.75" customHeight="1">
      <c r="A106" s="25" t="s">
        <v>58</v>
      </c>
      <c r="B106" s="25" t="s">
        <v>56</v>
      </c>
      <c r="C106" s="25">
        <v>166.0</v>
      </c>
      <c r="D106" s="25">
        <v>167.0</v>
      </c>
      <c r="E106" s="25" t="s">
        <v>56</v>
      </c>
      <c r="F106" s="25">
        <v>0.0</v>
      </c>
      <c r="G106" s="25">
        <v>3.0</v>
      </c>
    </row>
    <row r="107" ht="15.75" customHeight="1">
      <c r="A107" s="25" t="s">
        <v>58</v>
      </c>
      <c r="B107" s="25" t="s">
        <v>54</v>
      </c>
      <c r="C107" s="25">
        <v>179.0</v>
      </c>
      <c r="D107" s="25">
        <v>189.0</v>
      </c>
      <c r="E107" s="25" t="s">
        <v>54</v>
      </c>
      <c r="F107" s="25">
        <v>10.0</v>
      </c>
      <c r="G107" s="25">
        <v>0.0</v>
      </c>
    </row>
    <row r="108" ht="15.75" customHeight="1">
      <c r="A108" s="25" t="s">
        <v>48</v>
      </c>
      <c r="B108" s="25" t="s">
        <v>61</v>
      </c>
      <c r="C108" s="25">
        <v>78.0</v>
      </c>
      <c r="D108" s="25">
        <v>73.0</v>
      </c>
      <c r="E108" s="25" t="s">
        <v>48</v>
      </c>
      <c r="F108" s="25">
        <v>8.0</v>
      </c>
      <c r="G108" s="25">
        <v>0.0</v>
      </c>
    </row>
    <row r="109" ht="15.75" customHeight="1">
      <c r="A109" s="25" t="s">
        <v>54</v>
      </c>
      <c r="B109" s="25" t="s">
        <v>61</v>
      </c>
      <c r="C109" s="25">
        <v>86.0</v>
      </c>
      <c r="D109" s="25">
        <v>84.0</v>
      </c>
      <c r="E109" s="25" t="s">
        <v>54</v>
      </c>
      <c r="F109" s="25">
        <v>0.0</v>
      </c>
      <c r="G109" s="25">
        <v>6.0</v>
      </c>
    </row>
    <row r="110" ht="15.75" customHeight="1">
      <c r="A110" s="25" t="s">
        <v>58</v>
      </c>
      <c r="B110" s="25" t="s">
        <v>62</v>
      </c>
      <c r="C110" s="25">
        <v>163.0</v>
      </c>
      <c r="D110" s="25">
        <v>137.0</v>
      </c>
      <c r="E110" s="25" t="s">
        <v>58</v>
      </c>
      <c r="F110" s="25">
        <v>26.0</v>
      </c>
      <c r="G110" s="25">
        <v>0.0</v>
      </c>
    </row>
    <row r="111" ht="15.75" customHeight="1">
      <c r="A111" s="25" t="s">
        <v>47</v>
      </c>
      <c r="B111" s="25" t="s">
        <v>56</v>
      </c>
      <c r="C111" s="25">
        <v>110.0</v>
      </c>
      <c r="D111" s="25">
        <v>111.0</v>
      </c>
      <c r="E111" s="25" t="s">
        <v>56</v>
      </c>
      <c r="F111" s="25">
        <v>0.0</v>
      </c>
      <c r="G111" s="25">
        <v>8.0</v>
      </c>
    </row>
    <row r="112" ht="15.75" customHeight="1">
      <c r="A112" s="25" t="s">
        <v>48</v>
      </c>
      <c r="B112" s="25" t="s">
        <v>58</v>
      </c>
      <c r="C112" s="25">
        <v>125.0</v>
      </c>
      <c r="D112" s="25">
        <v>126.0</v>
      </c>
      <c r="E112" s="25" t="s">
        <v>58</v>
      </c>
      <c r="F112" s="25">
        <v>0.0</v>
      </c>
      <c r="G112" s="25">
        <v>8.0</v>
      </c>
    </row>
    <row r="113" ht="15.75" customHeight="1">
      <c r="A113" s="25" t="s">
        <v>54</v>
      </c>
      <c r="B113" s="25" t="s">
        <v>62</v>
      </c>
      <c r="C113" s="25">
        <v>146.0</v>
      </c>
      <c r="D113" s="25">
        <v>142.0</v>
      </c>
      <c r="E113" s="25" t="s">
        <v>54</v>
      </c>
      <c r="F113" s="25">
        <v>0.0</v>
      </c>
      <c r="G113" s="25">
        <v>4.0</v>
      </c>
    </row>
    <row r="114" ht="15.75" customHeight="1">
      <c r="A114" s="25" t="s">
        <v>48</v>
      </c>
      <c r="B114" s="25" t="s">
        <v>62</v>
      </c>
      <c r="C114" s="25">
        <v>155.0</v>
      </c>
      <c r="D114" s="25">
        <v>154.0</v>
      </c>
      <c r="E114" s="25" t="s">
        <v>48</v>
      </c>
      <c r="F114" s="25">
        <v>0.0</v>
      </c>
      <c r="G114" s="25">
        <v>7.0</v>
      </c>
    </row>
    <row r="115" ht="15.75" customHeight="1">
      <c r="A115" s="25" t="s">
        <v>58</v>
      </c>
      <c r="B115" s="25" t="s">
        <v>61</v>
      </c>
      <c r="C115" s="25">
        <v>126.0</v>
      </c>
      <c r="D115" s="25">
        <v>124.0</v>
      </c>
      <c r="E115" s="25" t="s">
        <v>58</v>
      </c>
      <c r="F115" s="25">
        <v>0.0</v>
      </c>
      <c r="G115" s="25">
        <v>8.0</v>
      </c>
    </row>
    <row r="116" ht="15.75" customHeight="1">
      <c r="A116" s="25" t="s">
        <v>56</v>
      </c>
      <c r="B116" s="25" t="s">
        <v>59</v>
      </c>
      <c r="C116" s="25">
        <v>134.0</v>
      </c>
      <c r="D116" s="25">
        <v>135.0</v>
      </c>
      <c r="E116" s="25" t="s">
        <v>59</v>
      </c>
      <c r="F116" s="25">
        <v>0.0</v>
      </c>
      <c r="G116" s="25">
        <v>5.0</v>
      </c>
    </row>
    <row r="117" ht="15.75" customHeight="1">
      <c r="A117" s="25" t="s">
        <v>47</v>
      </c>
      <c r="B117" s="25" t="s">
        <v>59</v>
      </c>
      <c r="C117" s="25">
        <v>151.0</v>
      </c>
      <c r="D117" s="25">
        <v>152.0</v>
      </c>
      <c r="E117" s="25" t="s">
        <v>59</v>
      </c>
      <c r="F117" s="25">
        <v>0.0</v>
      </c>
      <c r="G117" s="25">
        <v>10.0</v>
      </c>
    </row>
    <row r="118" ht="15.75" customHeight="1">
      <c r="A118" s="25" t="s">
        <v>62</v>
      </c>
      <c r="B118" s="25" t="s">
        <v>61</v>
      </c>
      <c r="C118" s="25">
        <v>172.0</v>
      </c>
      <c r="D118" s="25">
        <v>171.0</v>
      </c>
      <c r="E118" s="25" t="s">
        <v>62</v>
      </c>
      <c r="F118" s="25">
        <v>0.0</v>
      </c>
      <c r="G118" s="25">
        <v>5.0</v>
      </c>
    </row>
    <row r="119" ht="15.75" customHeight="1">
      <c r="A119" s="25" t="s">
        <v>48</v>
      </c>
      <c r="B119" s="25" t="s">
        <v>54</v>
      </c>
      <c r="C119" s="25">
        <v>121.0</v>
      </c>
      <c r="D119" s="25">
        <v>118.0</v>
      </c>
      <c r="E119" s="25" t="s">
        <v>48</v>
      </c>
      <c r="F119" s="25">
        <v>0.0</v>
      </c>
      <c r="G119" s="25">
        <v>5.0</v>
      </c>
    </row>
    <row r="120" ht="15.75" customHeight="1">
      <c r="A120" s="25" t="s">
        <v>54</v>
      </c>
      <c r="B120" s="25" t="s">
        <v>59</v>
      </c>
      <c r="C120" s="25">
        <v>190.0</v>
      </c>
      <c r="D120" s="25">
        <v>186.0</v>
      </c>
      <c r="E120" s="25" t="s">
        <v>54</v>
      </c>
      <c r="F120" s="25">
        <v>0.0</v>
      </c>
      <c r="G120" s="25">
        <v>5.0</v>
      </c>
    </row>
    <row r="121" ht="15.75" customHeight="1">
      <c r="A121" s="25" t="s">
        <v>58</v>
      </c>
      <c r="B121" s="25" t="s">
        <v>56</v>
      </c>
      <c r="C121" s="25">
        <v>163.0</v>
      </c>
      <c r="D121" s="25">
        <v>150.0</v>
      </c>
      <c r="E121" s="25" t="s">
        <v>58</v>
      </c>
      <c r="F121" s="25">
        <v>13.0</v>
      </c>
      <c r="G121" s="25">
        <v>0.0</v>
      </c>
    </row>
    <row r="122" ht="15.75" customHeight="1">
      <c r="A122" s="25" t="s">
        <v>47</v>
      </c>
      <c r="B122" s="25" t="s">
        <v>48</v>
      </c>
      <c r="C122" s="25">
        <v>153.0</v>
      </c>
      <c r="D122" s="25">
        <v>152.0</v>
      </c>
      <c r="E122" s="25" t="s">
        <v>47</v>
      </c>
      <c r="F122" s="25">
        <v>0.0</v>
      </c>
      <c r="G122" s="25">
        <v>8.0</v>
      </c>
    </row>
    <row r="123" ht="15.75" customHeight="1">
      <c r="A123" s="25" t="s">
        <v>59</v>
      </c>
      <c r="B123" s="25" t="s">
        <v>61</v>
      </c>
      <c r="C123" s="25">
        <v>127.0</v>
      </c>
      <c r="D123" s="25">
        <v>124.0</v>
      </c>
      <c r="E123" s="25" t="s">
        <v>59</v>
      </c>
      <c r="F123" s="25">
        <v>0.0</v>
      </c>
      <c r="G123" s="25">
        <v>5.0</v>
      </c>
    </row>
    <row r="124" ht="15.75" customHeight="1">
      <c r="A124" s="25" t="s">
        <v>47</v>
      </c>
      <c r="B124" s="25" t="s">
        <v>56</v>
      </c>
      <c r="C124" s="25">
        <v>184.0</v>
      </c>
      <c r="D124" s="25">
        <v>111.0</v>
      </c>
      <c r="E124" s="25" t="s">
        <v>47</v>
      </c>
      <c r="F124" s="25">
        <v>73.0</v>
      </c>
      <c r="G124" s="25">
        <v>0.0</v>
      </c>
    </row>
    <row r="125" ht="15.75" customHeight="1">
      <c r="A125" s="25" t="s">
        <v>59</v>
      </c>
      <c r="B125" s="25" t="s">
        <v>61</v>
      </c>
      <c r="C125" s="25">
        <v>109.0</v>
      </c>
      <c r="D125" s="25">
        <v>108.0</v>
      </c>
      <c r="E125" s="25" t="s">
        <v>59</v>
      </c>
      <c r="F125" s="25">
        <v>0.0</v>
      </c>
      <c r="G125" s="25">
        <v>8.0</v>
      </c>
    </row>
    <row r="126" ht="15.75" customHeight="1">
      <c r="A126" s="25" t="s">
        <v>47</v>
      </c>
      <c r="B126" s="25" t="s">
        <v>56</v>
      </c>
      <c r="C126" s="25">
        <v>155.0</v>
      </c>
      <c r="D126" s="25">
        <v>153.0</v>
      </c>
      <c r="E126" s="25" t="s">
        <v>47</v>
      </c>
      <c r="F126" s="25">
        <v>0.0</v>
      </c>
      <c r="G126" s="25">
        <v>7.0</v>
      </c>
    </row>
    <row r="127" ht="15.75" customHeight="1">
      <c r="A127" s="25" t="s">
        <v>59</v>
      </c>
      <c r="B127" s="25" t="s">
        <v>61</v>
      </c>
      <c r="C127" s="25">
        <v>132.0</v>
      </c>
      <c r="D127" s="25">
        <v>127.0</v>
      </c>
      <c r="E127" s="25" t="s">
        <v>59</v>
      </c>
      <c r="F127" s="25">
        <v>0.0</v>
      </c>
      <c r="G127" s="25">
        <v>4.0</v>
      </c>
    </row>
    <row r="128" ht="15.75" customHeight="1">
      <c r="A128" s="25" t="s">
        <v>47</v>
      </c>
      <c r="B128" s="25" t="s">
        <v>56</v>
      </c>
      <c r="C128" s="25">
        <v>166.0</v>
      </c>
      <c r="D128" s="25">
        <v>164.0</v>
      </c>
      <c r="E128" s="25" t="s">
        <v>47</v>
      </c>
      <c r="F128" s="25">
        <v>0.0</v>
      </c>
      <c r="G128" s="25">
        <v>5.0</v>
      </c>
    </row>
    <row r="129" ht="15.75" customHeight="1">
      <c r="A129" s="25" t="s">
        <v>54</v>
      </c>
      <c r="B129" s="25" t="s">
        <v>62</v>
      </c>
      <c r="C129" s="25">
        <v>121.0</v>
      </c>
      <c r="D129" s="25">
        <v>120.0</v>
      </c>
      <c r="E129" s="25" t="s">
        <v>54</v>
      </c>
      <c r="F129" s="25">
        <v>0.0</v>
      </c>
      <c r="G129" s="25">
        <v>10.0</v>
      </c>
    </row>
    <row r="130" ht="15.75" customHeight="1">
      <c r="A130" s="25" t="s">
        <v>54</v>
      </c>
      <c r="B130" s="25" t="s">
        <v>62</v>
      </c>
      <c r="C130" s="25">
        <v>105.0</v>
      </c>
      <c r="D130" s="25">
        <v>103.0</v>
      </c>
      <c r="E130" s="25" t="s">
        <v>54</v>
      </c>
      <c r="F130" s="25">
        <v>0.0</v>
      </c>
      <c r="G130" s="25">
        <v>9.0</v>
      </c>
    </row>
    <row r="131" ht="15.75" customHeight="1">
      <c r="A131" s="25" t="s">
        <v>54</v>
      </c>
      <c r="B131" s="25" t="s">
        <v>62</v>
      </c>
      <c r="C131" s="25">
        <v>163.0</v>
      </c>
      <c r="D131" s="25">
        <v>135.0</v>
      </c>
      <c r="E131" s="25" t="s">
        <v>54</v>
      </c>
      <c r="F131" s="25">
        <v>28.0</v>
      </c>
      <c r="G131" s="25">
        <v>0.0</v>
      </c>
    </row>
    <row r="132" ht="15.75" customHeight="1">
      <c r="A132" s="25" t="s">
        <v>56</v>
      </c>
      <c r="B132" s="25" t="s">
        <v>61</v>
      </c>
      <c r="C132" s="25">
        <v>161.0</v>
      </c>
      <c r="D132" s="25">
        <v>134.0</v>
      </c>
      <c r="E132" s="25" t="s">
        <v>56</v>
      </c>
      <c r="F132" s="25">
        <v>27.0</v>
      </c>
      <c r="G132" s="25">
        <v>0.0</v>
      </c>
    </row>
    <row r="133" ht="15.75" customHeight="1">
      <c r="A133" s="25" t="s">
        <v>56</v>
      </c>
      <c r="B133" s="25" t="s">
        <v>61</v>
      </c>
      <c r="C133" s="25">
        <v>93.0</v>
      </c>
      <c r="D133" s="25">
        <v>96.0</v>
      </c>
      <c r="E133" s="25" t="s">
        <v>61</v>
      </c>
      <c r="F133" s="25">
        <v>0.0</v>
      </c>
      <c r="G133" s="25">
        <v>6.0</v>
      </c>
    </row>
    <row r="134" ht="15.75" customHeight="1">
      <c r="A134" s="25" t="s">
        <v>56</v>
      </c>
      <c r="B134" s="25" t="s">
        <v>61</v>
      </c>
      <c r="C134" s="25">
        <v>128.0</v>
      </c>
      <c r="D134" s="25">
        <v>76.0</v>
      </c>
      <c r="E134" s="25" t="s">
        <v>56</v>
      </c>
      <c r="F134" s="25">
        <v>52.0</v>
      </c>
      <c r="G134" s="25">
        <v>0.0</v>
      </c>
    </row>
    <row r="135" ht="15.75" customHeight="1">
      <c r="A135" s="25" t="s">
        <v>56</v>
      </c>
      <c r="B135" s="25" t="s">
        <v>61</v>
      </c>
      <c r="C135" s="25">
        <v>137.0</v>
      </c>
      <c r="D135" s="25">
        <v>141.0</v>
      </c>
      <c r="E135" s="25" t="s">
        <v>61</v>
      </c>
      <c r="F135" s="25">
        <v>4.0</v>
      </c>
      <c r="G135" s="25">
        <v>0.0</v>
      </c>
    </row>
    <row r="136" ht="15.75" customHeight="1">
      <c r="A136" s="25" t="s">
        <v>56</v>
      </c>
      <c r="B136" s="25" t="s">
        <v>61</v>
      </c>
      <c r="C136" s="25">
        <v>60.0</v>
      </c>
      <c r="D136" s="25">
        <v>62.0</v>
      </c>
      <c r="E136" s="25" t="s">
        <v>61</v>
      </c>
      <c r="F136" s="25">
        <v>0.0</v>
      </c>
      <c r="G136" s="25">
        <v>7.0</v>
      </c>
    </row>
    <row r="137" ht="15.75" customHeight="1">
      <c r="A137" s="25" t="s">
        <v>48</v>
      </c>
      <c r="B137" s="25" t="s">
        <v>61</v>
      </c>
      <c r="C137" s="25">
        <v>62.0</v>
      </c>
      <c r="D137" s="25">
        <v>122.0</v>
      </c>
      <c r="E137" s="25" t="s">
        <v>61</v>
      </c>
      <c r="F137" s="25">
        <v>60.0</v>
      </c>
      <c r="G137" s="25">
        <v>0.0</v>
      </c>
    </row>
    <row r="138" ht="15.75" customHeight="1">
      <c r="A138" s="25" t="s">
        <v>48</v>
      </c>
      <c r="B138" s="25" t="s">
        <v>61</v>
      </c>
      <c r="C138" s="25">
        <v>105.0</v>
      </c>
      <c r="D138" s="25">
        <v>104.0</v>
      </c>
      <c r="E138" s="25" t="s">
        <v>48</v>
      </c>
      <c r="F138" s="25">
        <v>0.0</v>
      </c>
      <c r="G138" s="25">
        <v>3.0</v>
      </c>
    </row>
    <row r="139" ht="15.75" customHeight="1">
      <c r="A139" s="25" t="s">
        <v>48</v>
      </c>
      <c r="B139" s="25" t="s">
        <v>61</v>
      </c>
      <c r="C139" s="25">
        <v>117.0</v>
      </c>
      <c r="D139" s="25">
        <v>127.0</v>
      </c>
      <c r="E139" s="25" t="s">
        <v>61</v>
      </c>
      <c r="F139" s="25">
        <v>10.0</v>
      </c>
      <c r="G139" s="25">
        <v>0.0</v>
      </c>
    </row>
    <row r="140" ht="15.75" customHeight="1">
      <c r="A140" s="25" t="s">
        <v>48</v>
      </c>
      <c r="B140" s="25" t="s">
        <v>61</v>
      </c>
      <c r="C140" s="25">
        <v>121.0</v>
      </c>
      <c r="D140" s="25">
        <v>131.0</v>
      </c>
      <c r="E140" s="25" t="s">
        <v>61</v>
      </c>
      <c r="F140" s="25">
        <v>0.0</v>
      </c>
      <c r="G140" s="25">
        <v>5.0</v>
      </c>
    </row>
    <row r="141" ht="15.75" customHeight="1">
      <c r="A141" s="25" t="s">
        <v>48</v>
      </c>
      <c r="B141" s="25" t="s">
        <v>61</v>
      </c>
      <c r="C141" s="25">
        <v>108.0</v>
      </c>
      <c r="D141" s="25">
        <v>131.0</v>
      </c>
      <c r="E141" s="25" t="s">
        <v>61</v>
      </c>
      <c r="F141" s="25">
        <v>23.0</v>
      </c>
      <c r="G141" s="25">
        <v>0.0</v>
      </c>
    </row>
    <row r="142" ht="15.75" customHeight="1">
      <c r="A142" s="25" t="s">
        <v>47</v>
      </c>
      <c r="B142" s="25" t="s">
        <v>62</v>
      </c>
      <c r="C142" s="25">
        <v>81.0</v>
      </c>
      <c r="D142" s="25">
        <v>82.0</v>
      </c>
      <c r="E142" s="25" t="s">
        <v>62</v>
      </c>
      <c r="F142" s="25">
        <v>0.0</v>
      </c>
      <c r="G142" s="25">
        <v>7.0</v>
      </c>
    </row>
    <row r="143" ht="15.75" customHeight="1">
      <c r="A143" s="25" t="s">
        <v>47</v>
      </c>
      <c r="B143" s="25" t="s">
        <v>62</v>
      </c>
      <c r="C143" s="25">
        <v>132.0</v>
      </c>
      <c r="D143" s="25">
        <v>133.0</v>
      </c>
      <c r="E143" s="25" t="s">
        <v>62</v>
      </c>
      <c r="F143" s="25">
        <v>0.0</v>
      </c>
      <c r="G143" s="25">
        <v>4.0</v>
      </c>
    </row>
    <row r="144" ht="15.75" customHeight="1">
      <c r="A144" s="25" t="s">
        <v>47</v>
      </c>
      <c r="B144" s="25" t="s">
        <v>62</v>
      </c>
      <c r="C144" s="25">
        <v>164.0</v>
      </c>
      <c r="D144" s="25">
        <v>126.0</v>
      </c>
      <c r="E144" s="25" t="s">
        <v>47</v>
      </c>
      <c r="F144" s="25">
        <v>38.0</v>
      </c>
      <c r="G144" s="25">
        <v>0.0</v>
      </c>
    </row>
    <row r="145" ht="15.75" customHeight="1">
      <c r="A145" s="25" t="s">
        <v>58</v>
      </c>
      <c r="B145" s="25" t="s">
        <v>59</v>
      </c>
      <c r="C145" s="25">
        <v>155.0</v>
      </c>
      <c r="D145" s="25">
        <v>154.0</v>
      </c>
      <c r="E145" s="25" t="s">
        <v>58</v>
      </c>
      <c r="F145" s="25">
        <v>0.0</v>
      </c>
      <c r="G145" s="25">
        <v>3.0</v>
      </c>
    </row>
    <row r="146" ht="15.75" customHeight="1">
      <c r="A146" s="25" t="s">
        <v>58</v>
      </c>
      <c r="B146" s="25" t="s">
        <v>59</v>
      </c>
      <c r="C146" s="25">
        <v>200.0</v>
      </c>
      <c r="D146" s="25">
        <v>155.0</v>
      </c>
      <c r="E146" s="25" t="s">
        <v>58</v>
      </c>
      <c r="F146" s="25">
        <v>45.0</v>
      </c>
      <c r="G146" s="25">
        <v>0.0</v>
      </c>
    </row>
    <row r="147" ht="15.75" customHeight="1">
      <c r="A147" s="25" t="s">
        <v>58</v>
      </c>
      <c r="B147" s="25" t="s">
        <v>59</v>
      </c>
      <c r="C147" s="25">
        <v>201.0</v>
      </c>
      <c r="D147" s="25">
        <v>232.0</v>
      </c>
      <c r="E147" s="25" t="s">
        <v>59</v>
      </c>
      <c r="F147" s="25">
        <v>31.0</v>
      </c>
      <c r="G147" s="25">
        <v>0.0</v>
      </c>
    </row>
    <row r="148" ht="15.75" customHeight="1">
      <c r="A148" s="25" t="s">
        <v>58</v>
      </c>
      <c r="B148" s="25" t="s">
        <v>62</v>
      </c>
      <c r="C148" s="25">
        <v>180.0</v>
      </c>
      <c r="D148" s="25">
        <v>91.0</v>
      </c>
      <c r="E148" s="25" t="s">
        <v>58</v>
      </c>
      <c r="F148" s="25">
        <v>89.0</v>
      </c>
      <c r="G148" s="25">
        <v>0.0</v>
      </c>
    </row>
    <row r="149" ht="15.75" customHeight="1">
      <c r="A149" s="25" t="s">
        <v>58</v>
      </c>
      <c r="B149" s="25" t="s">
        <v>62</v>
      </c>
      <c r="C149" s="25">
        <v>130.0</v>
      </c>
      <c r="D149" s="25">
        <v>129.0</v>
      </c>
      <c r="E149" s="25" t="s">
        <v>58</v>
      </c>
      <c r="F149" s="25">
        <v>0.0</v>
      </c>
      <c r="G149" s="25">
        <v>8.0</v>
      </c>
    </row>
    <row r="150" ht="15.75" customHeight="1">
      <c r="A150" s="25" t="s">
        <v>54</v>
      </c>
      <c r="B150" s="25" t="s">
        <v>59</v>
      </c>
      <c r="C150" s="25">
        <v>144.0</v>
      </c>
      <c r="D150" s="25">
        <v>149.0</v>
      </c>
      <c r="E150" s="25" t="s">
        <v>59</v>
      </c>
      <c r="F150" s="25">
        <v>0.0</v>
      </c>
      <c r="G150" s="25">
        <v>3.0</v>
      </c>
    </row>
    <row r="151" ht="15.75" customHeight="1">
      <c r="A151" s="25" t="s">
        <v>54</v>
      </c>
      <c r="B151" s="25" t="s">
        <v>59</v>
      </c>
      <c r="C151" s="25">
        <v>203.0</v>
      </c>
      <c r="D151" s="25">
        <v>205.0</v>
      </c>
      <c r="E151" s="25" t="s">
        <v>59</v>
      </c>
      <c r="F151" s="25">
        <v>0.0</v>
      </c>
      <c r="G151" s="25">
        <v>3.0</v>
      </c>
    </row>
    <row r="152" ht="15.75" customHeight="1">
      <c r="A152" s="25" t="s">
        <v>54</v>
      </c>
      <c r="B152" s="25" t="s">
        <v>59</v>
      </c>
      <c r="C152" s="25">
        <v>141.0</v>
      </c>
      <c r="D152" s="25">
        <v>140.0</v>
      </c>
      <c r="E152" s="25" t="s">
        <v>54</v>
      </c>
      <c r="F152" s="25">
        <v>0.0</v>
      </c>
      <c r="G152" s="25">
        <v>6.0</v>
      </c>
    </row>
    <row r="153" ht="15.75" customHeight="1">
      <c r="A153" s="25" t="s">
        <v>54</v>
      </c>
      <c r="B153" s="25" t="s">
        <v>59</v>
      </c>
      <c r="C153" s="25">
        <v>188.0</v>
      </c>
      <c r="D153" s="25">
        <v>189.0</v>
      </c>
      <c r="E153" s="25" t="s">
        <v>59</v>
      </c>
      <c r="F153" s="25">
        <v>0.0</v>
      </c>
      <c r="G153" s="25">
        <v>4.0</v>
      </c>
    </row>
    <row r="154" ht="15.75" customHeight="1">
      <c r="A154" s="25" t="s">
        <v>56</v>
      </c>
      <c r="B154" s="25" t="s">
        <v>61</v>
      </c>
      <c r="C154" s="25">
        <v>141.0</v>
      </c>
      <c r="D154" s="25">
        <v>76.0</v>
      </c>
      <c r="E154" s="25" t="s">
        <v>56</v>
      </c>
      <c r="F154" s="25">
        <v>65.0</v>
      </c>
      <c r="G154" s="25">
        <v>0.0</v>
      </c>
    </row>
    <row r="155" ht="15.75" customHeight="1">
      <c r="A155" s="25" t="s">
        <v>56</v>
      </c>
      <c r="B155" s="25" t="s">
        <v>61</v>
      </c>
      <c r="C155" s="25">
        <v>173.0</v>
      </c>
      <c r="D155" s="25">
        <v>142.0</v>
      </c>
      <c r="E155" s="25" t="s">
        <v>56</v>
      </c>
      <c r="F155" s="25">
        <v>28.0</v>
      </c>
      <c r="G155" s="25">
        <v>0.0</v>
      </c>
    </row>
    <row r="156" ht="15.75" customHeight="1">
      <c r="A156" s="25" t="s">
        <v>56</v>
      </c>
      <c r="B156" s="25" t="s">
        <v>61</v>
      </c>
      <c r="C156" s="25">
        <v>210.0</v>
      </c>
      <c r="D156" s="25">
        <v>144.0</v>
      </c>
      <c r="E156" s="25" t="s">
        <v>56</v>
      </c>
      <c r="F156" s="25">
        <v>66.0</v>
      </c>
      <c r="G156" s="25">
        <v>0.0</v>
      </c>
    </row>
    <row r="157" ht="15.75" customHeight="1">
      <c r="A157" s="25" t="s">
        <v>47</v>
      </c>
      <c r="B157" s="25" t="s">
        <v>58</v>
      </c>
      <c r="C157" s="25">
        <v>224.0</v>
      </c>
      <c r="D157" s="25">
        <v>188.0</v>
      </c>
      <c r="E157" s="25" t="s">
        <v>47</v>
      </c>
      <c r="F157" s="25">
        <v>36.0</v>
      </c>
      <c r="G157" s="25">
        <v>0.0</v>
      </c>
    </row>
    <row r="158" ht="15.75" customHeight="1">
      <c r="A158" s="25" t="s">
        <v>47</v>
      </c>
      <c r="B158" s="25" t="s">
        <v>58</v>
      </c>
      <c r="C158" s="25">
        <v>185.0</v>
      </c>
      <c r="D158" s="25">
        <v>177.0</v>
      </c>
      <c r="E158" s="25" t="s">
        <v>47</v>
      </c>
      <c r="F158" s="25">
        <v>8.0</v>
      </c>
      <c r="G158" s="25">
        <v>0.0</v>
      </c>
    </row>
    <row r="159" ht="15.75" customHeight="1">
      <c r="A159" s="25" t="s">
        <v>47</v>
      </c>
      <c r="B159" s="25" t="s">
        <v>58</v>
      </c>
      <c r="C159" s="25">
        <v>156.0</v>
      </c>
      <c r="D159" s="25">
        <v>158.0</v>
      </c>
      <c r="E159" s="25" t="s">
        <v>58</v>
      </c>
      <c r="F159" s="25">
        <v>0.0</v>
      </c>
      <c r="G159" s="25">
        <v>8.0</v>
      </c>
    </row>
    <row r="160" ht="15.75" customHeight="1">
      <c r="A160" s="25" t="s">
        <v>47</v>
      </c>
      <c r="B160" s="25" t="s">
        <v>58</v>
      </c>
      <c r="C160" s="25">
        <v>166.0</v>
      </c>
      <c r="D160" s="25">
        <v>164.0</v>
      </c>
      <c r="E160" s="25" t="s">
        <v>47</v>
      </c>
      <c r="F160" s="25">
        <v>0.0</v>
      </c>
      <c r="G160" s="25">
        <v>7.0</v>
      </c>
    </row>
    <row r="161" ht="15.75" customHeight="1">
      <c r="A161" s="25" t="s">
        <v>47</v>
      </c>
      <c r="B161" s="25" t="s">
        <v>58</v>
      </c>
      <c r="C161" s="25">
        <v>124.0</v>
      </c>
      <c r="D161" s="25">
        <v>130.0</v>
      </c>
      <c r="E161" s="25" t="s">
        <v>58</v>
      </c>
      <c r="F161" s="25">
        <v>0.0</v>
      </c>
      <c r="G161" s="25">
        <v>8.0</v>
      </c>
    </row>
    <row r="162" ht="15.75" customHeight="1">
      <c r="A162" s="25" t="s">
        <v>48</v>
      </c>
      <c r="B162" s="25" t="s">
        <v>56</v>
      </c>
      <c r="C162" s="25">
        <v>142.0</v>
      </c>
      <c r="D162" s="25">
        <v>143.0</v>
      </c>
      <c r="E162" s="25" t="s">
        <v>56</v>
      </c>
      <c r="F162" s="25">
        <v>0.0</v>
      </c>
      <c r="G162" s="25">
        <v>7.0</v>
      </c>
    </row>
    <row r="163" ht="15.75" customHeight="1">
      <c r="A163" s="25" t="s">
        <v>48</v>
      </c>
      <c r="B163" s="25" t="s">
        <v>56</v>
      </c>
      <c r="C163" s="25">
        <v>156.0</v>
      </c>
      <c r="D163" s="25">
        <v>106.0</v>
      </c>
      <c r="E163" s="25" t="s">
        <v>48</v>
      </c>
      <c r="F163" s="25">
        <v>50.0</v>
      </c>
      <c r="G163" s="25">
        <v>0.0</v>
      </c>
    </row>
    <row r="164" ht="15.75" customHeight="1">
      <c r="A164" s="25" t="s">
        <v>48</v>
      </c>
      <c r="B164" s="25" t="s">
        <v>56</v>
      </c>
      <c r="C164" s="25">
        <v>208.0</v>
      </c>
      <c r="D164" s="25">
        <v>144.0</v>
      </c>
      <c r="E164" s="25" t="s">
        <v>48</v>
      </c>
      <c r="F164" s="25">
        <v>64.0</v>
      </c>
      <c r="G164" s="25">
        <v>0.0</v>
      </c>
    </row>
    <row r="165" ht="15.75" customHeight="1">
      <c r="A165" s="25" t="s">
        <v>48</v>
      </c>
      <c r="B165" s="25" t="s">
        <v>56</v>
      </c>
      <c r="C165" s="25">
        <v>215.0</v>
      </c>
      <c r="D165" s="25">
        <v>219.0</v>
      </c>
      <c r="E165" s="25" t="s">
        <v>56</v>
      </c>
      <c r="F165" s="25">
        <v>4.0</v>
      </c>
      <c r="G165" s="25">
        <v>0.0</v>
      </c>
    </row>
    <row r="166" ht="15.75" customHeight="1">
      <c r="A166" s="25" t="s">
        <v>48</v>
      </c>
      <c r="B166" s="25" t="s">
        <v>56</v>
      </c>
      <c r="C166" s="25">
        <v>131.0</v>
      </c>
      <c r="D166" s="25">
        <v>184.0</v>
      </c>
      <c r="E166" s="25" t="s">
        <v>56</v>
      </c>
      <c r="F166" s="25">
        <v>53.0</v>
      </c>
      <c r="G166" s="25">
        <v>0.0</v>
      </c>
    </row>
    <row r="167" ht="15.75" customHeight="1">
      <c r="A167" s="25" t="s">
        <v>54</v>
      </c>
      <c r="B167" s="25" t="s">
        <v>59</v>
      </c>
      <c r="C167" s="25">
        <v>164.0</v>
      </c>
      <c r="D167" s="25">
        <v>169.0</v>
      </c>
      <c r="E167" s="25" t="s">
        <v>59</v>
      </c>
      <c r="F167" s="25">
        <v>0.0</v>
      </c>
      <c r="G167" s="25">
        <v>4.0</v>
      </c>
    </row>
    <row r="168" ht="15.75" customHeight="1">
      <c r="A168" s="25" t="s">
        <v>54</v>
      </c>
      <c r="B168" s="25" t="s">
        <v>59</v>
      </c>
      <c r="C168" s="25">
        <v>145.0</v>
      </c>
      <c r="D168" s="25">
        <v>144.0</v>
      </c>
      <c r="E168" s="25" t="s">
        <v>54</v>
      </c>
      <c r="F168" s="25">
        <v>0.0</v>
      </c>
      <c r="G168" s="25">
        <v>6.0</v>
      </c>
    </row>
    <row r="169" ht="15.75" customHeight="1">
      <c r="A169" s="25" t="s">
        <v>54</v>
      </c>
      <c r="B169" s="25" t="s">
        <v>59</v>
      </c>
      <c r="C169" s="25">
        <v>166.0</v>
      </c>
      <c r="D169" s="25">
        <v>169.0</v>
      </c>
      <c r="E169" s="25" t="s">
        <v>59</v>
      </c>
      <c r="F169" s="25">
        <v>3.0</v>
      </c>
      <c r="G169" s="25">
        <v>0.0</v>
      </c>
    </row>
    <row r="170" ht="15.75" customHeight="1">
      <c r="A170" s="25" t="s">
        <v>56</v>
      </c>
      <c r="B170" s="25" t="s">
        <v>59</v>
      </c>
      <c r="C170" s="25">
        <v>137.0</v>
      </c>
      <c r="D170" s="25">
        <v>177.0</v>
      </c>
      <c r="E170" s="25" t="s">
        <v>59</v>
      </c>
      <c r="F170" s="25">
        <v>0.0</v>
      </c>
      <c r="G170" s="25">
        <v>4.0</v>
      </c>
    </row>
    <row r="171" ht="15.75" customHeight="1">
      <c r="A171" s="25" t="s">
        <v>56</v>
      </c>
      <c r="B171" s="25" t="s">
        <v>59</v>
      </c>
      <c r="C171" s="25">
        <v>164.0</v>
      </c>
      <c r="D171" s="25">
        <v>163.0</v>
      </c>
      <c r="E171" s="25" t="s">
        <v>56</v>
      </c>
      <c r="F171" s="25">
        <v>0.0</v>
      </c>
      <c r="G171" s="25">
        <v>9.0</v>
      </c>
    </row>
    <row r="172" ht="15.75" customHeight="1">
      <c r="A172" s="25" t="s">
        <v>56</v>
      </c>
      <c r="B172" s="25" t="s">
        <v>59</v>
      </c>
      <c r="C172" s="25">
        <v>156.0</v>
      </c>
      <c r="D172" s="25">
        <v>153.0</v>
      </c>
      <c r="E172" s="25" t="s">
        <v>56</v>
      </c>
      <c r="F172" s="25">
        <v>0.0</v>
      </c>
      <c r="G172" s="25">
        <v>5.0</v>
      </c>
    </row>
    <row r="173" ht="15.75" customHeight="1">
      <c r="A173" s="25" t="s">
        <v>47</v>
      </c>
      <c r="B173" s="25" t="s">
        <v>48</v>
      </c>
      <c r="C173" s="25">
        <v>174.0</v>
      </c>
      <c r="D173" s="25">
        <v>186.0</v>
      </c>
      <c r="E173" s="25" t="s">
        <v>48</v>
      </c>
      <c r="F173" s="25">
        <v>12.0</v>
      </c>
      <c r="G173" s="25">
        <v>0.0</v>
      </c>
    </row>
    <row r="174" ht="15.75" customHeight="1">
      <c r="A174" s="25" t="s">
        <v>47</v>
      </c>
      <c r="B174" s="25" t="s">
        <v>48</v>
      </c>
      <c r="C174" s="25">
        <v>195.0</v>
      </c>
      <c r="D174" s="25">
        <v>195.0</v>
      </c>
      <c r="E174" s="25" t="s">
        <v>47</v>
      </c>
      <c r="F174" s="25">
        <v>0.0</v>
      </c>
      <c r="G174" s="25">
        <v>6.0</v>
      </c>
    </row>
    <row r="175" ht="15.75" customHeight="1">
      <c r="A175" s="25" t="s">
        <v>47</v>
      </c>
      <c r="B175" s="25" t="s">
        <v>48</v>
      </c>
      <c r="C175" s="25">
        <v>161.0</v>
      </c>
      <c r="D175" s="25">
        <v>150.0</v>
      </c>
      <c r="E175" s="25" t="s">
        <v>47</v>
      </c>
      <c r="F175" s="25">
        <v>11.0</v>
      </c>
      <c r="G175" s="25">
        <v>0.0</v>
      </c>
    </row>
    <row r="176" ht="15.75" customHeight="1">
      <c r="A176" s="25" t="s">
        <v>58</v>
      </c>
      <c r="B176" s="25" t="s">
        <v>54</v>
      </c>
      <c r="C176" s="25">
        <v>192.0</v>
      </c>
      <c r="D176" s="25">
        <v>191.0</v>
      </c>
      <c r="E176" s="25" t="s">
        <v>58</v>
      </c>
      <c r="F176" s="25">
        <v>0.0</v>
      </c>
      <c r="G176" s="25">
        <v>9.0</v>
      </c>
    </row>
    <row r="177" ht="15.75" customHeight="1">
      <c r="A177" s="25" t="s">
        <v>58</v>
      </c>
      <c r="B177" s="25" t="s">
        <v>54</v>
      </c>
      <c r="C177" s="25">
        <v>147.0</v>
      </c>
      <c r="D177" s="25">
        <v>146.0</v>
      </c>
      <c r="E177" s="25" t="s">
        <v>58</v>
      </c>
      <c r="F177" s="25">
        <v>0.0</v>
      </c>
      <c r="G177" s="25">
        <v>4.0</v>
      </c>
    </row>
    <row r="178" ht="15.75" customHeight="1">
      <c r="A178" s="25" t="s">
        <v>58</v>
      </c>
      <c r="B178" s="25" t="s">
        <v>54</v>
      </c>
      <c r="C178" s="25">
        <v>183.0</v>
      </c>
      <c r="D178" s="25">
        <v>179.0</v>
      </c>
      <c r="E178" s="25" t="s">
        <v>58</v>
      </c>
      <c r="F178" s="25">
        <v>0.0</v>
      </c>
      <c r="G178" s="25">
        <v>5.0</v>
      </c>
    </row>
    <row r="179" ht="15.75" customHeight="1">
      <c r="A179" s="25" t="s">
        <v>58</v>
      </c>
      <c r="B179" s="25" t="s">
        <v>48</v>
      </c>
      <c r="C179" s="25">
        <v>145.0</v>
      </c>
      <c r="D179" s="25">
        <v>146.0</v>
      </c>
      <c r="E179" s="25" t="s">
        <v>48</v>
      </c>
      <c r="F179" s="25">
        <v>0.0</v>
      </c>
      <c r="G179" s="25">
        <v>5.0</v>
      </c>
    </row>
    <row r="180" ht="15.75" customHeight="1">
      <c r="A180" s="25" t="s">
        <v>58</v>
      </c>
      <c r="B180" s="25" t="s">
        <v>48</v>
      </c>
      <c r="C180" s="25">
        <v>158.0</v>
      </c>
      <c r="D180" s="25">
        <v>157.0</v>
      </c>
      <c r="E180" s="25" t="s">
        <v>58</v>
      </c>
      <c r="F180" s="25">
        <v>0.0</v>
      </c>
      <c r="G180" s="25">
        <v>6.0</v>
      </c>
    </row>
    <row r="181" ht="15.75" customHeight="1">
      <c r="A181" s="25" t="s">
        <v>58</v>
      </c>
      <c r="B181" s="25" t="s">
        <v>48</v>
      </c>
      <c r="C181" s="25">
        <v>162.0</v>
      </c>
      <c r="D181" s="25">
        <v>160.0</v>
      </c>
      <c r="E181" s="25" t="s">
        <v>58</v>
      </c>
      <c r="F181" s="25">
        <v>2.0</v>
      </c>
      <c r="G181" s="25">
        <v>0.0</v>
      </c>
    </row>
    <row r="182" ht="15.75" customHeight="1">
      <c r="A182" s="25" t="s">
        <v>58</v>
      </c>
      <c r="B182" s="25" t="s">
        <v>59</v>
      </c>
      <c r="C182" s="25">
        <v>185.0</v>
      </c>
      <c r="D182" s="25">
        <v>190.0</v>
      </c>
      <c r="E182" s="25" t="s">
        <v>59</v>
      </c>
      <c r="F182" s="25">
        <v>5.0</v>
      </c>
      <c r="G182" s="25">
        <v>0.0</v>
      </c>
    </row>
    <row r="183" ht="15.75" customHeight="1">
      <c r="A183" s="25" t="s">
        <v>58</v>
      </c>
      <c r="B183" s="25" t="s">
        <v>59</v>
      </c>
      <c r="C183" s="25">
        <v>199.0</v>
      </c>
      <c r="D183" s="25">
        <v>195.0</v>
      </c>
      <c r="E183" s="25" t="s">
        <v>58</v>
      </c>
      <c r="F183" s="25">
        <v>0.0</v>
      </c>
      <c r="G183" s="25">
        <v>5.0</v>
      </c>
    </row>
    <row r="184" ht="15.75" customHeight="1">
      <c r="A184" s="25" t="s">
        <v>48</v>
      </c>
      <c r="B184" s="25" t="s">
        <v>54</v>
      </c>
      <c r="C184" s="25">
        <v>193.0</v>
      </c>
      <c r="D184" s="25">
        <v>96.0</v>
      </c>
      <c r="E184" s="25" t="s">
        <v>48</v>
      </c>
      <c r="F184" s="25">
        <v>97.0</v>
      </c>
      <c r="G184" s="25">
        <v>0.0</v>
      </c>
    </row>
    <row r="185" ht="15.75" customHeight="1">
      <c r="A185" s="25" t="s">
        <v>48</v>
      </c>
      <c r="B185" s="25" t="s">
        <v>54</v>
      </c>
      <c r="C185" s="25">
        <v>146.0</v>
      </c>
      <c r="D185" s="25">
        <v>158.0</v>
      </c>
      <c r="E185" s="25" t="s">
        <v>54</v>
      </c>
      <c r="F185" s="25">
        <v>12.0</v>
      </c>
      <c r="G185" s="25">
        <v>0.0</v>
      </c>
    </row>
    <row r="186" ht="15.75" customHeight="1">
      <c r="A186" s="25" t="s">
        <v>48</v>
      </c>
      <c r="B186" s="25" t="s">
        <v>54</v>
      </c>
      <c r="C186" s="25">
        <v>196.0</v>
      </c>
      <c r="D186" s="25">
        <v>89.0</v>
      </c>
      <c r="E186" s="25" t="s">
        <v>48</v>
      </c>
      <c r="F186" s="25">
        <v>107.0</v>
      </c>
      <c r="G186" s="25">
        <v>0.0</v>
      </c>
    </row>
    <row r="187" ht="15.75" customHeight="1">
      <c r="A187" s="25" t="s">
        <v>58</v>
      </c>
      <c r="B187" s="25" t="s">
        <v>54</v>
      </c>
      <c r="C187" s="25">
        <v>226.0</v>
      </c>
      <c r="D187" s="25">
        <v>222.0</v>
      </c>
      <c r="E187" s="25" t="s">
        <v>58</v>
      </c>
      <c r="F187" s="25">
        <v>0.0</v>
      </c>
      <c r="G187" s="25">
        <v>5.0</v>
      </c>
    </row>
    <row r="188" ht="15.75" customHeight="1">
      <c r="A188" s="25" t="s">
        <v>58</v>
      </c>
      <c r="B188" s="25" t="s">
        <v>54</v>
      </c>
      <c r="C188" s="25">
        <v>204.0</v>
      </c>
      <c r="D188" s="25">
        <v>202.0</v>
      </c>
      <c r="E188" s="25" t="s">
        <v>58</v>
      </c>
      <c r="F188" s="25">
        <v>2.0</v>
      </c>
      <c r="G188" s="25">
        <v>0.0</v>
      </c>
    </row>
    <row r="189" ht="15.75" customHeight="1">
      <c r="A189" s="25" t="s">
        <v>58</v>
      </c>
      <c r="B189" s="25" t="s">
        <v>54</v>
      </c>
      <c r="C189" s="25">
        <v>176.0</v>
      </c>
      <c r="D189" s="25">
        <v>177.0</v>
      </c>
      <c r="E189" s="25" t="s">
        <v>54</v>
      </c>
      <c r="F189" s="25">
        <v>1.0</v>
      </c>
      <c r="G189" s="25">
        <v>0.0</v>
      </c>
    </row>
    <row r="190" ht="15.75" customHeight="1">
      <c r="A190" s="25" t="s">
        <v>47</v>
      </c>
      <c r="B190" s="25" t="s">
        <v>56</v>
      </c>
      <c r="C190" s="25">
        <v>163.0</v>
      </c>
      <c r="D190" s="25">
        <v>156.0</v>
      </c>
      <c r="E190" s="25" t="s">
        <v>47</v>
      </c>
      <c r="F190" s="25">
        <v>7.0</v>
      </c>
      <c r="G190" s="25">
        <v>0.0</v>
      </c>
    </row>
    <row r="191" ht="15.75" customHeight="1">
      <c r="A191" s="25" t="s">
        <v>47</v>
      </c>
      <c r="B191" s="25" t="s">
        <v>56</v>
      </c>
      <c r="C191" s="25">
        <v>166.0</v>
      </c>
      <c r="D191" s="25">
        <v>165.0</v>
      </c>
      <c r="E191" s="25" t="s">
        <v>47</v>
      </c>
      <c r="F191" s="25">
        <v>1.0</v>
      </c>
      <c r="G191" s="25">
        <v>0.0</v>
      </c>
    </row>
    <row r="192" ht="15.75" customHeight="1">
      <c r="A192" s="25" t="s">
        <v>47</v>
      </c>
      <c r="B192" s="25" t="s">
        <v>56</v>
      </c>
      <c r="C192" s="25">
        <v>180.0</v>
      </c>
      <c r="D192" s="25">
        <v>179.0</v>
      </c>
      <c r="E192" s="25" t="s">
        <v>47</v>
      </c>
      <c r="F192" s="25">
        <v>1.0</v>
      </c>
      <c r="G192" s="25">
        <v>0.0</v>
      </c>
    </row>
    <row r="193" ht="15.75" customHeight="1">
      <c r="A193" s="25" t="s">
        <v>47</v>
      </c>
      <c r="B193" s="25" t="s">
        <v>56</v>
      </c>
      <c r="C193" s="25">
        <v>135.0</v>
      </c>
      <c r="D193" s="25">
        <v>132.0</v>
      </c>
      <c r="E193" s="25" t="s">
        <v>47</v>
      </c>
      <c r="F193" s="25">
        <v>0.0</v>
      </c>
      <c r="G193" s="25">
        <v>7.0</v>
      </c>
    </row>
    <row r="194" ht="15.75" customHeight="1">
      <c r="A194" s="25" t="s">
        <v>59</v>
      </c>
      <c r="B194" s="25" t="s">
        <v>61</v>
      </c>
      <c r="C194" s="25">
        <v>137.0</v>
      </c>
      <c r="D194" s="25">
        <v>136.0</v>
      </c>
      <c r="E194" s="25" t="s">
        <v>59</v>
      </c>
      <c r="F194" s="25">
        <v>0.0</v>
      </c>
      <c r="G194" s="25">
        <v>9.0</v>
      </c>
    </row>
    <row r="195" ht="15.75" customHeight="1">
      <c r="A195" s="25" t="s">
        <v>59</v>
      </c>
      <c r="B195" s="25" t="s">
        <v>61</v>
      </c>
      <c r="C195" s="25">
        <v>142.0</v>
      </c>
      <c r="D195" s="25">
        <v>141.0</v>
      </c>
      <c r="E195" s="25" t="s">
        <v>59</v>
      </c>
      <c r="F195" s="25">
        <v>0.0</v>
      </c>
      <c r="G195" s="25">
        <v>5.0</v>
      </c>
    </row>
    <row r="196" ht="15.75" customHeight="1">
      <c r="A196" s="25" t="s">
        <v>47</v>
      </c>
      <c r="B196" s="25" t="s">
        <v>56</v>
      </c>
      <c r="C196" s="25">
        <v>204.0</v>
      </c>
      <c r="D196" s="25">
        <v>203.0</v>
      </c>
      <c r="E196" s="25" t="s">
        <v>47</v>
      </c>
      <c r="F196" s="25">
        <v>0.0</v>
      </c>
      <c r="G196" s="25">
        <v>6.0</v>
      </c>
    </row>
    <row r="197" ht="15.75" customHeight="1">
      <c r="A197" s="25" t="s">
        <v>47</v>
      </c>
      <c r="B197" s="25" t="s">
        <v>62</v>
      </c>
      <c r="C197" s="25">
        <v>201.0</v>
      </c>
      <c r="D197" s="25">
        <v>123.0</v>
      </c>
      <c r="E197" s="25" t="s">
        <v>47</v>
      </c>
      <c r="F197" s="25">
        <v>78.0</v>
      </c>
      <c r="G197" s="25">
        <v>0.0</v>
      </c>
    </row>
    <row r="198" ht="15.75" customHeight="1">
      <c r="A198" s="25" t="s">
        <v>47</v>
      </c>
      <c r="B198" s="25" t="s">
        <v>62</v>
      </c>
      <c r="C198" s="25">
        <v>144.0</v>
      </c>
      <c r="D198" s="25">
        <v>142.0</v>
      </c>
      <c r="E198" s="25" t="s">
        <v>47</v>
      </c>
      <c r="F198" s="25">
        <v>0.0</v>
      </c>
      <c r="G198" s="25">
        <v>7.0</v>
      </c>
    </row>
    <row r="199" ht="15.75" customHeight="1">
      <c r="A199" s="25" t="s">
        <v>47</v>
      </c>
      <c r="B199" s="25" t="s">
        <v>61</v>
      </c>
      <c r="C199" s="25">
        <v>174.0</v>
      </c>
      <c r="D199" s="25">
        <v>144.0</v>
      </c>
      <c r="E199" s="25" t="s">
        <v>47</v>
      </c>
      <c r="F199" s="25">
        <v>30.0</v>
      </c>
      <c r="G199" s="25">
        <v>0.0</v>
      </c>
    </row>
    <row r="200" ht="15.75" customHeight="1">
      <c r="A200" s="25" t="s">
        <v>58</v>
      </c>
      <c r="B200" s="25" t="s">
        <v>56</v>
      </c>
      <c r="C200" s="25">
        <v>147.0</v>
      </c>
      <c r="D200" s="25">
        <v>146.0</v>
      </c>
      <c r="E200" s="25" t="s">
        <v>58</v>
      </c>
      <c r="F200" s="25">
        <v>1.0</v>
      </c>
      <c r="G200" s="25">
        <v>0.0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E6512F17-0A67-4DE3-B0F7-B55665D93D6C}" filter="1" showAutoFilter="1">
      <autoFilter ref="$A$1:$G$66"/>
      <extLst>
        <ext uri="GoogleSheetsCustomDataVersion1">
          <go:sheetsCustomData xmlns:go="http://customooxmlschemas.google.com/" filterViewId="141032553"/>
        </ext>
      </extLst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6" width="12.63"/>
    <col customWidth="1" hidden="1" min="12" max="16" width="12.63"/>
  </cols>
  <sheetData>
    <row r="1" ht="15.75" customHeight="1">
      <c r="A1" s="6" t="s">
        <v>131</v>
      </c>
      <c r="B1" s="6" t="s">
        <v>149</v>
      </c>
      <c r="C1" s="6" t="s">
        <v>10</v>
      </c>
      <c r="D1" s="37" t="s">
        <v>150</v>
      </c>
      <c r="E1" s="37" t="s">
        <v>151</v>
      </c>
      <c r="F1" s="37" t="s">
        <v>152</v>
      </c>
      <c r="G1" s="37" t="s">
        <v>153</v>
      </c>
      <c r="H1" s="37" t="s">
        <v>154</v>
      </c>
      <c r="I1" s="37" t="s">
        <v>155</v>
      </c>
      <c r="J1" s="37" t="s">
        <v>156</v>
      </c>
      <c r="K1" s="37" t="s">
        <v>157</v>
      </c>
      <c r="L1" s="37">
        <v>100.0</v>
      </c>
      <c r="M1" s="37">
        <v>200.0</v>
      </c>
      <c r="N1" s="37">
        <v>50.0</v>
      </c>
      <c r="O1" s="37" t="s">
        <v>158</v>
      </c>
      <c r="P1" s="5" t="s">
        <v>159</v>
      </c>
      <c r="Q1" s="5" t="s">
        <v>160</v>
      </c>
      <c r="R1" s="5" t="s">
        <v>161</v>
      </c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12" t="s">
        <v>162</v>
      </c>
      <c r="B2" s="12" t="s">
        <v>47</v>
      </c>
      <c r="C2" s="12" t="s">
        <v>53</v>
      </c>
      <c r="D2" s="38">
        <v>259.0</v>
      </c>
      <c r="E2" s="38">
        <v>251.0</v>
      </c>
      <c r="F2" s="38">
        <v>36.0</v>
      </c>
      <c r="G2" s="38">
        <v>10554.0</v>
      </c>
      <c r="H2" s="38">
        <v>264.0</v>
      </c>
      <c r="I2" s="38">
        <v>49.09</v>
      </c>
      <c r="J2" s="38">
        <v>11530.0</v>
      </c>
      <c r="K2" s="38">
        <v>91.54</v>
      </c>
      <c r="L2" s="38">
        <v>31.0</v>
      </c>
      <c r="M2" s="38">
        <v>3.0</v>
      </c>
      <c r="N2" s="38">
        <v>54.0</v>
      </c>
      <c r="O2" s="38">
        <v>977.0</v>
      </c>
      <c r="P2" s="38">
        <v>314.0</v>
      </c>
      <c r="Q2" s="39">
        <v>29.216249999999995</v>
      </c>
      <c r="R2" s="39">
        <v>82.43625</v>
      </c>
      <c r="S2" s="39"/>
      <c r="T2" s="39"/>
      <c r="U2" s="39"/>
      <c r="V2" s="40"/>
      <c r="W2" s="40"/>
      <c r="X2" s="39"/>
      <c r="Y2" s="39"/>
      <c r="Z2" s="39"/>
      <c r="AA2" s="39"/>
      <c r="AB2" s="39"/>
    </row>
    <row r="3" ht="15.75" customHeight="1">
      <c r="A3" s="12" t="s">
        <v>163</v>
      </c>
      <c r="B3" s="12" t="s">
        <v>47</v>
      </c>
      <c r="C3" s="12" t="s">
        <v>53</v>
      </c>
      <c r="D3" s="38">
        <v>41.0</v>
      </c>
      <c r="E3" s="38">
        <v>41.0</v>
      </c>
      <c r="F3" s="38">
        <v>6.0</v>
      </c>
      <c r="G3" s="38">
        <v>2136.0</v>
      </c>
      <c r="H3" s="38">
        <v>208.0</v>
      </c>
      <c r="I3" s="38">
        <v>61.03</v>
      </c>
      <c r="J3" s="38">
        <v>2090.0</v>
      </c>
      <c r="K3" s="38">
        <v>102.2</v>
      </c>
      <c r="L3" s="38">
        <v>6.0</v>
      </c>
      <c r="M3" s="38">
        <v>1.0</v>
      </c>
      <c r="N3" s="38">
        <v>11.0</v>
      </c>
      <c r="O3" s="38">
        <v>244.0</v>
      </c>
      <c r="P3" s="38">
        <v>45.0</v>
      </c>
      <c r="Q3" s="39"/>
      <c r="R3" s="39"/>
      <c r="S3" s="12"/>
      <c r="T3" s="12"/>
      <c r="U3" s="12"/>
      <c r="V3" s="41"/>
      <c r="W3" s="41"/>
      <c r="X3" s="12"/>
      <c r="Y3" s="12"/>
      <c r="Z3" s="12"/>
      <c r="AA3" s="12"/>
      <c r="AB3" s="12"/>
    </row>
    <row r="4" ht="15.75" customHeight="1">
      <c r="A4" s="12" t="s">
        <v>164</v>
      </c>
      <c r="B4" s="12" t="s">
        <v>47</v>
      </c>
      <c r="C4" s="12" t="s">
        <v>53</v>
      </c>
      <c r="D4" s="38">
        <v>289.0</v>
      </c>
      <c r="E4" s="38">
        <v>277.0</v>
      </c>
      <c r="F4" s="38">
        <v>44.0</v>
      </c>
      <c r="G4" s="38">
        <v>13626.0</v>
      </c>
      <c r="H4" s="38">
        <v>183.0</v>
      </c>
      <c r="I4" s="38">
        <v>58.48</v>
      </c>
      <c r="J4" s="38">
        <v>14565.0</v>
      </c>
      <c r="K4" s="38">
        <v>93.55</v>
      </c>
      <c r="L4" s="38">
        <v>49.0</v>
      </c>
      <c r="M4" s="38">
        <v>0.0</v>
      </c>
      <c r="N4" s="38">
        <v>70.0</v>
      </c>
      <c r="O4" s="38">
        <v>1276.0</v>
      </c>
      <c r="P4" s="38">
        <v>149.0</v>
      </c>
      <c r="Q4" s="39"/>
      <c r="R4" s="39"/>
      <c r="S4" s="39"/>
      <c r="T4" s="39"/>
      <c r="U4" s="39"/>
      <c r="V4" s="40"/>
      <c r="W4" s="40"/>
      <c r="X4" s="39"/>
      <c r="Y4" s="39"/>
      <c r="Z4" s="39"/>
      <c r="AA4" s="39"/>
      <c r="AB4" s="39"/>
    </row>
    <row r="5" ht="15.75" customHeight="1">
      <c r="A5" s="12" t="s">
        <v>165</v>
      </c>
      <c r="B5" s="12" t="s">
        <v>47</v>
      </c>
      <c r="C5" s="12" t="s">
        <v>53</v>
      </c>
      <c r="D5" s="38">
        <v>55.0</v>
      </c>
      <c r="E5" s="38">
        <v>50.0</v>
      </c>
      <c r="F5" s="38">
        <v>5.0</v>
      </c>
      <c r="G5" s="38">
        <v>2094.0</v>
      </c>
      <c r="H5" s="38">
        <v>113.0</v>
      </c>
      <c r="I5" s="38">
        <v>46.53</v>
      </c>
      <c r="J5" s="38">
        <v>2141.0</v>
      </c>
      <c r="K5" s="38">
        <v>97.8</v>
      </c>
      <c r="L5" s="38">
        <v>3.0</v>
      </c>
      <c r="M5" s="38">
        <v>0.0</v>
      </c>
      <c r="N5" s="38">
        <v>17.0</v>
      </c>
      <c r="O5" s="38">
        <v>198.0</v>
      </c>
      <c r="P5" s="38">
        <v>48.0</v>
      </c>
      <c r="Q5" s="39"/>
      <c r="R5" s="39"/>
      <c r="S5" s="39"/>
      <c r="T5" s="39"/>
      <c r="U5" s="39"/>
      <c r="V5" s="40"/>
      <c r="W5" s="40"/>
      <c r="X5" s="39"/>
      <c r="Y5" s="39"/>
      <c r="Z5" s="39"/>
      <c r="AA5" s="39"/>
      <c r="AB5" s="39"/>
    </row>
    <row r="6" ht="15.75" customHeight="1">
      <c r="A6" s="12" t="s">
        <v>166</v>
      </c>
      <c r="B6" s="12" t="s">
        <v>47</v>
      </c>
      <c r="C6" s="12" t="s">
        <v>53</v>
      </c>
      <c r="D6" s="38">
        <v>34.0</v>
      </c>
      <c r="E6" s="38">
        <v>32.0</v>
      </c>
      <c r="F6" s="38">
        <v>4.0</v>
      </c>
      <c r="G6" s="38">
        <v>752.0</v>
      </c>
      <c r="H6" s="38">
        <v>72.0</v>
      </c>
      <c r="I6" s="38">
        <v>26.86</v>
      </c>
      <c r="J6" s="38">
        <v>705.0</v>
      </c>
      <c r="K6" s="38">
        <v>106.67</v>
      </c>
      <c r="L6" s="38">
        <v>0.0</v>
      </c>
      <c r="M6" s="38">
        <v>0.0</v>
      </c>
      <c r="N6" s="38">
        <v>4.0</v>
      </c>
      <c r="O6" s="38">
        <v>79.0</v>
      </c>
      <c r="P6" s="38">
        <v>19.0</v>
      </c>
      <c r="Q6" s="39"/>
      <c r="R6" s="39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15.75" customHeight="1">
      <c r="A7" s="12" t="s">
        <v>167</v>
      </c>
      <c r="B7" s="12" t="s">
        <v>47</v>
      </c>
      <c r="C7" s="12" t="s">
        <v>53</v>
      </c>
      <c r="D7" s="38">
        <v>86.0</v>
      </c>
      <c r="E7" s="38">
        <v>61.0</v>
      </c>
      <c r="F7" s="38">
        <v>9.0</v>
      </c>
      <c r="G7" s="38">
        <v>1769.0</v>
      </c>
      <c r="H7" s="38">
        <v>92.0</v>
      </c>
      <c r="I7" s="38">
        <v>34.02</v>
      </c>
      <c r="J7" s="38">
        <v>1603.0</v>
      </c>
      <c r="K7" s="38">
        <v>110.36</v>
      </c>
      <c r="L7" s="38">
        <v>0.0</v>
      </c>
      <c r="M7" s="38">
        <v>0.0</v>
      </c>
      <c r="N7" s="38">
        <v>11.0</v>
      </c>
      <c r="O7" s="38">
        <v>132.0</v>
      </c>
      <c r="P7" s="38">
        <v>67.0</v>
      </c>
      <c r="Q7" s="39"/>
      <c r="R7" s="39"/>
      <c r="S7" s="39"/>
      <c r="T7" s="39"/>
      <c r="U7" s="39"/>
      <c r="V7" s="40"/>
      <c r="W7" s="40"/>
      <c r="X7" s="39"/>
      <c r="Y7" s="39"/>
      <c r="Z7" s="39"/>
      <c r="AA7" s="39"/>
      <c r="AB7" s="39"/>
    </row>
    <row r="8" ht="15.75" customHeight="1">
      <c r="A8" s="12" t="s">
        <v>168</v>
      </c>
      <c r="B8" s="12" t="s">
        <v>47</v>
      </c>
      <c r="C8" s="12" t="s">
        <v>53</v>
      </c>
      <c r="D8" s="38">
        <v>194.0</v>
      </c>
      <c r="E8" s="38">
        <v>131.0</v>
      </c>
      <c r="F8" s="38">
        <v>47.0</v>
      </c>
      <c r="G8" s="38">
        <v>2747.0</v>
      </c>
      <c r="H8" s="38">
        <v>87.0</v>
      </c>
      <c r="I8" s="38">
        <v>32.7</v>
      </c>
      <c r="J8" s="38">
        <v>3218.0</v>
      </c>
      <c r="K8" s="38">
        <v>85.36</v>
      </c>
      <c r="L8" s="38">
        <v>0.0</v>
      </c>
      <c r="M8" s="38">
        <v>0.0</v>
      </c>
      <c r="N8" s="38">
        <v>13.0</v>
      </c>
      <c r="O8" s="38">
        <v>199.0</v>
      </c>
      <c r="P8" s="38">
        <v>54.0</v>
      </c>
      <c r="Q8" s="39"/>
      <c r="R8" s="39"/>
      <c r="S8" s="39"/>
      <c r="T8" s="39"/>
      <c r="U8" s="39"/>
      <c r="V8" s="40"/>
      <c r="W8" s="40"/>
      <c r="X8" s="39"/>
      <c r="Y8" s="39"/>
      <c r="Z8" s="39"/>
      <c r="AA8" s="39"/>
      <c r="AB8" s="39"/>
    </row>
    <row r="9" ht="15.75" customHeight="1">
      <c r="A9" s="12" t="s">
        <v>169</v>
      </c>
      <c r="B9" s="12" t="s">
        <v>47</v>
      </c>
      <c r="C9" s="12" t="s">
        <v>53</v>
      </c>
      <c r="D9" s="38">
        <v>116.0</v>
      </c>
      <c r="E9" s="38">
        <v>63.0</v>
      </c>
      <c r="F9" s="38">
        <v>20.0</v>
      </c>
      <c r="G9" s="38">
        <v>707.0</v>
      </c>
      <c r="H9" s="38">
        <v>65.0</v>
      </c>
      <c r="I9" s="38">
        <v>16.44</v>
      </c>
      <c r="J9" s="38">
        <v>813.0</v>
      </c>
      <c r="K9" s="38">
        <v>86.96</v>
      </c>
      <c r="L9" s="38">
        <v>0.0</v>
      </c>
      <c r="M9" s="38">
        <v>0.0</v>
      </c>
      <c r="N9" s="38">
        <v>1.0</v>
      </c>
      <c r="O9" s="38">
        <v>60.0</v>
      </c>
      <c r="P9" s="38">
        <v>7.0</v>
      </c>
      <c r="Q9" s="39"/>
      <c r="R9" s="39"/>
      <c r="S9" s="39"/>
      <c r="T9" s="39"/>
      <c r="U9" s="39"/>
      <c r="V9" s="40"/>
      <c r="W9" s="40"/>
      <c r="X9" s="39"/>
      <c r="Y9" s="39"/>
      <c r="Z9" s="39"/>
      <c r="AA9" s="39"/>
      <c r="AB9" s="39"/>
    </row>
    <row r="10" ht="15.75" customHeight="1">
      <c r="A10" s="12" t="s">
        <v>170</v>
      </c>
      <c r="B10" s="12" t="s">
        <v>47</v>
      </c>
      <c r="C10" s="12" t="s">
        <v>53</v>
      </c>
      <c r="D10" s="38">
        <v>69.0</v>
      </c>
      <c r="E10" s="38">
        <v>65.0</v>
      </c>
      <c r="F10" s="38">
        <v>13.0</v>
      </c>
      <c r="G10" s="38">
        <v>2536.0</v>
      </c>
      <c r="H10" s="38">
        <v>112.0</v>
      </c>
      <c r="I10" s="38">
        <v>48.77</v>
      </c>
      <c r="J10" s="38">
        <v>2921.0</v>
      </c>
      <c r="K10" s="38">
        <v>86.82</v>
      </c>
      <c r="L10" s="38">
        <v>6.0</v>
      </c>
      <c r="M10" s="38">
        <v>0.0</v>
      </c>
      <c r="N10" s="38">
        <v>16.0</v>
      </c>
      <c r="O10" s="38">
        <v>198.0</v>
      </c>
      <c r="P10" s="38">
        <v>55.0</v>
      </c>
      <c r="Q10" s="39"/>
      <c r="R10" s="39"/>
      <c r="S10" s="12"/>
      <c r="T10" s="12"/>
      <c r="U10" s="12"/>
      <c r="V10" s="41"/>
      <c r="W10" s="41"/>
      <c r="X10" s="12"/>
      <c r="Y10" s="12"/>
      <c r="Z10" s="12"/>
      <c r="AA10" s="12"/>
      <c r="AB10" s="12"/>
    </row>
    <row r="11" ht="15.75" customHeight="1">
      <c r="A11" s="12" t="s">
        <v>171</v>
      </c>
      <c r="B11" s="12" t="s">
        <v>47</v>
      </c>
      <c r="C11" s="12" t="s">
        <v>53</v>
      </c>
      <c r="D11" s="38">
        <v>27.0</v>
      </c>
      <c r="E11" s="38">
        <v>24.0</v>
      </c>
      <c r="F11" s="38">
        <v>2.0</v>
      </c>
      <c r="G11" s="38">
        <v>933.0</v>
      </c>
      <c r="H11" s="38">
        <v>210.0</v>
      </c>
      <c r="I11" s="38">
        <v>42.41</v>
      </c>
      <c r="J11" s="38">
        <v>913.0</v>
      </c>
      <c r="K11" s="38">
        <v>102.19</v>
      </c>
      <c r="L11" s="38">
        <v>1.0</v>
      </c>
      <c r="M11" s="38">
        <v>1.0</v>
      </c>
      <c r="N11" s="38">
        <v>7.0</v>
      </c>
      <c r="O11" s="38">
        <v>95.0</v>
      </c>
      <c r="P11" s="38">
        <v>33.0</v>
      </c>
      <c r="Q11" s="39"/>
      <c r="R11" s="39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15.75" customHeight="1">
      <c r="A12" s="12" t="s">
        <v>172</v>
      </c>
      <c r="B12" s="12" t="s">
        <v>47</v>
      </c>
      <c r="C12" s="12" t="s">
        <v>53</v>
      </c>
      <c r="D12" s="38">
        <v>47.0</v>
      </c>
      <c r="E12" s="38">
        <v>25.0</v>
      </c>
      <c r="F12" s="38">
        <v>6.0</v>
      </c>
      <c r="G12" s="38">
        <v>329.0</v>
      </c>
      <c r="H12" s="38">
        <v>50.0</v>
      </c>
      <c r="I12" s="38">
        <v>17.32</v>
      </c>
      <c r="J12" s="38">
        <v>313.0</v>
      </c>
      <c r="K12" s="38">
        <v>105.11</v>
      </c>
      <c r="L12" s="38">
        <v>0.0</v>
      </c>
      <c r="M12" s="38">
        <v>0.0</v>
      </c>
      <c r="N12" s="38">
        <v>1.0</v>
      </c>
      <c r="O12" s="38">
        <v>31.0</v>
      </c>
      <c r="P12" s="38">
        <v>9.0</v>
      </c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ht="15.75" customHeight="1">
      <c r="A13" s="12" t="s">
        <v>173</v>
      </c>
      <c r="B13" s="12" t="s">
        <v>47</v>
      </c>
      <c r="C13" s="12" t="s">
        <v>53</v>
      </c>
      <c r="D13" s="38">
        <v>86.0</v>
      </c>
      <c r="E13" s="38">
        <v>25.0</v>
      </c>
      <c r="F13" s="38">
        <v>14.0</v>
      </c>
      <c r="G13" s="38">
        <v>90.0</v>
      </c>
      <c r="H13" s="38">
        <v>16.0</v>
      </c>
      <c r="I13" s="38">
        <v>8.18</v>
      </c>
      <c r="J13" s="38">
        <v>156.0</v>
      </c>
      <c r="K13" s="38">
        <v>57.69</v>
      </c>
      <c r="L13" s="38">
        <v>0.0</v>
      </c>
      <c r="M13" s="38">
        <v>0.0</v>
      </c>
      <c r="N13" s="38">
        <v>0.0</v>
      </c>
      <c r="O13" s="38">
        <v>10.0</v>
      </c>
      <c r="P13" s="38">
        <v>1.0</v>
      </c>
      <c r="Q13" s="39"/>
      <c r="R13" s="39"/>
      <c r="S13" s="39"/>
      <c r="T13" s="39"/>
      <c r="U13" s="39"/>
      <c r="V13" s="40"/>
      <c r="W13" s="40"/>
      <c r="X13" s="39"/>
      <c r="Y13" s="39"/>
      <c r="Z13" s="39"/>
      <c r="AA13" s="39"/>
      <c r="AB13" s="39"/>
    </row>
    <row r="14" ht="15.75" customHeight="1">
      <c r="A14" s="12" t="s">
        <v>174</v>
      </c>
      <c r="B14" s="12" t="s">
        <v>47</v>
      </c>
      <c r="C14" s="12" t="s">
        <v>53</v>
      </c>
      <c r="D14" s="38">
        <v>98.0</v>
      </c>
      <c r="E14" s="38">
        <v>35.0</v>
      </c>
      <c r="F14" s="38">
        <v>18.0</v>
      </c>
      <c r="G14" s="38">
        <v>179.0</v>
      </c>
      <c r="H14" s="38">
        <v>19.0</v>
      </c>
      <c r="I14" s="38">
        <v>10.53</v>
      </c>
      <c r="J14" s="38">
        <v>315.0</v>
      </c>
      <c r="K14" s="38">
        <v>56.83</v>
      </c>
      <c r="L14" s="38">
        <v>0.0</v>
      </c>
      <c r="M14" s="38">
        <v>0.0</v>
      </c>
      <c r="N14" s="38">
        <v>0.0</v>
      </c>
      <c r="O14" s="38">
        <v>14.0</v>
      </c>
      <c r="P14" s="38">
        <v>0.0</v>
      </c>
      <c r="Q14" s="39"/>
      <c r="R14" s="39"/>
      <c r="S14" s="39"/>
      <c r="T14" s="39"/>
      <c r="U14" s="39"/>
      <c r="V14" s="40"/>
      <c r="W14" s="40"/>
      <c r="X14" s="39"/>
      <c r="Y14" s="39"/>
      <c r="Z14" s="39"/>
      <c r="AA14" s="39"/>
      <c r="AB14" s="39"/>
    </row>
    <row r="15" ht="15.75" customHeight="1">
      <c r="A15" s="12" t="s">
        <v>175</v>
      </c>
      <c r="B15" s="12" t="s">
        <v>47</v>
      </c>
      <c r="C15" s="12" t="s">
        <v>53</v>
      </c>
      <c r="D15" s="38">
        <v>98.0</v>
      </c>
      <c r="E15" s="38">
        <v>47.0</v>
      </c>
      <c r="F15" s="38">
        <v>20.0</v>
      </c>
      <c r="G15" s="38">
        <v>214.0</v>
      </c>
      <c r="H15" s="38">
        <v>25.0</v>
      </c>
      <c r="I15" s="38">
        <v>7.93</v>
      </c>
      <c r="J15" s="38">
        <v>255.0</v>
      </c>
      <c r="K15" s="38">
        <v>83.92</v>
      </c>
      <c r="L15" s="38">
        <v>0.0</v>
      </c>
      <c r="M15" s="38">
        <v>0.0</v>
      </c>
      <c r="N15" s="38">
        <v>0.0</v>
      </c>
      <c r="O15" s="38">
        <v>16.0</v>
      </c>
      <c r="P15" s="38">
        <v>9.0</v>
      </c>
      <c r="Q15" s="39"/>
      <c r="R15" s="39"/>
      <c r="S15" s="39"/>
      <c r="T15" s="39"/>
      <c r="U15" s="39"/>
      <c r="V15" s="40"/>
      <c r="W15" s="40"/>
      <c r="X15" s="39"/>
      <c r="Y15" s="39"/>
      <c r="Z15" s="39"/>
      <c r="AA15" s="39"/>
      <c r="AB15" s="39"/>
    </row>
    <row r="16" ht="15.75" customHeight="1">
      <c r="A16" s="12" t="s">
        <v>176</v>
      </c>
      <c r="B16" s="12" t="s">
        <v>47</v>
      </c>
      <c r="C16" s="12" t="s">
        <v>53</v>
      </c>
      <c r="D16" s="38">
        <v>38.0</v>
      </c>
      <c r="E16" s="38">
        <v>13.0</v>
      </c>
      <c r="F16" s="38">
        <v>7.0</v>
      </c>
      <c r="G16" s="38">
        <v>37.0</v>
      </c>
      <c r="H16" s="38">
        <v>9.0</v>
      </c>
      <c r="I16" s="38">
        <v>6.17</v>
      </c>
      <c r="J16" s="38">
        <v>92.0</v>
      </c>
      <c r="K16" s="38">
        <v>40.22</v>
      </c>
      <c r="L16" s="38">
        <v>0.0</v>
      </c>
      <c r="M16" s="38">
        <v>0.0</v>
      </c>
      <c r="N16" s="38">
        <v>0.0</v>
      </c>
      <c r="O16" s="38">
        <v>2.0</v>
      </c>
      <c r="P16" s="38">
        <v>0.0</v>
      </c>
      <c r="Q16" s="39"/>
      <c r="R16" s="39"/>
      <c r="S16" s="39"/>
      <c r="T16" s="39"/>
      <c r="U16" s="39"/>
      <c r="V16" s="40"/>
      <c r="W16" s="40"/>
      <c r="X16" s="39"/>
      <c r="Y16" s="39"/>
      <c r="Z16" s="39"/>
      <c r="AA16" s="39"/>
      <c r="AB16" s="39"/>
    </row>
    <row r="17" ht="15.75" customHeight="1">
      <c r="A17" s="12" t="s">
        <v>177</v>
      </c>
      <c r="B17" s="12" t="s">
        <v>47</v>
      </c>
      <c r="C17" s="12" t="s">
        <v>53</v>
      </c>
      <c r="D17" s="38">
        <v>17.0</v>
      </c>
      <c r="E17" s="38">
        <v>7.0</v>
      </c>
      <c r="F17" s="38">
        <v>5.0</v>
      </c>
      <c r="G17" s="38">
        <v>2.0</v>
      </c>
      <c r="H17" s="38">
        <v>2.0</v>
      </c>
      <c r="I17" s="38">
        <v>1.0</v>
      </c>
      <c r="J17" s="38">
        <v>17.0</v>
      </c>
      <c r="K17" s="38">
        <v>11.76</v>
      </c>
      <c r="L17" s="38">
        <v>0.0</v>
      </c>
      <c r="M17" s="38">
        <v>0.0</v>
      </c>
      <c r="N17" s="38">
        <v>0.0</v>
      </c>
      <c r="O17" s="38">
        <v>0.0</v>
      </c>
      <c r="P17" s="38">
        <v>0.0</v>
      </c>
      <c r="Q17" s="39"/>
      <c r="R17" s="39"/>
      <c r="S17" s="39"/>
      <c r="T17" s="39"/>
      <c r="U17" s="39"/>
      <c r="V17" s="40"/>
      <c r="W17" s="40"/>
      <c r="X17" s="39"/>
      <c r="Y17" s="39"/>
      <c r="Z17" s="39"/>
      <c r="AA17" s="39"/>
      <c r="AB17" s="39"/>
    </row>
    <row r="18" ht="15.75" customHeight="1">
      <c r="A18" s="42" t="s">
        <v>178</v>
      </c>
      <c r="B18" s="12" t="s">
        <v>54</v>
      </c>
      <c r="C18" s="12" t="s">
        <v>53</v>
      </c>
      <c r="D18" s="38">
        <v>36.0</v>
      </c>
      <c r="E18" s="38">
        <v>35.0</v>
      </c>
      <c r="F18" s="38">
        <v>3.0</v>
      </c>
      <c r="G18" s="38">
        <v>1489.0</v>
      </c>
      <c r="H18" s="38">
        <v>144.0</v>
      </c>
      <c r="I18" s="38">
        <v>46.53</v>
      </c>
      <c r="J18" s="38">
        <v>1666.0</v>
      </c>
      <c r="K18" s="38">
        <v>89.38</v>
      </c>
      <c r="L18" s="38">
        <v>5.0</v>
      </c>
      <c r="M18" s="38">
        <v>0.0</v>
      </c>
      <c r="N18" s="38">
        <v>4.0</v>
      </c>
      <c r="O18" s="38">
        <v>143.0</v>
      </c>
      <c r="P18" s="38">
        <v>23.0</v>
      </c>
      <c r="Q18" s="39">
        <f>sum(I18:I32)/count(I18:I32)</f>
        <v>29.26</v>
      </c>
      <c r="R18" s="39">
        <f>sum(K18:K32)/count(K18:K32)</f>
        <v>86.99071429</v>
      </c>
      <c r="S18" s="39"/>
      <c r="T18" s="39"/>
      <c r="U18" s="39"/>
      <c r="V18" s="40"/>
      <c r="W18" s="40"/>
      <c r="X18" s="39"/>
      <c r="Y18" s="39"/>
      <c r="Z18" s="39"/>
      <c r="AA18" s="39"/>
      <c r="AB18" s="39"/>
    </row>
    <row r="19" ht="15.75" customHeight="1">
      <c r="A19" s="42" t="s">
        <v>179</v>
      </c>
      <c r="B19" s="12" t="s">
        <v>54</v>
      </c>
      <c r="C19" s="12" t="s">
        <v>53</v>
      </c>
      <c r="D19" s="38">
        <v>31.0</v>
      </c>
      <c r="E19" s="38">
        <v>31.0</v>
      </c>
      <c r="F19" s="38">
        <v>2.0</v>
      </c>
      <c r="G19" s="38">
        <v>858.0</v>
      </c>
      <c r="H19" s="38">
        <v>102.0</v>
      </c>
      <c r="I19" s="38">
        <v>29.59</v>
      </c>
      <c r="J19" s="38">
        <v>1067.0</v>
      </c>
      <c r="K19" s="38">
        <v>80.41</v>
      </c>
      <c r="L19" s="38">
        <v>1.0</v>
      </c>
      <c r="M19" s="38">
        <v>0.0</v>
      </c>
      <c r="N19" s="38">
        <v>6.0</v>
      </c>
      <c r="O19" s="38">
        <v>88.0</v>
      </c>
      <c r="P19" s="38">
        <v>9.0</v>
      </c>
      <c r="Q19" s="39"/>
      <c r="R19" s="39"/>
      <c r="S19" s="39"/>
      <c r="T19" s="39"/>
      <c r="U19" s="39"/>
      <c r="V19" s="40"/>
      <c r="W19" s="40"/>
      <c r="X19" s="39"/>
      <c r="Y19" s="39"/>
      <c r="Z19" s="39"/>
      <c r="AA19" s="39"/>
      <c r="AB19" s="39"/>
    </row>
    <row r="20" ht="15.75" customHeight="1">
      <c r="A20" s="12" t="s">
        <v>180</v>
      </c>
      <c r="B20" s="12" t="s">
        <v>54</v>
      </c>
      <c r="C20" s="12" t="s">
        <v>53</v>
      </c>
      <c r="D20" s="17">
        <v>63.0</v>
      </c>
      <c r="E20" s="17">
        <v>60.0</v>
      </c>
      <c r="F20" s="17">
        <v>6.0</v>
      </c>
      <c r="G20" s="17">
        <v>2036.0</v>
      </c>
      <c r="H20" s="17">
        <v>175.0</v>
      </c>
      <c r="I20" s="17">
        <v>37.7</v>
      </c>
      <c r="J20" s="17">
        <v>2042.0</v>
      </c>
      <c r="K20" s="17">
        <v>99.71</v>
      </c>
      <c r="L20" s="17">
        <v>3.0</v>
      </c>
      <c r="M20" s="17">
        <v>0.0</v>
      </c>
      <c r="N20" s="17">
        <v>10.0</v>
      </c>
      <c r="O20" s="17">
        <v>210.0</v>
      </c>
      <c r="P20" s="12" t="s">
        <v>181</v>
      </c>
      <c r="Q20" s="12"/>
      <c r="R20" s="12"/>
      <c r="S20" s="12"/>
      <c r="T20" s="12"/>
      <c r="U20" s="12"/>
      <c r="V20" s="41"/>
      <c r="W20" s="41"/>
      <c r="X20" s="12"/>
      <c r="Y20" s="12"/>
      <c r="Z20" s="12"/>
      <c r="AA20" s="12"/>
      <c r="AB20" s="12"/>
    </row>
    <row r="21" ht="15.75" customHeight="1">
      <c r="A21" s="12" t="s">
        <v>182</v>
      </c>
      <c r="B21" s="12" t="s">
        <v>54</v>
      </c>
      <c r="C21" s="43" t="s">
        <v>53</v>
      </c>
      <c r="D21" s="38">
        <v>168.0</v>
      </c>
      <c r="E21" s="38">
        <v>145.0</v>
      </c>
      <c r="F21" s="38">
        <v>43.0</v>
      </c>
      <c r="G21" s="38">
        <v>4321.0</v>
      </c>
      <c r="H21" s="38">
        <v>139.0</v>
      </c>
      <c r="I21" s="38">
        <v>42.36</v>
      </c>
      <c r="J21" s="38">
        <v>4139.0</v>
      </c>
      <c r="K21" s="44">
        <v>104.4</v>
      </c>
      <c r="L21" s="38">
        <v>5.0</v>
      </c>
      <c r="M21" s="38">
        <v>0.0</v>
      </c>
      <c r="N21" s="38">
        <v>24.0</v>
      </c>
      <c r="O21" s="38">
        <v>321.0</v>
      </c>
      <c r="P21" s="38">
        <v>132.0</v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ht="15.75" customHeight="1">
      <c r="A22" s="12" t="s">
        <v>183</v>
      </c>
      <c r="B22" s="12" t="s">
        <v>54</v>
      </c>
      <c r="C22" s="12" t="s">
        <v>53</v>
      </c>
      <c r="D22" s="17">
        <v>57.0</v>
      </c>
      <c r="E22" s="17">
        <v>52.0</v>
      </c>
      <c r="F22" s="17">
        <v>11.0</v>
      </c>
      <c r="G22" s="17">
        <v>2240.0</v>
      </c>
      <c r="H22" s="17">
        <v>134.0</v>
      </c>
      <c r="I22" s="17">
        <v>54.63</v>
      </c>
      <c r="J22" s="17">
        <v>2511.0</v>
      </c>
      <c r="K22" s="14">
        <v>89.21</v>
      </c>
      <c r="L22" s="17">
        <v>6.0</v>
      </c>
      <c r="M22" s="17">
        <v>0.0</v>
      </c>
      <c r="N22" s="17">
        <v>13.0</v>
      </c>
      <c r="O22" s="17">
        <v>173.0</v>
      </c>
      <c r="P22" s="12" t="s">
        <v>184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ht="15.75" customHeight="1">
      <c r="A23" s="12" t="s">
        <v>185</v>
      </c>
      <c r="B23" s="12" t="s">
        <v>54</v>
      </c>
      <c r="C23" s="12" t="s">
        <v>53</v>
      </c>
      <c r="D23" s="17">
        <v>22.0</v>
      </c>
      <c r="E23" s="17">
        <v>18.0</v>
      </c>
      <c r="F23" s="17">
        <v>5.0</v>
      </c>
      <c r="G23" s="17">
        <v>422.0</v>
      </c>
      <c r="H23" s="17">
        <v>75.0</v>
      </c>
      <c r="I23" s="17">
        <v>32.46</v>
      </c>
      <c r="J23" s="17">
        <v>372.0</v>
      </c>
      <c r="K23" s="14">
        <v>113.44</v>
      </c>
      <c r="L23" s="17">
        <v>0.0</v>
      </c>
      <c r="M23" s="17">
        <v>0.0</v>
      </c>
      <c r="N23" s="17">
        <v>1.0</v>
      </c>
      <c r="O23" s="17">
        <v>32.0</v>
      </c>
      <c r="P23" s="12" t="s">
        <v>186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ht="15.75" customHeight="1">
      <c r="A24" s="12" t="s">
        <v>187</v>
      </c>
      <c r="B24" s="12" t="s">
        <v>54</v>
      </c>
      <c r="C24" s="12" t="s">
        <v>53</v>
      </c>
      <c r="D24" s="17">
        <v>76.0</v>
      </c>
      <c r="E24" s="17">
        <v>49.0</v>
      </c>
      <c r="F24" s="17">
        <v>17.0</v>
      </c>
      <c r="G24" s="17">
        <v>782.0</v>
      </c>
      <c r="H24" s="17">
        <v>69.0</v>
      </c>
      <c r="I24" s="17">
        <v>24.44</v>
      </c>
      <c r="J24" s="17">
        <v>887.0</v>
      </c>
      <c r="K24" s="14">
        <v>88.16</v>
      </c>
      <c r="L24" s="17">
        <v>0.0</v>
      </c>
      <c r="M24" s="17">
        <v>0.0</v>
      </c>
      <c r="N24" s="17">
        <v>2.0</v>
      </c>
      <c r="O24" s="17">
        <v>69.0</v>
      </c>
      <c r="P24" s="12" t="s">
        <v>188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ht="15.75" customHeight="1">
      <c r="A25" s="12" t="s">
        <v>189</v>
      </c>
      <c r="B25" s="12" t="s">
        <v>54</v>
      </c>
      <c r="C25" s="12" t="s">
        <v>53</v>
      </c>
      <c r="D25" s="17">
        <v>153.0</v>
      </c>
      <c r="E25" s="17">
        <v>153.0</v>
      </c>
      <c r="F25" s="17">
        <v>7.0</v>
      </c>
      <c r="G25" s="17">
        <v>6726.0</v>
      </c>
      <c r="H25" s="17">
        <v>178.0</v>
      </c>
      <c r="I25" s="17">
        <v>46.07</v>
      </c>
      <c r="J25" s="17">
        <v>6944.0</v>
      </c>
      <c r="K25" s="14">
        <v>96.86</v>
      </c>
      <c r="L25" s="17">
        <v>21.0</v>
      </c>
      <c r="M25" s="17">
        <v>0.0</v>
      </c>
      <c r="N25" s="17">
        <v>30.0</v>
      </c>
      <c r="O25" s="17">
        <v>769.0</v>
      </c>
      <c r="P25" s="12" t="s">
        <v>190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ht="15.75" customHeight="1">
      <c r="A26" s="12" t="s">
        <v>191</v>
      </c>
      <c r="B26" s="12" t="s">
        <v>54</v>
      </c>
      <c r="C26" s="12" t="s">
        <v>53</v>
      </c>
      <c r="D26" s="17">
        <v>49.0</v>
      </c>
      <c r="E26" s="17">
        <v>46.0</v>
      </c>
      <c r="F26" s="17">
        <v>7.0</v>
      </c>
      <c r="G26" s="17">
        <v>1639.0</v>
      </c>
      <c r="H26" s="17">
        <v>174.0</v>
      </c>
      <c r="I26" s="17">
        <v>42.03</v>
      </c>
      <c r="J26" s="17">
        <v>1404.0</v>
      </c>
      <c r="K26" s="14">
        <v>116.74</v>
      </c>
      <c r="L26" s="17">
        <v>4.0</v>
      </c>
      <c r="M26" s="17">
        <v>0.0</v>
      </c>
      <c r="N26" s="17">
        <v>6.0</v>
      </c>
      <c r="O26" s="17">
        <v>142.0</v>
      </c>
      <c r="P26" s="12" t="s">
        <v>192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ht="15.75" customHeight="1">
      <c r="A27" s="12" t="s">
        <v>193</v>
      </c>
      <c r="B27" s="12" t="s">
        <v>54</v>
      </c>
      <c r="C27" s="12" t="s">
        <v>53</v>
      </c>
      <c r="D27" s="17">
        <v>12.0</v>
      </c>
      <c r="E27" s="17">
        <v>6.0</v>
      </c>
      <c r="F27" s="17">
        <v>0.0</v>
      </c>
      <c r="G27" s="17">
        <v>38.0</v>
      </c>
      <c r="H27" s="17">
        <v>22.0</v>
      </c>
      <c r="I27" s="17">
        <v>6.33</v>
      </c>
      <c r="J27" s="17">
        <v>51.0</v>
      </c>
      <c r="K27" s="17">
        <v>74.51</v>
      </c>
      <c r="L27" s="17">
        <v>0.0</v>
      </c>
      <c r="M27" s="17">
        <v>0.0</v>
      </c>
      <c r="N27" s="17">
        <v>0.0</v>
      </c>
      <c r="O27" s="17">
        <v>2.0</v>
      </c>
      <c r="P27" s="12" t="s">
        <v>194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ht="15.75" customHeight="1">
      <c r="A28" s="12" t="s">
        <v>195</v>
      </c>
      <c r="B28" s="12" t="s">
        <v>54</v>
      </c>
      <c r="C28" s="12" t="s">
        <v>53</v>
      </c>
      <c r="D28" s="17">
        <v>39.0</v>
      </c>
      <c r="E28" s="17">
        <v>20.0</v>
      </c>
      <c r="F28" s="17">
        <v>5.0</v>
      </c>
      <c r="G28" s="17">
        <v>216.0</v>
      </c>
      <c r="H28" s="17">
        <v>40.0</v>
      </c>
      <c r="I28" s="17">
        <v>14.4</v>
      </c>
      <c r="J28" s="17">
        <v>246.0</v>
      </c>
      <c r="K28" s="17">
        <v>87.8</v>
      </c>
      <c r="L28" s="17">
        <v>0.0</v>
      </c>
      <c r="M28" s="17">
        <v>0.0</v>
      </c>
      <c r="N28" s="17">
        <v>0.0</v>
      </c>
      <c r="O28" s="17">
        <v>28.0</v>
      </c>
      <c r="P28" s="12" t="s">
        <v>196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ht="15.75" customHeight="1">
      <c r="A29" s="12" t="s">
        <v>197</v>
      </c>
      <c r="B29" s="12" t="s">
        <v>54</v>
      </c>
      <c r="C29" s="12" t="s">
        <v>53</v>
      </c>
      <c r="D29" s="17">
        <v>55.0</v>
      </c>
      <c r="E29" s="17">
        <v>22.0</v>
      </c>
      <c r="F29" s="17">
        <v>14.0</v>
      </c>
      <c r="G29" s="17">
        <v>91.0</v>
      </c>
      <c r="H29" s="17">
        <v>19.0</v>
      </c>
      <c r="I29" s="17">
        <v>11.38</v>
      </c>
      <c r="J29" s="17">
        <v>185.0</v>
      </c>
      <c r="K29" s="17">
        <v>49.19</v>
      </c>
      <c r="L29" s="17">
        <v>0.0</v>
      </c>
      <c r="M29" s="17">
        <v>0.0</v>
      </c>
      <c r="N29" s="17">
        <v>0.0</v>
      </c>
      <c r="O29" s="17">
        <v>5.0</v>
      </c>
      <c r="P29" s="12" t="s">
        <v>198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ht="15.75" customHeight="1">
      <c r="A30" s="12" t="s">
        <v>199</v>
      </c>
      <c r="B30" s="12" t="s">
        <v>54</v>
      </c>
      <c r="C30" s="12" t="s">
        <v>53</v>
      </c>
      <c r="D30" s="17">
        <v>99.0</v>
      </c>
      <c r="E30" s="17">
        <v>41.0</v>
      </c>
      <c r="F30" s="17">
        <v>18.0</v>
      </c>
      <c r="G30" s="17">
        <v>350.0</v>
      </c>
      <c r="H30" s="17">
        <v>31.0</v>
      </c>
      <c r="I30" s="17">
        <v>15.22</v>
      </c>
      <c r="J30" s="17">
        <v>438.0</v>
      </c>
      <c r="K30" s="17">
        <v>79.91</v>
      </c>
      <c r="L30" s="17">
        <v>0.0</v>
      </c>
      <c r="M30" s="17">
        <v>0.0</v>
      </c>
      <c r="N30" s="17">
        <v>0.0</v>
      </c>
      <c r="O30" s="17">
        <v>26.0</v>
      </c>
      <c r="P30" s="12" t="s">
        <v>200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ht="15.75" customHeight="1">
      <c r="A31" s="12" t="s">
        <v>201</v>
      </c>
      <c r="B31" s="12" t="s">
        <v>54</v>
      </c>
      <c r="C31" s="12" t="s">
        <v>53</v>
      </c>
      <c r="D31" s="17">
        <v>49.0</v>
      </c>
      <c r="E31" s="17">
        <v>12.0</v>
      </c>
      <c r="F31" s="17">
        <v>8.0</v>
      </c>
      <c r="G31" s="17">
        <v>26.0</v>
      </c>
      <c r="H31" s="17">
        <v>9.0</v>
      </c>
      <c r="I31" s="17">
        <v>6.5</v>
      </c>
      <c r="J31" s="17">
        <v>54.0</v>
      </c>
      <c r="K31" s="17">
        <v>48.15</v>
      </c>
      <c r="L31" s="17">
        <v>0.0</v>
      </c>
      <c r="M31" s="17">
        <v>0.0</v>
      </c>
      <c r="N31" s="17">
        <v>0.0</v>
      </c>
      <c r="O31" s="17">
        <v>2.0</v>
      </c>
      <c r="P31" s="12" t="s">
        <v>202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ht="15.75" customHeight="1">
      <c r="A32" s="12" t="s">
        <v>203</v>
      </c>
      <c r="B32" s="12" t="s">
        <v>54</v>
      </c>
      <c r="C32" s="12" t="s">
        <v>53</v>
      </c>
      <c r="D32" s="17">
        <v>2.0</v>
      </c>
      <c r="E32" s="12" t="s">
        <v>204</v>
      </c>
      <c r="F32" s="12" t="s">
        <v>204</v>
      </c>
      <c r="G32" s="12" t="s">
        <v>204</v>
      </c>
      <c r="H32" s="12" t="s">
        <v>204</v>
      </c>
      <c r="I32" s="12" t="s">
        <v>204</v>
      </c>
      <c r="J32" s="12" t="s">
        <v>204</v>
      </c>
      <c r="K32" s="12" t="s">
        <v>204</v>
      </c>
      <c r="L32" s="12" t="s">
        <v>204</v>
      </c>
      <c r="M32" s="12" t="s">
        <v>204</v>
      </c>
      <c r="N32" s="12" t="s">
        <v>204</v>
      </c>
      <c r="O32" s="12" t="s">
        <v>204</v>
      </c>
      <c r="P32" s="12" t="s">
        <v>205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ht="15.75" customHeight="1">
      <c r="A33" s="12" t="s">
        <v>206</v>
      </c>
      <c r="B33" s="12" t="s">
        <v>48</v>
      </c>
      <c r="C33" s="12" t="s">
        <v>53</v>
      </c>
      <c r="D33" s="17">
        <v>152.0</v>
      </c>
      <c r="E33" s="17">
        <v>136.0</v>
      </c>
      <c r="F33" s="17">
        <v>15.0</v>
      </c>
      <c r="G33" s="17">
        <v>5259.0</v>
      </c>
      <c r="H33" s="17">
        <v>164.0</v>
      </c>
      <c r="I33" s="17">
        <v>43.46</v>
      </c>
      <c r="J33" s="17">
        <v>6003.0</v>
      </c>
      <c r="K33" s="17">
        <v>87.61</v>
      </c>
      <c r="L33" s="17">
        <v>12.0</v>
      </c>
      <c r="M33" s="17">
        <v>0.0</v>
      </c>
      <c r="N33" s="17">
        <v>31.0</v>
      </c>
      <c r="O33" s="17">
        <v>469.0</v>
      </c>
      <c r="P33" s="12" t="s">
        <v>207</v>
      </c>
      <c r="Q33" s="12">
        <f>sum(I33:I47)/count(I33:I47)</f>
        <v>27.72733333</v>
      </c>
      <c r="R33" s="12">
        <f>sum(K33:K47)/count(K33:K47)</f>
        <v>92.17733333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ht="15.75" customHeight="1">
      <c r="A34" s="12" t="s">
        <v>208</v>
      </c>
      <c r="B34" s="12" t="s">
        <v>48</v>
      </c>
      <c r="C34" s="12" t="s">
        <v>53</v>
      </c>
      <c r="D34" s="17">
        <v>61.0</v>
      </c>
      <c r="E34" s="17">
        <v>58.0</v>
      </c>
      <c r="F34" s="17">
        <v>4.0</v>
      </c>
      <c r="G34" s="17">
        <v>2184.0</v>
      </c>
      <c r="H34" s="17">
        <v>152.0</v>
      </c>
      <c r="I34" s="17">
        <v>40.44</v>
      </c>
      <c r="J34" s="17">
        <v>2153.0</v>
      </c>
      <c r="K34" s="17">
        <v>101.44</v>
      </c>
      <c r="L34" s="17">
        <v>4.0</v>
      </c>
      <c r="M34" s="17">
        <v>0.0</v>
      </c>
      <c r="N34" s="17">
        <v>15.0</v>
      </c>
      <c r="O34" s="17">
        <v>238.0</v>
      </c>
      <c r="P34" s="12" t="s">
        <v>209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ht="15.75" customHeight="1">
      <c r="A35" s="12" t="s">
        <v>210</v>
      </c>
      <c r="B35" s="12" t="s">
        <v>48</v>
      </c>
      <c r="C35" s="12" t="s">
        <v>53</v>
      </c>
      <c r="D35" s="17">
        <v>158.0</v>
      </c>
      <c r="E35" s="17">
        <v>156.0</v>
      </c>
      <c r="F35" s="17">
        <v>5.0</v>
      </c>
      <c r="G35" s="17">
        <v>6843.0</v>
      </c>
      <c r="H35" s="17">
        <v>179.0</v>
      </c>
      <c r="I35" s="17">
        <v>45.32</v>
      </c>
      <c r="J35" s="17">
        <v>7045.0</v>
      </c>
      <c r="K35" s="17">
        <v>97.13</v>
      </c>
      <c r="L35" s="17">
        <v>22.0</v>
      </c>
      <c r="M35" s="17">
        <v>0.0</v>
      </c>
      <c r="N35" s="17">
        <v>32.0</v>
      </c>
      <c r="O35" s="17">
        <v>725.0</v>
      </c>
      <c r="P35" s="12" t="s">
        <v>211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15.75" customHeight="1">
      <c r="A36" s="12" t="s">
        <v>212</v>
      </c>
      <c r="B36" s="12" t="s">
        <v>48</v>
      </c>
      <c r="C36" s="12" t="s">
        <v>53</v>
      </c>
      <c r="D36" s="17">
        <v>46.0</v>
      </c>
      <c r="E36" s="17">
        <v>44.0</v>
      </c>
      <c r="F36" s="17">
        <v>2.0</v>
      </c>
      <c r="G36" s="17">
        <v>1554.0</v>
      </c>
      <c r="H36" s="17">
        <v>124.0</v>
      </c>
      <c r="I36" s="17">
        <v>37.0</v>
      </c>
      <c r="J36" s="17">
        <v>1820.0</v>
      </c>
      <c r="K36" s="17">
        <v>85.38</v>
      </c>
      <c r="L36" s="17">
        <v>2.0</v>
      </c>
      <c r="M36" s="17">
        <v>0.0</v>
      </c>
      <c r="N36" s="17">
        <v>10.0</v>
      </c>
      <c r="O36" s="17">
        <v>127.0</v>
      </c>
      <c r="P36" s="12" t="s">
        <v>213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15.75" customHeight="1">
      <c r="A37" s="12" t="s">
        <v>214</v>
      </c>
      <c r="B37" s="12" t="s">
        <v>48</v>
      </c>
      <c r="C37" s="12" t="s">
        <v>53</v>
      </c>
      <c r="D37" s="17">
        <v>23.0</v>
      </c>
      <c r="E37" s="17">
        <v>20.0</v>
      </c>
      <c r="F37" s="17">
        <v>6.0</v>
      </c>
      <c r="G37" s="17">
        <v>442.0</v>
      </c>
      <c r="H37" s="17">
        <v>89.0</v>
      </c>
      <c r="I37" s="17">
        <v>31.57</v>
      </c>
      <c r="J37" s="17">
        <v>530.0</v>
      </c>
      <c r="K37" s="17">
        <v>83.4</v>
      </c>
      <c r="L37" s="17">
        <v>0.0</v>
      </c>
      <c r="M37" s="17">
        <v>0.0</v>
      </c>
      <c r="N37" s="17">
        <v>1.0</v>
      </c>
      <c r="O37" s="17">
        <v>36.0</v>
      </c>
      <c r="P37" s="12" t="s">
        <v>215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ht="15.75" customHeight="1">
      <c r="A38" s="12" t="s">
        <v>216</v>
      </c>
      <c r="B38" s="12" t="s">
        <v>48</v>
      </c>
      <c r="C38" s="12" t="s">
        <v>53</v>
      </c>
      <c r="D38" s="17">
        <v>86.0</v>
      </c>
      <c r="E38" s="17">
        <v>82.0</v>
      </c>
      <c r="F38" s="17">
        <v>10.0</v>
      </c>
      <c r="G38" s="17">
        <v>2480.0</v>
      </c>
      <c r="H38" s="17">
        <v>121.0</v>
      </c>
      <c r="I38" s="17">
        <v>34.44</v>
      </c>
      <c r="J38" s="17">
        <v>2625.0</v>
      </c>
      <c r="K38" s="17">
        <v>94.48</v>
      </c>
      <c r="L38" s="17">
        <v>2.0</v>
      </c>
      <c r="M38" s="17">
        <v>0.0</v>
      </c>
      <c r="N38" s="17">
        <v>18.0</v>
      </c>
      <c r="O38" s="17">
        <v>227.0</v>
      </c>
      <c r="P38" s="12" t="s">
        <v>217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ht="15.75" customHeight="1">
      <c r="A39" s="12" t="s">
        <v>218</v>
      </c>
      <c r="B39" s="12" t="s">
        <v>48</v>
      </c>
      <c r="C39" s="12" t="s">
        <v>53</v>
      </c>
      <c r="D39" s="17">
        <v>136.0</v>
      </c>
      <c r="E39" s="17">
        <v>125.0</v>
      </c>
      <c r="F39" s="17">
        <v>16.0</v>
      </c>
      <c r="G39" s="17">
        <v>3892.0</v>
      </c>
      <c r="H39" s="17">
        <v>201.0</v>
      </c>
      <c r="I39" s="17">
        <v>35.71</v>
      </c>
      <c r="J39" s="17">
        <v>3063.0</v>
      </c>
      <c r="K39" s="17">
        <v>127.06</v>
      </c>
      <c r="L39" s="17">
        <v>4.0</v>
      </c>
      <c r="M39" s="17">
        <v>1.0</v>
      </c>
      <c r="N39" s="17">
        <v>23.0</v>
      </c>
      <c r="O39" s="17">
        <v>373.0</v>
      </c>
      <c r="P39" s="12" t="s">
        <v>219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ht="15.75" customHeight="1">
      <c r="A40" s="12" t="s">
        <v>220</v>
      </c>
      <c r="B40" s="12" t="s">
        <v>48</v>
      </c>
      <c r="C40" s="43" t="s">
        <v>53</v>
      </c>
      <c r="D40" s="38">
        <v>69.0</v>
      </c>
      <c r="E40" s="38">
        <v>63.0</v>
      </c>
      <c r="F40" s="38">
        <v>8.0</v>
      </c>
      <c r="G40" s="38">
        <v>1487.0</v>
      </c>
      <c r="H40" s="38">
        <v>146.0</v>
      </c>
      <c r="I40" s="38">
        <v>27.04</v>
      </c>
      <c r="J40" s="38">
        <v>1566.0</v>
      </c>
      <c r="K40" s="38">
        <v>94.96</v>
      </c>
      <c r="L40" s="38">
        <v>1.0</v>
      </c>
      <c r="M40" s="38">
        <v>0.0</v>
      </c>
      <c r="N40" s="38">
        <v>6.0</v>
      </c>
      <c r="O40" s="38">
        <v>133.0</v>
      </c>
      <c r="P40" s="38">
        <v>49.0</v>
      </c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ht="15.75" customHeight="1">
      <c r="A41" s="12" t="s">
        <v>221</v>
      </c>
      <c r="B41" s="12" t="s">
        <v>48</v>
      </c>
      <c r="C41" s="43" t="s">
        <v>53</v>
      </c>
      <c r="D41" s="38">
        <v>17.0</v>
      </c>
      <c r="E41" s="38">
        <v>14.0</v>
      </c>
      <c r="F41" s="38">
        <v>1.0</v>
      </c>
      <c r="G41" s="38">
        <v>228.0</v>
      </c>
      <c r="H41" s="38">
        <v>54.0</v>
      </c>
      <c r="I41" s="38">
        <v>17.54</v>
      </c>
      <c r="J41" s="38">
        <v>212.0</v>
      </c>
      <c r="K41" s="38">
        <v>107.55</v>
      </c>
      <c r="L41" s="38">
        <v>0.0</v>
      </c>
      <c r="M41" s="38">
        <v>0.0</v>
      </c>
      <c r="N41" s="38">
        <v>1.0</v>
      </c>
      <c r="O41" s="38">
        <v>25.0</v>
      </c>
      <c r="P41" s="38">
        <v>7.0</v>
      </c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ht="15.75" customHeight="1">
      <c r="A42" s="12" t="s">
        <v>222</v>
      </c>
      <c r="B42" s="12" t="s">
        <v>48</v>
      </c>
      <c r="C42" s="12" t="s">
        <v>53</v>
      </c>
      <c r="D42" s="17">
        <v>72.0</v>
      </c>
      <c r="E42" s="17">
        <v>66.0</v>
      </c>
      <c r="F42" s="17">
        <v>11.0</v>
      </c>
      <c r="G42" s="17">
        <v>1814.0</v>
      </c>
      <c r="H42" s="17">
        <v>106.0</v>
      </c>
      <c r="I42" s="17">
        <v>32.98</v>
      </c>
      <c r="J42" s="17">
        <v>2052.0</v>
      </c>
      <c r="K42" s="17">
        <v>88.4</v>
      </c>
      <c r="L42" s="17">
        <v>1.0</v>
      </c>
      <c r="M42" s="17">
        <v>0.0</v>
      </c>
      <c r="N42" s="17">
        <v>8.0</v>
      </c>
      <c r="O42" s="17">
        <v>167.0</v>
      </c>
      <c r="P42" s="12" t="s">
        <v>223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ht="15.75" customHeight="1">
      <c r="A43" s="12" t="s">
        <v>224</v>
      </c>
      <c r="B43" s="12" t="s">
        <v>48</v>
      </c>
      <c r="C43" s="43" t="s">
        <v>53</v>
      </c>
      <c r="D43" s="38">
        <v>15.0</v>
      </c>
      <c r="E43" s="38">
        <v>15.0</v>
      </c>
      <c r="F43" s="38">
        <v>0.0</v>
      </c>
      <c r="G43" s="38">
        <v>274.0</v>
      </c>
      <c r="H43" s="38">
        <v>58.0</v>
      </c>
      <c r="I43" s="38">
        <v>18.27</v>
      </c>
      <c r="J43" s="38">
        <v>272.0</v>
      </c>
      <c r="K43" s="38">
        <v>100.74</v>
      </c>
      <c r="L43" s="38">
        <v>0.0</v>
      </c>
      <c r="M43" s="38">
        <v>0.0</v>
      </c>
      <c r="N43" s="38">
        <v>2.0</v>
      </c>
      <c r="O43" s="38">
        <v>28.0</v>
      </c>
      <c r="P43" s="38">
        <v>7.0</v>
      </c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ht="15.75" customHeight="1">
      <c r="A44" s="12" t="s">
        <v>225</v>
      </c>
      <c r="B44" s="12" t="s">
        <v>48</v>
      </c>
      <c r="C44" s="12" t="s">
        <v>53</v>
      </c>
      <c r="D44" s="17">
        <v>85.0</v>
      </c>
      <c r="E44" s="17">
        <v>56.0</v>
      </c>
      <c r="F44" s="17">
        <v>20.0</v>
      </c>
      <c r="G44" s="17">
        <v>478.0</v>
      </c>
      <c r="H44" s="17">
        <v>37.0</v>
      </c>
      <c r="I44" s="17">
        <v>13.28</v>
      </c>
      <c r="J44" s="17">
        <v>626.0</v>
      </c>
      <c r="K44" s="17">
        <v>76.36</v>
      </c>
      <c r="L44" s="17">
        <v>0.0</v>
      </c>
      <c r="M44" s="17">
        <v>0.0</v>
      </c>
      <c r="N44" s="17">
        <v>0.0</v>
      </c>
      <c r="O44" s="17">
        <v>37.0</v>
      </c>
      <c r="P44" s="12" t="s">
        <v>226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ht="15.75" customHeight="1">
      <c r="A45" s="12" t="s">
        <v>227</v>
      </c>
      <c r="B45" s="12" t="s">
        <v>48</v>
      </c>
      <c r="C45" s="12" t="s">
        <v>53</v>
      </c>
      <c r="D45" s="17">
        <v>82.0</v>
      </c>
      <c r="E45" s="17">
        <v>31.0</v>
      </c>
      <c r="F45" s="17">
        <v>24.0</v>
      </c>
      <c r="G45" s="17">
        <v>121.0</v>
      </c>
      <c r="H45" s="17">
        <v>23.0</v>
      </c>
      <c r="I45" s="17">
        <v>17.29</v>
      </c>
      <c r="J45" s="17">
        <v>133.0</v>
      </c>
      <c r="K45" s="17">
        <v>90.98</v>
      </c>
      <c r="L45" s="17">
        <v>0.0</v>
      </c>
      <c r="M45" s="17">
        <v>0.0</v>
      </c>
      <c r="N45" s="17">
        <v>0.0</v>
      </c>
      <c r="O45" s="17">
        <v>13.0</v>
      </c>
      <c r="P45" s="12" t="s">
        <v>228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ht="15.75" customHeight="1">
      <c r="A46" s="12" t="s">
        <v>229</v>
      </c>
      <c r="B46" s="12" t="s">
        <v>48</v>
      </c>
      <c r="C46" s="43" t="s">
        <v>53</v>
      </c>
      <c r="D46" s="38">
        <v>93.0</v>
      </c>
      <c r="E46" s="38">
        <v>47.0</v>
      </c>
      <c r="F46" s="38">
        <v>17.0</v>
      </c>
      <c r="G46" s="38">
        <v>285.0</v>
      </c>
      <c r="H46" s="38">
        <v>36.0</v>
      </c>
      <c r="I46" s="38">
        <v>9.5</v>
      </c>
      <c r="J46" s="38">
        <v>434.0</v>
      </c>
      <c r="K46" s="38">
        <v>65.67</v>
      </c>
      <c r="L46" s="38">
        <v>0.0</v>
      </c>
      <c r="M46" s="38">
        <v>0.0</v>
      </c>
      <c r="N46" s="38">
        <v>0.0</v>
      </c>
      <c r="O46" s="38">
        <v>26.0</v>
      </c>
      <c r="P46" s="38">
        <v>1.0</v>
      </c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</row>
    <row r="47" ht="15.75" customHeight="1">
      <c r="A47" s="12" t="s">
        <v>230</v>
      </c>
      <c r="B47" s="12" t="s">
        <v>48</v>
      </c>
      <c r="C47" s="12" t="s">
        <v>53</v>
      </c>
      <c r="D47" s="17">
        <v>119.0</v>
      </c>
      <c r="E47" s="17">
        <v>70.0</v>
      </c>
      <c r="F47" s="17">
        <v>24.0</v>
      </c>
      <c r="G47" s="17">
        <v>555.0</v>
      </c>
      <c r="H47" s="17">
        <v>52.0</v>
      </c>
      <c r="I47" s="17">
        <v>12.07</v>
      </c>
      <c r="J47" s="17">
        <v>681.0</v>
      </c>
      <c r="K47" s="17">
        <v>81.5</v>
      </c>
      <c r="L47" s="17">
        <v>0.0</v>
      </c>
      <c r="M47" s="17">
        <v>0.0</v>
      </c>
      <c r="N47" s="17">
        <v>1.0</v>
      </c>
      <c r="O47" s="17">
        <v>40.0</v>
      </c>
      <c r="P47" s="12" t="s">
        <v>231</v>
      </c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ht="15.75" customHeight="1">
      <c r="A48" s="12" t="s">
        <v>232</v>
      </c>
      <c r="B48" s="12" t="s">
        <v>56</v>
      </c>
      <c r="C48" s="12" t="s">
        <v>53</v>
      </c>
      <c r="D48" s="17">
        <v>163.0</v>
      </c>
      <c r="E48" s="17">
        <v>155.0</v>
      </c>
      <c r="F48" s="17">
        <v>16.0</v>
      </c>
      <c r="G48" s="17">
        <v>6728.0</v>
      </c>
      <c r="H48" s="17">
        <v>148.0</v>
      </c>
      <c r="I48" s="17">
        <v>48.4</v>
      </c>
      <c r="J48" s="17">
        <v>8280.0</v>
      </c>
      <c r="K48" s="17">
        <v>81.26</v>
      </c>
      <c r="L48" s="17">
        <v>13.0</v>
      </c>
      <c r="M48" s="17">
        <v>0.0</v>
      </c>
      <c r="N48" s="17">
        <v>44.0</v>
      </c>
      <c r="O48" s="17">
        <v>613.0</v>
      </c>
      <c r="P48" s="12" t="s">
        <v>233</v>
      </c>
      <c r="Q48" s="12">
        <f>sum(I48:I62)/count(I48:I62)</f>
        <v>29.45333333</v>
      </c>
      <c r="R48" s="12">
        <f>sum(K48:K62)/count(K48:K62)</f>
        <v>88.70466667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ht="15.75" customHeight="1">
      <c r="A49" s="12" t="s">
        <v>234</v>
      </c>
      <c r="B49" s="12" t="s">
        <v>56</v>
      </c>
      <c r="C49" s="43" t="s">
        <v>53</v>
      </c>
      <c r="D49" s="38">
        <v>18.0</v>
      </c>
      <c r="E49" s="38">
        <v>16.0</v>
      </c>
      <c r="F49" s="38">
        <v>3.0</v>
      </c>
      <c r="G49" s="38">
        <v>455.0</v>
      </c>
      <c r="H49" s="38">
        <v>124.0</v>
      </c>
      <c r="I49" s="38">
        <v>35.0</v>
      </c>
      <c r="J49" s="38">
        <v>415.0</v>
      </c>
      <c r="K49" s="38">
        <v>109.64</v>
      </c>
      <c r="L49" s="38">
        <v>2.0</v>
      </c>
      <c r="M49" s="38">
        <v>0.0</v>
      </c>
      <c r="N49" s="38">
        <v>0.0</v>
      </c>
      <c r="O49" s="38">
        <v>38.0</v>
      </c>
      <c r="P49" s="38">
        <v>16.0</v>
      </c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ht="15.75" customHeight="1">
      <c r="A50" s="12" t="s">
        <v>235</v>
      </c>
      <c r="B50" s="12" t="s">
        <v>56</v>
      </c>
      <c r="C50" s="12" t="s">
        <v>53</v>
      </c>
      <c r="D50" s="17">
        <v>28.0</v>
      </c>
      <c r="E50" s="17">
        <v>22.0</v>
      </c>
      <c r="F50" s="17">
        <v>2.0</v>
      </c>
      <c r="G50" s="17">
        <v>677.0</v>
      </c>
      <c r="H50" s="17">
        <v>72.0</v>
      </c>
      <c r="I50" s="17">
        <v>33.85</v>
      </c>
      <c r="J50" s="17">
        <v>711.0</v>
      </c>
      <c r="K50" s="17">
        <v>95.22</v>
      </c>
      <c r="L50" s="17">
        <v>0.0</v>
      </c>
      <c r="M50" s="17">
        <v>0.0</v>
      </c>
      <c r="N50" s="17">
        <v>4.0</v>
      </c>
      <c r="O50" s="17">
        <v>48.0</v>
      </c>
      <c r="P50" s="12" t="s">
        <v>236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ht="15.75" customHeight="1">
      <c r="A51" s="12" t="s">
        <v>237</v>
      </c>
      <c r="B51" s="12" t="s">
        <v>56</v>
      </c>
      <c r="C51" s="12" t="s">
        <v>53</v>
      </c>
      <c r="D51" s="17">
        <v>28.0</v>
      </c>
      <c r="E51" s="17">
        <v>28.0</v>
      </c>
      <c r="F51" s="17">
        <v>3.0</v>
      </c>
      <c r="G51" s="17">
        <v>1024.0</v>
      </c>
      <c r="H51" s="17">
        <v>120.0</v>
      </c>
      <c r="I51" s="17">
        <v>40.96</v>
      </c>
      <c r="J51" s="17">
        <v>1194.0</v>
      </c>
      <c r="K51" s="17">
        <v>85.76</v>
      </c>
      <c r="L51" s="17">
        <v>2.0</v>
      </c>
      <c r="M51" s="17">
        <v>0.0</v>
      </c>
      <c r="N51" s="17">
        <v>7.0</v>
      </c>
      <c r="O51" s="17">
        <v>107.0</v>
      </c>
      <c r="P51" s="12" t="s">
        <v>186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ht="15.75" customHeight="1">
      <c r="A52" s="12" t="s">
        <v>238</v>
      </c>
      <c r="B52" s="12" t="s">
        <v>56</v>
      </c>
      <c r="C52" s="12" t="s">
        <v>53</v>
      </c>
      <c r="D52" s="17">
        <v>37.0</v>
      </c>
      <c r="E52" s="17">
        <v>33.0</v>
      </c>
      <c r="F52" s="17">
        <v>5.0</v>
      </c>
      <c r="G52" s="17">
        <v>1400.0</v>
      </c>
      <c r="H52" s="17">
        <v>130.0</v>
      </c>
      <c r="I52" s="17">
        <v>50.0</v>
      </c>
      <c r="J52" s="17">
        <v>1458.0</v>
      </c>
      <c r="K52" s="17">
        <v>96.02</v>
      </c>
      <c r="L52" s="17">
        <v>5.0</v>
      </c>
      <c r="M52" s="17">
        <v>0.0</v>
      </c>
      <c r="N52" s="17">
        <v>5.0</v>
      </c>
      <c r="O52" s="17">
        <v>114.0</v>
      </c>
      <c r="P52" s="12" t="s">
        <v>239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ht="15.75" customHeight="1">
      <c r="A53" s="12" t="s">
        <v>240</v>
      </c>
      <c r="B53" s="12" t="s">
        <v>56</v>
      </c>
      <c r="C53" s="12" t="s">
        <v>53</v>
      </c>
      <c r="D53" s="17">
        <v>76.0</v>
      </c>
      <c r="E53" s="17">
        <v>65.0</v>
      </c>
      <c r="F53" s="17">
        <v>12.0</v>
      </c>
      <c r="G53" s="17">
        <v>1495.0</v>
      </c>
      <c r="H53" s="17">
        <v>97.0</v>
      </c>
      <c r="I53" s="17">
        <v>28.21</v>
      </c>
      <c r="J53" s="17">
        <v>1496.0</v>
      </c>
      <c r="K53" s="17">
        <v>99.93</v>
      </c>
      <c r="L53" s="17">
        <v>0.0</v>
      </c>
      <c r="M53" s="17">
        <v>0.0</v>
      </c>
      <c r="N53" s="17">
        <v>7.0</v>
      </c>
      <c r="O53" s="17">
        <v>128.0</v>
      </c>
      <c r="P53" s="12" t="s">
        <v>241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ht="15.75" customHeight="1">
      <c r="A54" s="12" t="s">
        <v>242</v>
      </c>
      <c r="B54" s="12" t="s">
        <v>56</v>
      </c>
      <c r="C54" s="12" t="s">
        <v>53</v>
      </c>
      <c r="D54" s="17">
        <v>20.0</v>
      </c>
      <c r="E54" s="17">
        <v>16.0</v>
      </c>
      <c r="F54" s="17">
        <v>1.0</v>
      </c>
      <c r="G54" s="17">
        <v>712.0</v>
      </c>
      <c r="H54" s="17">
        <v>123.0</v>
      </c>
      <c r="I54" s="17">
        <v>47.47</v>
      </c>
      <c r="J54" s="17">
        <v>656.0</v>
      </c>
      <c r="K54" s="17">
        <v>108.54</v>
      </c>
      <c r="L54" s="17">
        <v>3.0</v>
      </c>
      <c r="M54" s="17">
        <v>0.0</v>
      </c>
      <c r="N54" s="17">
        <v>3.0</v>
      </c>
      <c r="O54" s="17">
        <v>68.0</v>
      </c>
      <c r="P54" s="12" t="s">
        <v>243</v>
      </c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ht="15.75" customHeight="1">
      <c r="A55" s="12" t="s">
        <v>244</v>
      </c>
      <c r="B55" s="12" t="s">
        <v>56</v>
      </c>
      <c r="C55" s="12" t="s">
        <v>53</v>
      </c>
      <c r="D55" s="17">
        <v>102.0</v>
      </c>
      <c r="E55" s="17">
        <v>77.0</v>
      </c>
      <c r="F55" s="17">
        <v>29.0</v>
      </c>
      <c r="G55" s="17">
        <v>1346.0</v>
      </c>
      <c r="H55" s="17">
        <v>67.0</v>
      </c>
      <c r="I55" s="17">
        <v>28.04</v>
      </c>
      <c r="J55" s="17">
        <v>1475.0</v>
      </c>
      <c r="K55" s="17">
        <v>91.25</v>
      </c>
      <c r="L55" s="17">
        <v>0.0</v>
      </c>
      <c r="M55" s="17">
        <v>0.0</v>
      </c>
      <c r="N55" s="17">
        <v>3.0</v>
      </c>
      <c r="O55" s="17">
        <v>100.0</v>
      </c>
      <c r="P55" s="12" t="s">
        <v>241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ht="15.75" customHeight="1">
      <c r="A56" s="12" t="s">
        <v>245</v>
      </c>
      <c r="B56" s="12" t="s">
        <v>56</v>
      </c>
      <c r="C56" s="12" t="s">
        <v>53</v>
      </c>
      <c r="D56" s="17">
        <v>30.0</v>
      </c>
      <c r="E56" s="17">
        <v>29.0</v>
      </c>
      <c r="F56" s="17">
        <v>3.0</v>
      </c>
      <c r="G56" s="17">
        <v>1188.0</v>
      </c>
      <c r="H56" s="17">
        <v>152.0</v>
      </c>
      <c r="I56" s="17">
        <v>45.69</v>
      </c>
      <c r="J56" s="17">
        <v>1331.0</v>
      </c>
      <c r="K56" s="17">
        <v>89.26</v>
      </c>
      <c r="L56" s="17">
        <v>5.0</v>
      </c>
      <c r="M56" s="17">
        <v>0.0</v>
      </c>
      <c r="N56" s="17">
        <v>3.0</v>
      </c>
      <c r="O56" s="17">
        <v>142.0</v>
      </c>
      <c r="P56" s="12" t="s">
        <v>246</v>
      </c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ht="15.75" customHeight="1">
      <c r="A57" s="12" t="s">
        <v>247</v>
      </c>
      <c r="B57" s="12" t="s">
        <v>56</v>
      </c>
      <c r="C57" s="12" t="s">
        <v>53</v>
      </c>
      <c r="D57" s="17">
        <v>142.0</v>
      </c>
      <c r="E57" s="17">
        <v>129.0</v>
      </c>
      <c r="F57" s="17">
        <v>15.0</v>
      </c>
      <c r="G57" s="17">
        <v>3950.0</v>
      </c>
      <c r="H57" s="17">
        <v>145.0</v>
      </c>
      <c r="I57" s="17">
        <v>34.65</v>
      </c>
      <c r="J57" s="17">
        <v>4635.0</v>
      </c>
      <c r="K57" s="17">
        <v>85.22</v>
      </c>
      <c r="L57" s="17">
        <v>7.0</v>
      </c>
      <c r="M57" s="17">
        <v>0.0</v>
      </c>
      <c r="N57" s="17">
        <v>23.0</v>
      </c>
      <c r="O57" s="17">
        <v>333.0</v>
      </c>
      <c r="P57" s="12" t="s">
        <v>248</v>
      </c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ht="15.75" customHeight="1">
      <c r="A58" s="12" t="s">
        <v>249</v>
      </c>
      <c r="B58" s="12" t="s">
        <v>56</v>
      </c>
      <c r="C58" s="12" t="s">
        <v>53</v>
      </c>
      <c r="D58" s="17">
        <v>112.0</v>
      </c>
      <c r="E58" s="17">
        <v>51.0</v>
      </c>
      <c r="F58" s="17">
        <v>27.0</v>
      </c>
      <c r="G58" s="17">
        <v>214.0</v>
      </c>
      <c r="H58" s="17">
        <v>21.0</v>
      </c>
      <c r="I58" s="17">
        <v>8.92</v>
      </c>
      <c r="J58" s="17">
        <v>277.0</v>
      </c>
      <c r="K58" s="17">
        <v>77.26</v>
      </c>
      <c r="L58" s="17">
        <v>0.0</v>
      </c>
      <c r="M58" s="17">
        <v>0.0</v>
      </c>
      <c r="N58" s="17">
        <v>0.0</v>
      </c>
      <c r="O58" s="17">
        <v>20.0</v>
      </c>
      <c r="P58" s="12" t="s">
        <v>250</v>
      </c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ht="15.75" customHeight="1">
      <c r="A59" s="12" t="s">
        <v>251</v>
      </c>
      <c r="B59" s="12" t="s">
        <v>56</v>
      </c>
      <c r="C59" s="12" t="s">
        <v>53</v>
      </c>
      <c r="D59" s="17">
        <v>63.0</v>
      </c>
      <c r="E59" s="17">
        <v>29.0</v>
      </c>
      <c r="F59" s="17">
        <v>13.0</v>
      </c>
      <c r="G59" s="17">
        <v>116.0</v>
      </c>
      <c r="H59" s="17">
        <v>19.0</v>
      </c>
      <c r="I59" s="17">
        <v>7.25</v>
      </c>
      <c r="J59" s="17">
        <v>232.0</v>
      </c>
      <c r="K59" s="17">
        <v>50.0</v>
      </c>
      <c r="L59" s="17">
        <v>0.0</v>
      </c>
      <c r="M59" s="17">
        <v>0.0</v>
      </c>
      <c r="N59" s="17">
        <v>0.0</v>
      </c>
      <c r="O59" s="17">
        <v>6.0</v>
      </c>
      <c r="P59" s="12" t="s">
        <v>196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ht="15.75" customHeight="1">
      <c r="A60" s="12" t="s">
        <v>252</v>
      </c>
      <c r="B60" s="12" t="s">
        <v>56</v>
      </c>
      <c r="C60" s="12" t="s">
        <v>53</v>
      </c>
      <c r="D60" s="17">
        <v>82.0</v>
      </c>
      <c r="E60" s="17">
        <v>35.0</v>
      </c>
      <c r="F60" s="17">
        <v>12.0</v>
      </c>
      <c r="G60" s="17">
        <v>255.0</v>
      </c>
      <c r="H60" s="17">
        <v>48.0</v>
      </c>
      <c r="I60" s="17">
        <v>11.09</v>
      </c>
      <c r="J60" s="17">
        <v>277.0</v>
      </c>
      <c r="K60" s="17">
        <v>92.06</v>
      </c>
      <c r="L60" s="17">
        <v>0.0</v>
      </c>
      <c r="M60" s="17">
        <v>0.0</v>
      </c>
      <c r="N60" s="17">
        <v>0.0</v>
      </c>
      <c r="O60" s="17">
        <v>21.0</v>
      </c>
      <c r="P60" s="12" t="s">
        <v>200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ht="15.75" customHeight="1">
      <c r="A61" s="12" t="s">
        <v>253</v>
      </c>
      <c r="B61" s="12" t="s">
        <v>56</v>
      </c>
      <c r="C61" s="12" t="s">
        <v>53</v>
      </c>
      <c r="D61" s="17">
        <v>50.0</v>
      </c>
      <c r="E61" s="17">
        <v>24.0</v>
      </c>
      <c r="F61" s="17">
        <v>4.0</v>
      </c>
      <c r="G61" s="17">
        <v>201.0</v>
      </c>
      <c r="H61" s="17">
        <v>35.0</v>
      </c>
      <c r="I61" s="17">
        <v>10.05</v>
      </c>
      <c r="J61" s="17">
        <v>276.0</v>
      </c>
      <c r="K61" s="17">
        <v>72.83</v>
      </c>
      <c r="L61" s="17">
        <v>0.0</v>
      </c>
      <c r="M61" s="17">
        <v>0.0</v>
      </c>
      <c r="N61" s="17">
        <v>0.0</v>
      </c>
      <c r="O61" s="17">
        <v>7.0</v>
      </c>
      <c r="P61" s="12" t="s">
        <v>200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ht="15.75" customHeight="1">
      <c r="A62" s="12" t="s">
        <v>254</v>
      </c>
      <c r="B62" s="12" t="s">
        <v>56</v>
      </c>
      <c r="C62" s="12" t="s">
        <v>53</v>
      </c>
      <c r="D62" s="17">
        <v>159.0</v>
      </c>
      <c r="E62" s="17">
        <v>95.0</v>
      </c>
      <c r="F62" s="17">
        <v>35.0</v>
      </c>
      <c r="G62" s="17">
        <v>733.0</v>
      </c>
      <c r="H62" s="17">
        <v>55.0</v>
      </c>
      <c r="I62" s="17">
        <v>12.22</v>
      </c>
      <c r="J62" s="17">
        <v>761.0</v>
      </c>
      <c r="K62" s="17">
        <v>96.32</v>
      </c>
      <c r="L62" s="17">
        <v>0.0</v>
      </c>
      <c r="M62" s="17">
        <v>0.0</v>
      </c>
      <c r="N62" s="17">
        <v>1.0</v>
      </c>
      <c r="O62" s="17">
        <v>58.0</v>
      </c>
      <c r="P62" s="12" t="s">
        <v>255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ht="15.75" customHeight="1">
      <c r="A63" s="12" t="s">
        <v>256</v>
      </c>
      <c r="B63" s="12" t="s">
        <v>58</v>
      </c>
      <c r="C63" s="12" t="s">
        <v>53</v>
      </c>
      <c r="D63" s="17">
        <v>10.0</v>
      </c>
      <c r="E63" s="17">
        <v>10.0</v>
      </c>
      <c r="F63" s="17">
        <v>0.0</v>
      </c>
      <c r="G63" s="17">
        <v>251.0</v>
      </c>
      <c r="H63" s="17">
        <v>80.0</v>
      </c>
      <c r="I63" s="17">
        <v>25.1</v>
      </c>
      <c r="J63" s="17">
        <v>272.0</v>
      </c>
      <c r="K63" s="17">
        <v>92.28</v>
      </c>
      <c r="L63" s="17">
        <v>0.0</v>
      </c>
      <c r="M63" s="17">
        <v>0.0</v>
      </c>
      <c r="N63" s="17">
        <v>2.0</v>
      </c>
      <c r="O63" s="17">
        <v>26.0</v>
      </c>
      <c r="P63" s="12" t="s">
        <v>250</v>
      </c>
      <c r="Q63" s="12">
        <f>sum(I63:I77)/count(I63:I77)</f>
        <v>30.138</v>
      </c>
      <c r="R63" s="12">
        <f>sum(K63:K77)/count(K63:K77)</f>
        <v>100.968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ht="15.75" customHeight="1">
      <c r="A64" s="12" t="s">
        <v>257</v>
      </c>
      <c r="B64" s="12" t="s">
        <v>58</v>
      </c>
      <c r="C64" s="12" t="s">
        <v>53</v>
      </c>
      <c r="D64" s="17">
        <v>28.0</v>
      </c>
      <c r="E64" s="17">
        <v>28.0</v>
      </c>
      <c r="F64" s="17">
        <v>4.0</v>
      </c>
      <c r="G64" s="17">
        <v>1332.0</v>
      </c>
      <c r="H64" s="17">
        <v>140.0</v>
      </c>
      <c r="I64" s="17">
        <v>55.5</v>
      </c>
      <c r="J64" s="17">
        <v>1375.0</v>
      </c>
      <c r="K64" s="17">
        <v>96.87</v>
      </c>
      <c r="L64" s="17">
        <v>6.0</v>
      </c>
      <c r="M64" s="17">
        <v>0.0</v>
      </c>
      <c r="N64" s="17">
        <v>6.0</v>
      </c>
      <c r="O64" s="17">
        <v>135.0</v>
      </c>
      <c r="P64" s="12" t="s">
        <v>258</v>
      </c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ht="15.75" customHeight="1">
      <c r="A65" s="12" t="s">
        <v>259</v>
      </c>
      <c r="B65" s="12" t="s">
        <v>58</v>
      </c>
      <c r="C65" s="12" t="s">
        <v>53</v>
      </c>
      <c r="D65" s="17">
        <v>169.0</v>
      </c>
      <c r="E65" s="17">
        <v>158.0</v>
      </c>
      <c r="F65" s="17">
        <v>23.0</v>
      </c>
      <c r="G65" s="17">
        <v>6434.0</v>
      </c>
      <c r="H65" s="17">
        <v>133.0</v>
      </c>
      <c r="I65" s="17">
        <v>47.66</v>
      </c>
      <c r="J65" s="17">
        <v>7409.0</v>
      </c>
      <c r="K65" s="17">
        <v>86.84</v>
      </c>
      <c r="L65" s="17">
        <v>16.0</v>
      </c>
      <c r="M65" s="17">
        <v>0.0</v>
      </c>
      <c r="N65" s="17">
        <v>38.0</v>
      </c>
      <c r="O65" s="17">
        <v>515.0</v>
      </c>
      <c r="P65" s="12" t="s">
        <v>260</v>
      </c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ht="15.75" customHeight="1">
      <c r="A66" s="12" t="s">
        <v>261</v>
      </c>
      <c r="B66" s="12" t="s">
        <v>58</v>
      </c>
      <c r="C66" s="12" t="s">
        <v>53</v>
      </c>
      <c r="D66" s="17">
        <v>136.0</v>
      </c>
      <c r="E66" s="17">
        <v>110.0</v>
      </c>
      <c r="F66" s="17">
        <v>15.0</v>
      </c>
      <c r="G66" s="17">
        <v>2343.0</v>
      </c>
      <c r="H66" s="17">
        <v>128.0</v>
      </c>
      <c r="I66" s="17">
        <v>24.66</v>
      </c>
      <c r="J66" s="17">
        <v>2377.0</v>
      </c>
      <c r="K66" s="17">
        <v>98.57</v>
      </c>
      <c r="L66" s="17">
        <v>3.0</v>
      </c>
      <c r="M66" s="17">
        <v>0.0</v>
      </c>
      <c r="N66" s="17">
        <v>6.0</v>
      </c>
      <c r="O66" s="17">
        <v>203.0</v>
      </c>
      <c r="P66" s="12" t="s">
        <v>262</v>
      </c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ht="15.75" customHeight="1">
      <c r="A67" s="12" t="s">
        <v>263</v>
      </c>
      <c r="B67" s="12" t="s">
        <v>58</v>
      </c>
      <c r="C67" s="12" t="s">
        <v>53</v>
      </c>
      <c r="D67" s="17">
        <v>22.0</v>
      </c>
      <c r="E67" s="17">
        <v>20.0</v>
      </c>
      <c r="F67" s="17">
        <v>3.0</v>
      </c>
      <c r="G67" s="17">
        <v>496.0</v>
      </c>
      <c r="H67" s="17">
        <v>95.0</v>
      </c>
      <c r="I67" s="17">
        <v>29.18</v>
      </c>
      <c r="J67" s="17">
        <v>467.0</v>
      </c>
      <c r="K67" s="17">
        <v>106.21</v>
      </c>
      <c r="L67" s="17">
        <v>0.0</v>
      </c>
      <c r="M67" s="17">
        <v>0.0</v>
      </c>
      <c r="N67" s="17">
        <v>3.0</v>
      </c>
      <c r="O67" s="17">
        <v>35.0</v>
      </c>
      <c r="P67" s="12" t="s">
        <v>264</v>
      </c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ht="15.75" customHeight="1">
      <c r="A68" s="12" t="s">
        <v>265</v>
      </c>
      <c r="B68" s="12" t="s">
        <v>58</v>
      </c>
      <c r="C68" s="12" t="s">
        <v>53</v>
      </c>
      <c r="D68" s="17">
        <v>112.0</v>
      </c>
      <c r="E68" s="17">
        <v>97.0</v>
      </c>
      <c r="F68" s="17">
        <v>15.0</v>
      </c>
      <c r="G68" s="17">
        <v>3271.0</v>
      </c>
      <c r="H68" s="17">
        <v>182.0</v>
      </c>
      <c r="I68" s="17">
        <v>39.89</v>
      </c>
      <c r="J68" s="17">
        <v>3459.0</v>
      </c>
      <c r="K68" s="17">
        <v>94.56</v>
      </c>
      <c r="L68" s="17">
        <v>4.0</v>
      </c>
      <c r="M68" s="17">
        <v>0.0</v>
      </c>
      <c r="N68" s="17">
        <v>23.0</v>
      </c>
      <c r="O68" s="17">
        <v>265.0</v>
      </c>
      <c r="P68" s="12" t="s">
        <v>266</v>
      </c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ht="15.75" customHeight="1">
      <c r="A69" s="12" t="s">
        <v>267</v>
      </c>
      <c r="B69" s="12" t="s">
        <v>58</v>
      </c>
      <c r="C69" s="12" t="s">
        <v>53</v>
      </c>
      <c r="D69" s="17">
        <v>29.0</v>
      </c>
      <c r="E69" s="17">
        <v>22.0</v>
      </c>
      <c r="F69" s="17">
        <v>3.0</v>
      </c>
      <c r="G69" s="17">
        <v>418.0</v>
      </c>
      <c r="H69" s="17">
        <v>95.0</v>
      </c>
      <c r="I69" s="17">
        <v>22.0</v>
      </c>
      <c r="J69" s="17">
        <v>441.0</v>
      </c>
      <c r="K69" s="17">
        <v>94.78</v>
      </c>
      <c r="L69" s="17">
        <v>0.0</v>
      </c>
      <c r="M69" s="17">
        <v>0.0</v>
      </c>
      <c r="N69" s="17">
        <v>1.0</v>
      </c>
      <c r="O69" s="17">
        <v>25.0</v>
      </c>
      <c r="P69" s="12" t="s">
        <v>243</v>
      </c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ht="15.75" customHeight="1">
      <c r="A70" s="12" t="s">
        <v>268</v>
      </c>
      <c r="B70" s="12" t="s">
        <v>58</v>
      </c>
      <c r="C70" s="43" t="s">
        <v>53</v>
      </c>
      <c r="D70" s="38">
        <v>71.0</v>
      </c>
      <c r="E70" s="38">
        <v>44.0</v>
      </c>
      <c r="F70" s="38">
        <v>19.0</v>
      </c>
      <c r="G70" s="38">
        <v>642.0</v>
      </c>
      <c r="H70" s="38">
        <v>51.0</v>
      </c>
      <c r="I70" s="38">
        <v>25.68</v>
      </c>
      <c r="J70" s="38">
        <v>686.0</v>
      </c>
      <c r="K70" s="38">
        <v>93.59</v>
      </c>
      <c r="L70" s="38">
        <v>0.0</v>
      </c>
      <c r="M70" s="38">
        <v>0.0</v>
      </c>
      <c r="N70" s="38">
        <v>2.0</v>
      </c>
      <c r="O70" s="38">
        <v>55.0</v>
      </c>
      <c r="P70" s="38">
        <v>22.0</v>
      </c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</row>
    <row r="71" ht="15.75" customHeight="1">
      <c r="A71" s="12" t="s">
        <v>269</v>
      </c>
      <c r="B71" s="12" t="s">
        <v>58</v>
      </c>
      <c r="C71" s="12" t="s">
        <v>53</v>
      </c>
      <c r="D71" s="17">
        <v>120.0</v>
      </c>
      <c r="E71" s="17">
        <v>86.0</v>
      </c>
      <c r="F71" s="17">
        <v>23.0</v>
      </c>
      <c r="G71" s="17">
        <v>1469.0</v>
      </c>
      <c r="H71" s="17">
        <v>95.0</v>
      </c>
      <c r="I71" s="17">
        <v>23.32</v>
      </c>
      <c r="J71" s="17">
        <v>1661.0</v>
      </c>
      <c r="K71" s="17">
        <v>88.44</v>
      </c>
      <c r="L71" s="17">
        <v>0.0</v>
      </c>
      <c r="M71" s="17">
        <v>0.0</v>
      </c>
      <c r="N71" s="17">
        <v>5.0</v>
      </c>
      <c r="O71" s="17">
        <v>112.0</v>
      </c>
      <c r="P71" s="12" t="s">
        <v>186</v>
      </c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ht="15.75" customHeight="1">
      <c r="A72" s="12" t="s">
        <v>270</v>
      </c>
      <c r="B72" s="12" t="s">
        <v>58</v>
      </c>
      <c r="C72" s="12" t="s">
        <v>53</v>
      </c>
      <c r="D72" s="17">
        <v>176.0</v>
      </c>
      <c r="E72" s="17">
        <v>149.0</v>
      </c>
      <c r="F72" s="17">
        <v>26.0</v>
      </c>
      <c r="G72" s="17">
        <v>4929.0</v>
      </c>
      <c r="H72" s="17">
        <v>162.0</v>
      </c>
      <c r="I72" s="17">
        <v>40.07</v>
      </c>
      <c r="J72" s="17">
        <v>4201.0</v>
      </c>
      <c r="K72" s="17">
        <v>117.33</v>
      </c>
      <c r="L72" s="17">
        <v>11.0</v>
      </c>
      <c r="M72" s="17">
        <v>0.0</v>
      </c>
      <c r="N72" s="17">
        <v>25.0</v>
      </c>
      <c r="O72" s="17">
        <v>400.0</v>
      </c>
      <c r="P72" s="12" t="s">
        <v>271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ht="15.75" customHeight="1">
      <c r="A73" s="12" t="s">
        <v>272</v>
      </c>
      <c r="B73" s="12" t="s">
        <v>58</v>
      </c>
      <c r="C73" s="12" t="s">
        <v>53</v>
      </c>
      <c r="D73" s="17">
        <v>105.0</v>
      </c>
      <c r="E73" s="17">
        <v>96.0</v>
      </c>
      <c r="F73" s="17">
        <v>8.0</v>
      </c>
      <c r="G73" s="17">
        <v>3794.0</v>
      </c>
      <c r="H73" s="17">
        <v>141.0</v>
      </c>
      <c r="I73" s="17">
        <v>43.11</v>
      </c>
      <c r="J73" s="17">
        <v>3680.0</v>
      </c>
      <c r="K73" s="17">
        <v>103.1</v>
      </c>
      <c r="L73" s="17">
        <v>11.0</v>
      </c>
      <c r="M73" s="17">
        <v>0.0</v>
      </c>
      <c r="N73" s="17">
        <v>16.0</v>
      </c>
      <c r="O73" s="17">
        <v>428.0</v>
      </c>
      <c r="P73" s="12" t="s">
        <v>273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ht="15.75" customHeight="1">
      <c r="A74" s="12" t="s">
        <v>274</v>
      </c>
      <c r="B74" s="12" t="s">
        <v>58</v>
      </c>
      <c r="C74" s="43" t="s">
        <v>53</v>
      </c>
      <c r="D74" s="38">
        <v>4.0</v>
      </c>
      <c r="E74" s="38">
        <v>2.0</v>
      </c>
      <c r="F74" s="38">
        <v>0.0</v>
      </c>
      <c r="G74" s="38">
        <v>37.0</v>
      </c>
      <c r="H74" s="38">
        <v>35.0</v>
      </c>
      <c r="I74" s="38">
        <v>18.5</v>
      </c>
      <c r="J74" s="38">
        <v>24.0</v>
      </c>
      <c r="K74" s="38">
        <v>154.17</v>
      </c>
      <c r="L74" s="38">
        <v>0.0</v>
      </c>
      <c r="M74" s="38">
        <v>0.0</v>
      </c>
      <c r="N74" s="38">
        <v>0.0</v>
      </c>
      <c r="O74" s="38">
        <v>7.0</v>
      </c>
      <c r="P74" s="38">
        <v>0.0</v>
      </c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</row>
    <row r="75" ht="15.75" customHeight="1">
      <c r="A75" s="12" t="s">
        <v>275</v>
      </c>
      <c r="B75" s="12" t="s">
        <v>58</v>
      </c>
      <c r="C75" s="12" t="s">
        <v>53</v>
      </c>
      <c r="D75" s="17">
        <v>133.0</v>
      </c>
      <c r="E75" s="17">
        <v>66.0</v>
      </c>
      <c r="F75" s="17">
        <v>21.0</v>
      </c>
      <c r="G75" s="17">
        <v>825.0</v>
      </c>
      <c r="H75" s="17">
        <v>69.0</v>
      </c>
      <c r="I75" s="17">
        <v>18.33</v>
      </c>
      <c r="J75" s="17">
        <v>837.0</v>
      </c>
      <c r="K75" s="17">
        <v>98.57</v>
      </c>
      <c r="L75" s="17">
        <v>0.0</v>
      </c>
      <c r="M75" s="17">
        <v>0.0</v>
      </c>
      <c r="N75" s="17">
        <v>1.0</v>
      </c>
      <c r="O75" s="17">
        <v>80.0</v>
      </c>
      <c r="P75" s="12" t="s">
        <v>276</v>
      </c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ht="15.75" customHeight="1">
      <c r="A76" s="12" t="s">
        <v>277</v>
      </c>
      <c r="B76" s="12" t="s">
        <v>58</v>
      </c>
      <c r="C76" s="12" t="s">
        <v>53</v>
      </c>
      <c r="D76" s="17">
        <v>66.0</v>
      </c>
      <c r="E76" s="17">
        <v>26.0</v>
      </c>
      <c r="F76" s="17">
        <v>15.0</v>
      </c>
      <c r="G76" s="17">
        <v>157.0</v>
      </c>
      <c r="H76" s="17">
        <v>43.0</v>
      </c>
      <c r="I76" s="17">
        <v>14.27</v>
      </c>
      <c r="J76" s="17">
        <v>156.0</v>
      </c>
      <c r="K76" s="17">
        <v>100.64</v>
      </c>
      <c r="L76" s="17">
        <v>0.0</v>
      </c>
      <c r="M76" s="17">
        <v>0.0</v>
      </c>
      <c r="N76" s="17">
        <v>0.0</v>
      </c>
      <c r="O76" s="17">
        <v>14.0</v>
      </c>
      <c r="P76" s="12" t="s">
        <v>198</v>
      </c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ht="15.75" customHeight="1">
      <c r="A77" s="12" t="s">
        <v>278</v>
      </c>
      <c r="B77" s="12" t="s">
        <v>58</v>
      </c>
      <c r="C77" s="43" t="s">
        <v>53</v>
      </c>
      <c r="D77" s="38">
        <v>12.0</v>
      </c>
      <c r="E77" s="38">
        <v>8.0</v>
      </c>
      <c r="F77" s="38">
        <v>3.0</v>
      </c>
      <c r="G77" s="38">
        <v>124.0</v>
      </c>
      <c r="H77" s="38">
        <v>32.0</v>
      </c>
      <c r="I77" s="38">
        <v>24.8</v>
      </c>
      <c r="J77" s="38">
        <v>140.0</v>
      </c>
      <c r="K77" s="38">
        <v>88.57</v>
      </c>
      <c r="L77" s="38">
        <v>0.0</v>
      </c>
      <c r="M77" s="38">
        <v>0.0</v>
      </c>
      <c r="N77" s="38">
        <v>0.0</v>
      </c>
      <c r="O77" s="38">
        <v>9.0</v>
      </c>
      <c r="P77" s="38">
        <v>2.0</v>
      </c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</row>
    <row r="78" ht="15.75" customHeight="1">
      <c r="A78" s="12" t="s">
        <v>279</v>
      </c>
      <c r="B78" s="45" t="s">
        <v>59</v>
      </c>
      <c r="C78" s="12" t="s">
        <v>53</v>
      </c>
      <c r="D78" s="17">
        <v>116.0</v>
      </c>
      <c r="E78" s="17">
        <v>113.0</v>
      </c>
      <c r="F78" s="17">
        <v>13.0</v>
      </c>
      <c r="G78" s="17">
        <v>5691.0</v>
      </c>
      <c r="H78" s="17">
        <v>158.0</v>
      </c>
      <c r="I78" s="17">
        <v>56.91</v>
      </c>
      <c r="J78" s="17">
        <v>6410.0</v>
      </c>
      <c r="K78" s="17">
        <v>88.78</v>
      </c>
      <c r="L78" s="17">
        <v>19.0</v>
      </c>
      <c r="M78" s="17">
        <v>0.0</v>
      </c>
      <c r="N78" s="17">
        <v>32.0</v>
      </c>
      <c r="O78" s="17">
        <v>514.0</v>
      </c>
      <c r="P78" s="12" t="s">
        <v>280</v>
      </c>
      <c r="Q78" s="12">
        <f>sum(I78:I92)/count(I78:I92)</f>
        <v>28.99333333</v>
      </c>
      <c r="R78" s="12">
        <f>sum(K78:K92)/count(K78:K92)</f>
        <v>91.364</v>
      </c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ht="15.75" customHeight="1">
      <c r="A79" s="12" t="s">
        <v>281</v>
      </c>
      <c r="B79" s="45" t="s">
        <v>59</v>
      </c>
      <c r="C79" s="12" t="s">
        <v>53</v>
      </c>
      <c r="D79" s="17">
        <v>11.0</v>
      </c>
      <c r="E79" s="17">
        <v>11.0</v>
      </c>
      <c r="F79" s="17">
        <v>0.0</v>
      </c>
      <c r="G79" s="17">
        <v>416.0</v>
      </c>
      <c r="H79" s="17">
        <v>113.0</v>
      </c>
      <c r="I79" s="17">
        <v>37.82</v>
      </c>
      <c r="J79" s="17">
        <v>469.0</v>
      </c>
      <c r="K79" s="17">
        <v>88.7</v>
      </c>
      <c r="L79" s="17">
        <v>1.0</v>
      </c>
      <c r="M79" s="17">
        <v>0.0</v>
      </c>
      <c r="N79" s="17">
        <v>4.0</v>
      </c>
      <c r="O79" s="17">
        <v>39.0</v>
      </c>
      <c r="P79" s="12" t="s">
        <v>276</v>
      </c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ht="15.75" customHeight="1">
      <c r="A80" s="12" t="s">
        <v>282</v>
      </c>
      <c r="B80" s="45" t="s">
        <v>59</v>
      </c>
      <c r="C80" s="12" t="s">
        <v>53</v>
      </c>
      <c r="D80" s="17">
        <v>81.0</v>
      </c>
      <c r="E80" s="17">
        <v>80.0</v>
      </c>
      <c r="F80" s="17">
        <v>6.0</v>
      </c>
      <c r="G80" s="17">
        <v>3491.0</v>
      </c>
      <c r="H80" s="17">
        <v>210.0</v>
      </c>
      <c r="I80" s="17">
        <v>47.18</v>
      </c>
      <c r="J80" s="17">
        <v>3728.0</v>
      </c>
      <c r="K80" s="17">
        <v>93.64</v>
      </c>
      <c r="L80" s="17">
        <v>11.0</v>
      </c>
      <c r="M80" s="17">
        <v>1.0</v>
      </c>
      <c r="N80" s="17">
        <v>16.0</v>
      </c>
      <c r="O80" s="17">
        <v>390.0</v>
      </c>
      <c r="P80" s="12" t="s">
        <v>283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ht="15.75" customHeight="1">
      <c r="A81" s="12" t="s">
        <v>284</v>
      </c>
      <c r="B81" s="45" t="s">
        <v>59</v>
      </c>
      <c r="C81" s="12" t="s">
        <v>53</v>
      </c>
      <c r="D81" s="17">
        <v>72.0</v>
      </c>
      <c r="E81" s="17">
        <v>71.0</v>
      </c>
      <c r="F81" s="17">
        <v>6.0</v>
      </c>
      <c r="G81" s="17">
        <v>3138.0</v>
      </c>
      <c r="H81" s="17">
        <v>151.0</v>
      </c>
      <c r="I81" s="17">
        <v>48.28</v>
      </c>
      <c r="J81" s="17">
        <v>3801.0</v>
      </c>
      <c r="K81" s="17">
        <v>82.56</v>
      </c>
      <c r="L81" s="17">
        <v>9.0</v>
      </c>
      <c r="M81" s="17">
        <v>0.0</v>
      </c>
      <c r="N81" s="17">
        <v>20.0</v>
      </c>
      <c r="O81" s="17">
        <v>253.0</v>
      </c>
      <c r="P81" s="12" t="s">
        <v>258</v>
      </c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ht="15.75" customHeight="1">
      <c r="A82" s="12" t="s">
        <v>285</v>
      </c>
      <c r="B82" s="45" t="s">
        <v>59</v>
      </c>
      <c r="C82" s="12" t="s">
        <v>53</v>
      </c>
      <c r="D82" s="17">
        <v>27.0</v>
      </c>
      <c r="E82" s="17">
        <v>23.0</v>
      </c>
      <c r="F82" s="17">
        <v>8.0</v>
      </c>
      <c r="G82" s="17">
        <v>611.0</v>
      </c>
      <c r="H82" s="17">
        <v>109.0</v>
      </c>
      <c r="I82" s="17">
        <v>40.73</v>
      </c>
      <c r="J82" s="17">
        <v>571.0</v>
      </c>
      <c r="K82" s="17">
        <v>107.01</v>
      </c>
      <c r="L82" s="17">
        <v>1.0</v>
      </c>
      <c r="M82" s="17">
        <v>0.0</v>
      </c>
      <c r="N82" s="17">
        <v>1.0</v>
      </c>
      <c r="O82" s="17">
        <v>52.0</v>
      </c>
      <c r="P82" s="12" t="s">
        <v>186</v>
      </c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ht="15.75" customHeight="1">
      <c r="A83" s="12" t="s">
        <v>286</v>
      </c>
      <c r="B83" s="45" t="s">
        <v>59</v>
      </c>
      <c r="C83" s="12" t="s">
        <v>53</v>
      </c>
      <c r="D83" s="17">
        <v>20.0</v>
      </c>
      <c r="E83" s="17">
        <v>16.0</v>
      </c>
      <c r="F83" s="17">
        <v>5.0</v>
      </c>
      <c r="G83" s="17">
        <v>436.0</v>
      </c>
      <c r="H83" s="17">
        <v>58.0</v>
      </c>
      <c r="I83" s="17">
        <v>39.64</v>
      </c>
      <c r="J83" s="17">
        <v>452.0</v>
      </c>
      <c r="K83" s="17">
        <v>96.46</v>
      </c>
      <c r="L83" s="17">
        <v>0.0</v>
      </c>
      <c r="M83" s="17">
        <v>0.0</v>
      </c>
      <c r="N83" s="17">
        <v>3.0</v>
      </c>
      <c r="O83" s="17">
        <v>38.0</v>
      </c>
      <c r="P83" s="12" t="s">
        <v>287</v>
      </c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ht="15.75" customHeight="1">
      <c r="A84" s="12" t="s">
        <v>288</v>
      </c>
      <c r="B84" s="45" t="s">
        <v>59</v>
      </c>
      <c r="C84" s="12" t="s">
        <v>53</v>
      </c>
      <c r="D84" s="17">
        <v>14.0</v>
      </c>
      <c r="E84" s="17">
        <v>11.0</v>
      </c>
      <c r="F84" s="17">
        <v>1.0</v>
      </c>
      <c r="G84" s="17">
        <v>288.0</v>
      </c>
      <c r="H84" s="17">
        <v>68.0</v>
      </c>
      <c r="I84" s="17">
        <v>28.8</v>
      </c>
      <c r="J84" s="17">
        <v>316.0</v>
      </c>
      <c r="K84" s="17">
        <v>91.14</v>
      </c>
      <c r="L84" s="17">
        <v>0.0</v>
      </c>
      <c r="M84" s="17">
        <v>0.0</v>
      </c>
      <c r="N84" s="17">
        <v>3.0</v>
      </c>
      <c r="O84" s="17">
        <v>33.0</v>
      </c>
      <c r="P84" s="12" t="s">
        <v>194</v>
      </c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ht="15.75" customHeight="1">
      <c r="A85" s="12" t="s">
        <v>289</v>
      </c>
      <c r="B85" s="45" t="s">
        <v>59</v>
      </c>
      <c r="C85" s="12" t="s">
        <v>53</v>
      </c>
      <c r="D85" s="17">
        <v>69.0</v>
      </c>
      <c r="E85" s="17">
        <v>43.0</v>
      </c>
      <c r="F85" s="17">
        <v>11.0</v>
      </c>
      <c r="G85" s="17">
        <v>851.0</v>
      </c>
      <c r="H85" s="17">
        <v>86.0</v>
      </c>
      <c r="I85" s="17">
        <v>26.59</v>
      </c>
      <c r="J85" s="17">
        <v>990.0</v>
      </c>
      <c r="K85" s="17">
        <v>85.96</v>
      </c>
      <c r="L85" s="17">
        <v>0.0</v>
      </c>
      <c r="M85" s="17">
        <v>0.0</v>
      </c>
      <c r="N85" s="17">
        <v>4.0</v>
      </c>
      <c r="O85" s="17">
        <v>50.0</v>
      </c>
      <c r="P85" s="12" t="s">
        <v>243</v>
      </c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ht="15.75" customHeight="1">
      <c r="A86" s="12" t="s">
        <v>290</v>
      </c>
      <c r="B86" s="45" t="s">
        <v>59</v>
      </c>
      <c r="C86" s="12" t="s">
        <v>53</v>
      </c>
      <c r="D86" s="17">
        <v>37.0</v>
      </c>
      <c r="E86" s="17">
        <v>28.0</v>
      </c>
      <c r="F86" s="17">
        <v>6.0</v>
      </c>
      <c r="G86" s="17">
        <v>406.0</v>
      </c>
      <c r="H86" s="17">
        <v>53.0</v>
      </c>
      <c r="I86" s="17">
        <v>18.45</v>
      </c>
      <c r="J86" s="17">
        <v>458.0</v>
      </c>
      <c r="K86" s="17">
        <v>88.65</v>
      </c>
      <c r="L86" s="17">
        <v>0.0</v>
      </c>
      <c r="M86" s="17">
        <v>0.0</v>
      </c>
      <c r="N86" s="17">
        <v>1.0</v>
      </c>
      <c r="O86" s="17">
        <v>27.0</v>
      </c>
      <c r="P86" s="12" t="s">
        <v>226</v>
      </c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ht="15.75" customHeight="1">
      <c r="A87" s="12" t="s">
        <v>291</v>
      </c>
      <c r="B87" s="45" t="s">
        <v>59</v>
      </c>
      <c r="C87" s="12" t="s">
        <v>53</v>
      </c>
      <c r="D87" s="17">
        <v>73.0</v>
      </c>
      <c r="E87" s="17">
        <v>66.0</v>
      </c>
      <c r="F87" s="17">
        <v>15.0</v>
      </c>
      <c r="G87" s="17">
        <v>2052.0</v>
      </c>
      <c r="H87" s="17">
        <v>131.0</v>
      </c>
      <c r="I87" s="17">
        <v>40.24</v>
      </c>
      <c r="J87" s="17">
        <v>2274.0</v>
      </c>
      <c r="K87" s="17">
        <v>90.24</v>
      </c>
      <c r="L87" s="17">
        <v>3.0</v>
      </c>
      <c r="M87" s="17">
        <v>0.0</v>
      </c>
      <c r="N87" s="17">
        <v>13.0</v>
      </c>
      <c r="O87" s="17">
        <v>178.0</v>
      </c>
      <c r="P87" s="12" t="s">
        <v>292</v>
      </c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ht="15.75" customHeight="1">
      <c r="A88" s="12" t="s">
        <v>293</v>
      </c>
      <c r="B88" s="45" t="s">
        <v>59</v>
      </c>
      <c r="C88" s="12" t="s">
        <v>53</v>
      </c>
      <c r="D88" s="17">
        <v>36.0</v>
      </c>
      <c r="E88" s="17">
        <v>14.0</v>
      </c>
      <c r="F88" s="17">
        <v>7.0</v>
      </c>
      <c r="G88" s="17">
        <v>33.0</v>
      </c>
      <c r="H88" s="17">
        <v>16.0</v>
      </c>
      <c r="I88" s="17">
        <v>4.71</v>
      </c>
      <c r="J88" s="17">
        <v>67.0</v>
      </c>
      <c r="K88" s="17">
        <v>49.25</v>
      </c>
      <c r="L88" s="17">
        <v>0.0</v>
      </c>
      <c r="M88" s="17">
        <v>0.0</v>
      </c>
      <c r="N88" s="17">
        <v>0.0</v>
      </c>
      <c r="O88" s="17">
        <v>3.0</v>
      </c>
      <c r="P88" s="12" t="s">
        <v>194</v>
      </c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ht="15.75" customHeight="1">
      <c r="A89" s="12" t="s">
        <v>294</v>
      </c>
      <c r="B89" s="45" t="s">
        <v>59</v>
      </c>
      <c r="C89" s="12" t="s">
        <v>53</v>
      </c>
      <c r="D89" s="17">
        <v>66.0</v>
      </c>
      <c r="E89" s="17">
        <v>38.0</v>
      </c>
      <c r="F89" s="17">
        <v>11.0</v>
      </c>
      <c r="G89" s="17">
        <v>383.0</v>
      </c>
      <c r="H89" s="17">
        <v>59.0</v>
      </c>
      <c r="I89" s="17">
        <v>14.19</v>
      </c>
      <c r="J89" s="17">
        <v>327.0</v>
      </c>
      <c r="K89" s="17">
        <v>117.13</v>
      </c>
      <c r="L89" s="17">
        <v>0.0</v>
      </c>
      <c r="M89" s="17">
        <v>0.0</v>
      </c>
      <c r="N89" s="17">
        <v>2.0</v>
      </c>
      <c r="O89" s="17">
        <v>28.0</v>
      </c>
      <c r="P89" s="12" t="s">
        <v>295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ht="15.75" customHeight="1">
      <c r="A90" s="12" t="s">
        <v>296</v>
      </c>
      <c r="B90" s="45" t="s">
        <v>59</v>
      </c>
      <c r="C90" s="12" t="s">
        <v>53</v>
      </c>
      <c r="D90" s="17">
        <v>19.0</v>
      </c>
      <c r="E90" s="17">
        <v>8.0</v>
      </c>
      <c r="F90" s="17">
        <v>1.0</v>
      </c>
      <c r="G90" s="17">
        <v>64.0</v>
      </c>
      <c r="H90" s="17">
        <v>17.0</v>
      </c>
      <c r="I90" s="17">
        <v>9.14</v>
      </c>
      <c r="J90" s="17">
        <v>68.0</v>
      </c>
      <c r="K90" s="17">
        <v>94.12</v>
      </c>
      <c r="L90" s="17">
        <v>0.0</v>
      </c>
      <c r="M90" s="17">
        <v>0.0</v>
      </c>
      <c r="N90" s="17">
        <v>0.0</v>
      </c>
      <c r="O90" s="17">
        <v>3.0</v>
      </c>
      <c r="P90" s="12" t="s">
        <v>297</v>
      </c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ht="15.75" customHeight="1">
      <c r="A91" s="12" t="s">
        <v>298</v>
      </c>
      <c r="B91" s="45" t="s">
        <v>59</v>
      </c>
      <c r="C91" s="12" t="s">
        <v>53</v>
      </c>
      <c r="D91" s="17">
        <v>52.0</v>
      </c>
      <c r="E91" s="17">
        <v>28.0</v>
      </c>
      <c r="F91" s="17">
        <v>17.0</v>
      </c>
      <c r="G91" s="17">
        <v>171.0</v>
      </c>
      <c r="H91" s="17">
        <v>23.0</v>
      </c>
      <c r="I91" s="17">
        <v>15.55</v>
      </c>
      <c r="J91" s="17">
        <v>216.0</v>
      </c>
      <c r="K91" s="17">
        <v>79.17</v>
      </c>
      <c r="L91" s="17">
        <v>0.0</v>
      </c>
      <c r="M91" s="17">
        <v>0.0</v>
      </c>
      <c r="N91" s="17">
        <v>0.0</v>
      </c>
      <c r="O91" s="17">
        <v>14.0</v>
      </c>
      <c r="P91" s="12" t="s">
        <v>213</v>
      </c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ht="15.75" customHeight="1">
      <c r="A92" s="12" t="s">
        <v>299</v>
      </c>
      <c r="B92" s="45" t="s">
        <v>59</v>
      </c>
      <c r="C92" s="43" t="s">
        <v>53</v>
      </c>
      <c r="D92" s="38">
        <v>12.0</v>
      </c>
      <c r="E92" s="38">
        <v>6.0</v>
      </c>
      <c r="F92" s="38">
        <v>0.0</v>
      </c>
      <c r="G92" s="38">
        <v>40.0</v>
      </c>
      <c r="H92" s="38">
        <v>20.0</v>
      </c>
      <c r="I92" s="38">
        <v>6.67</v>
      </c>
      <c r="J92" s="38">
        <v>34.0</v>
      </c>
      <c r="K92" s="38">
        <v>117.65</v>
      </c>
      <c r="L92" s="38">
        <v>0.0</v>
      </c>
      <c r="M92" s="38">
        <v>0.0</v>
      </c>
      <c r="N92" s="38">
        <v>0.0</v>
      </c>
      <c r="O92" s="38">
        <v>2.0</v>
      </c>
      <c r="P92" s="38">
        <v>3.0</v>
      </c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</row>
    <row r="93" ht="15.75" customHeight="1">
      <c r="A93" s="12" t="s">
        <v>300</v>
      </c>
      <c r="B93" s="12" t="s">
        <v>62</v>
      </c>
      <c r="C93" s="12" t="s">
        <v>53</v>
      </c>
      <c r="D93" s="17">
        <v>48.0</v>
      </c>
      <c r="E93" s="17">
        <v>48.0</v>
      </c>
      <c r="F93" s="17">
        <v>4.0</v>
      </c>
      <c r="G93" s="17">
        <v>1726.0</v>
      </c>
      <c r="H93" s="17">
        <v>137.0</v>
      </c>
      <c r="I93" s="17">
        <v>39.23</v>
      </c>
      <c r="J93" s="17">
        <v>2032.0</v>
      </c>
      <c r="K93" s="17">
        <v>84.94</v>
      </c>
      <c r="L93" s="17">
        <v>3.0</v>
      </c>
      <c r="M93" s="17">
        <v>0.0</v>
      </c>
      <c r="N93" s="17">
        <v>13.0</v>
      </c>
      <c r="O93" s="17">
        <v>220.0</v>
      </c>
      <c r="P93" s="12" t="s">
        <v>215</v>
      </c>
      <c r="Q93" s="12">
        <f>sum(I93:I108)/count(I93:I108)</f>
        <v>24.87875</v>
      </c>
      <c r="R93" s="12">
        <f>sum(K93:K108)/count(K93:K108)</f>
        <v>76.75125</v>
      </c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ht="15.75" customHeight="1">
      <c r="A94" s="12" t="s">
        <v>301</v>
      </c>
      <c r="B94" s="12" t="s">
        <v>62</v>
      </c>
      <c r="C94" s="12" t="s">
        <v>53</v>
      </c>
      <c r="D94" s="17">
        <v>50.0</v>
      </c>
      <c r="E94" s="17">
        <v>46.0</v>
      </c>
      <c r="F94" s="17">
        <v>4.0</v>
      </c>
      <c r="G94" s="17">
        <v>1316.0</v>
      </c>
      <c r="H94" s="17">
        <v>103.0</v>
      </c>
      <c r="I94" s="17">
        <v>31.33</v>
      </c>
      <c r="J94" s="17">
        <v>1655.0</v>
      </c>
      <c r="K94" s="17">
        <v>79.52</v>
      </c>
      <c r="L94" s="17">
        <v>1.0</v>
      </c>
      <c r="M94" s="17">
        <v>0.0</v>
      </c>
      <c r="N94" s="17">
        <v>11.0</v>
      </c>
      <c r="O94" s="17">
        <v>131.0</v>
      </c>
      <c r="P94" s="12" t="s">
        <v>194</v>
      </c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ht="15.75" customHeight="1">
      <c r="A95" s="12" t="s">
        <v>302</v>
      </c>
      <c r="B95" s="12" t="s">
        <v>62</v>
      </c>
      <c r="C95" s="12" t="s">
        <v>53</v>
      </c>
      <c r="D95" s="17">
        <v>49.0</v>
      </c>
      <c r="E95" s="17">
        <v>43.0</v>
      </c>
      <c r="F95" s="17">
        <v>5.0</v>
      </c>
      <c r="G95" s="17">
        <v>1552.0</v>
      </c>
      <c r="H95" s="17">
        <v>110.0</v>
      </c>
      <c r="I95" s="17">
        <v>40.84</v>
      </c>
      <c r="J95" s="17">
        <v>1755.0</v>
      </c>
      <c r="K95" s="17">
        <v>88.43</v>
      </c>
      <c r="L95" s="17">
        <v>2.0</v>
      </c>
      <c r="M95" s="17">
        <v>0.0</v>
      </c>
      <c r="N95" s="17">
        <v>10.0</v>
      </c>
      <c r="O95" s="17">
        <v>122.0</v>
      </c>
      <c r="P95" s="12" t="s">
        <v>303</v>
      </c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ht="15.75" customHeight="1">
      <c r="A96" s="12" t="s">
        <v>304</v>
      </c>
      <c r="B96" s="12" t="s">
        <v>62</v>
      </c>
      <c r="C96" s="12" t="s">
        <v>53</v>
      </c>
      <c r="D96" s="17">
        <v>89.0</v>
      </c>
      <c r="E96" s="17">
        <v>81.0</v>
      </c>
      <c r="F96" s="17">
        <v>10.0</v>
      </c>
      <c r="G96" s="17">
        <v>1846.0</v>
      </c>
      <c r="H96" s="17">
        <v>93.0</v>
      </c>
      <c r="I96" s="17">
        <v>26.0</v>
      </c>
      <c r="J96" s="17">
        <v>2349.0</v>
      </c>
      <c r="K96" s="17">
        <v>78.59</v>
      </c>
      <c r="L96" s="17">
        <v>0.0</v>
      </c>
      <c r="M96" s="17">
        <v>0.0</v>
      </c>
      <c r="N96" s="17">
        <v>10.0</v>
      </c>
      <c r="O96" s="17">
        <v>184.0</v>
      </c>
      <c r="P96" s="12" t="s">
        <v>246</v>
      </c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ht="15.75" customHeight="1">
      <c r="A97" s="12" t="s">
        <v>305</v>
      </c>
      <c r="B97" s="12" t="s">
        <v>62</v>
      </c>
      <c r="C97" s="12" t="s">
        <v>53</v>
      </c>
      <c r="D97" s="17">
        <v>225.0</v>
      </c>
      <c r="E97" s="17">
        <v>193.0</v>
      </c>
      <c r="F97" s="17">
        <v>48.0</v>
      </c>
      <c r="G97" s="17">
        <v>5900.0</v>
      </c>
      <c r="H97" s="17">
        <v>139.0</v>
      </c>
      <c r="I97" s="17">
        <v>40.69</v>
      </c>
      <c r="J97" s="17">
        <v>7108.0</v>
      </c>
      <c r="K97" s="17">
        <v>83.01</v>
      </c>
      <c r="L97" s="17">
        <v>3.0</v>
      </c>
      <c r="M97" s="17">
        <v>0.0</v>
      </c>
      <c r="N97" s="17">
        <v>40.0</v>
      </c>
      <c r="O97" s="17">
        <v>466.0</v>
      </c>
      <c r="P97" s="12" t="s">
        <v>306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ht="15.75" customHeight="1">
      <c r="A98" s="12" t="s">
        <v>307</v>
      </c>
      <c r="B98" s="12" t="s">
        <v>62</v>
      </c>
      <c r="C98" s="43" t="s">
        <v>53</v>
      </c>
      <c r="D98" s="38">
        <v>5.0</v>
      </c>
      <c r="E98" s="38">
        <v>4.0</v>
      </c>
      <c r="F98" s="38">
        <v>2.0</v>
      </c>
      <c r="G98" s="38">
        <v>39.0</v>
      </c>
      <c r="H98" s="38">
        <v>22.0</v>
      </c>
      <c r="I98" s="38">
        <v>19.5</v>
      </c>
      <c r="J98" s="38">
        <v>39.0</v>
      </c>
      <c r="K98" s="38">
        <v>100.0</v>
      </c>
      <c r="L98" s="38">
        <v>0.0</v>
      </c>
      <c r="M98" s="38">
        <v>0.0</v>
      </c>
      <c r="N98" s="38">
        <v>0.0</v>
      </c>
      <c r="O98" s="38">
        <v>3.0</v>
      </c>
      <c r="P98" s="38">
        <v>1.0</v>
      </c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</row>
    <row r="99" ht="15.75" customHeight="1">
      <c r="A99" s="12" t="s">
        <v>308</v>
      </c>
      <c r="B99" s="12" t="s">
        <v>62</v>
      </c>
      <c r="C99" s="12" t="s">
        <v>53</v>
      </c>
      <c r="D99" s="17">
        <v>18.0</v>
      </c>
      <c r="E99" s="17">
        <v>15.0</v>
      </c>
      <c r="F99" s="17">
        <v>3.0</v>
      </c>
      <c r="G99" s="17">
        <v>207.0</v>
      </c>
      <c r="H99" s="17">
        <v>42.0</v>
      </c>
      <c r="I99" s="17">
        <v>17.25</v>
      </c>
      <c r="J99" s="17">
        <v>269.0</v>
      </c>
      <c r="K99" s="17">
        <v>76.95</v>
      </c>
      <c r="L99" s="17">
        <v>0.0</v>
      </c>
      <c r="M99" s="17">
        <v>0.0</v>
      </c>
      <c r="N99" s="17">
        <v>0.0</v>
      </c>
      <c r="O99" s="17">
        <v>16.0</v>
      </c>
      <c r="P99" s="12" t="s">
        <v>198</v>
      </c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ht="15.75" customHeight="1">
      <c r="A100" s="12" t="s">
        <v>309</v>
      </c>
      <c r="B100" s="12" t="s">
        <v>62</v>
      </c>
      <c r="C100" s="12" t="s">
        <v>53</v>
      </c>
      <c r="D100" s="17">
        <v>25.0</v>
      </c>
      <c r="E100" s="17">
        <v>23.0</v>
      </c>
      <c r="F100" s="17">
        <v>6.0</v>
      </c>
      <c r="G100" s="17">
        <v>445.0</v>
      </c>
      <c r="H100" s="17">
        <v>75.0</v>
      </c>
      <c r="I100" s="17">
        <v>26.18</v>
      </c>
      <c r="J100" s="17">
        <v>558.0</v>
      </c>
      <c r="K100" s="17">
        <v>79.75</v>
      </c>
      <c r="L100" s="17">
        <v>0.0</v>
      </c>
      <c r="M100" s="17">
        <v>0.0</v>
      </c>
      <c r="N100" s="17">
        <v>1.0</v>
      </c>
      <c r="O100" s="17">
        <v>31.0</v>
      </c>
      <c r="P100" s="12" t="s">
        <v>287</v>
      </c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ht="15.75" customHeight="1">
      <c r="A101" s="12" t="s">
        <v>310</v>
      </c>
      <c r="B101" s="12" t="s">
        <v>62</v>
      </c>
      <c r="C101" s="12" t="s">
        <v>53</v>
      </c>
      <c r="D101" s="17">
        <v>120.0</v>
      </c>
      <c r="E101" s="17">
        <v>117.0</v>
      </c>
      <c r="F101" s="17">
        <v>8.0</v>
      </c>
      <c r="G101" s="17">
        <v>3503.0</v>
      </c>
      <c r="H101" s="17">
        <v>122.0</v>
      </c>
      <c r="I101" s="17">
        <v>32.14</v>
      </c>
      <c r="J101" s="17">
        <v>4058.0</v>
      </c>
      <c r="K101" s="17">
        <v>86.32</v>
      </c>
      <c r="L101" s="17">
        <v>3.0</v>
      </c>
      <c r="M101" s="17">
        <v>0.0</v>
      </c>
      <c r="N101" s="17">
        <v>26.0</v>
      </c>
      <c r="O101" s="17">
        <v>346.0</v>
      </c>
      <c r="P101" s="12" t="s">
        <v>311</v>
      </c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ht="15.75" customHeight="1">
      <c r="A102" s="12" t="s">
        <v>312</v>
      </c>
      <c r="B102" s="12" t="s">
        <v>62</v>
      </c>
      <c r="C102" s="12" t="s">
        <v>53</v>
      </c>
      <c r="D102" s="17">
        <v>115.0</v>
      </c>
      <c r="E102" s="17">
        <v>110.0</v>
      </c>
      <c r="F102" s="17">
        <v>4.0</v>
      </c>
      <c r="G102" s="17">
        <v>3186.0</v>
      </c>
      <c r="H102" s="17">
        <v>135.0</v>
      </c>
      <c r="I102" s="17">
        <v>30.06</v>
      </c>
      <c r="J102" s="17">
        <v>3456.0</v>
      </c>
      <c r="K102" s="17">
        <v>92.19</v>
      </c>
      <c r="L102" s="17">
        <v>6.0</v>
      </c>
      <c r="M102" s="17">
        <v>0.0</v>
      </c>
      <c r="N102" s="17">
        <v>16.0</v>
      </c>
      <c r="O102" s="17">
        <v>353.0</v>
      </c>
      <c r="P102" s="12" t="s">
        <v>207</v>
      </c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ht="15.75" customHeight="1">
      <c r="A103" s="12" t="s">
        <v>313</v>
      </c>
      <c r="B103" s="12" t="s">
        <v>62</v>
      </c>
      <c r="C103" s="12" t="s">
        <v>53</v>
      </c>
      <c r="D103" s="17">
        <v>31.0</v>
      </c>
      <c r="E103" s="17">
        <v>28.0</v>
      </c>
      <c r="F103" s="17">
        <v>3.0</v>
      </c>
      <c r="G103" s="17">
        <v>987.0</v>
      </c>
      <c r="H103" s="17">
        <v>108.0</v>
      </c>
      <c r="I103" s="17">
        <v>39.48</v>
      </c>
      <c r="J103" s="17">
        <v>1044.0</v>
      </c>
      <c r="K103" s="17">
        <v>94.54</v>
      </c>
      <c r="L103" s="17">
        <v>1.0</v>
      </c>
      <c r="M103" s="17">
        <v>0.0</v>
      </c>
      <c r="N103" s="17">
        <v>7.0</v>
      </c>
      <c r="O103" s="17">
        <v>100.0</v>
      </c>
      <c r="P103" s="12" t="s">
        <v>213</v>
      </c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ht="15.75" customHeight="1">
      <c r="A104" s="12" t="s">
        <v>314</v>
      </c>
      <c r="B104" s="12" t="s">
        <v>62</v>
      </c>
      <c r="C104" s="12" t="s">
        <v>53</v>
      </c>
      <c r="D104" s="17">
        <v>34.0</v>
      </c>
      <c r="E104" s="17">
        <v>19.0</v>
      </c>
      <c r="F104" s="17">
        <v>7.0</v>
      </c>
      <c r="G104" s="17">
        <v>183.0</v>
      </c>
      <c r="H104" s="17">
        <v>29.0</v>
      </c>
      <c r="I104" s="17">
        <v>15.25</v>
      </c>
      <c r="J104" s="17">
        <v>306.0</v>
      </c>
      <c r="K104" s="17">
        <v>59.8</v>
      </c>
      <c r="L104" s="17">
        <v>0.0</v>
      </c>
      <c r="M104" s="17">
        <v>0.0</v>
      </c>
      <c r="N104" s="17">
        <v>0.0</v>
      </c>
      <c r="O104" s="17">
        <v>13.0</v>
      </c>
      <c r="P104" s="12" t="s">
        <v>196</v>
      </c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ht="15.75" customHeight="1">
      <c r="A105" s="12" t="s">
        <v>315</v>
      </c>
      <c r="B105" s="12" t="s">
        <v>62</v>
      </c>
      <c r="C105" s="12" t="s">
        <v>53</v>
      </c>
      <c r="D105" s="17">
        <v>34.0</v>
      </c>
      <c r="E105" s="17">
        <v>19.0</v>
      </c>
      <c r="F105" s="17">
        <v>7.0</v>
      </c>
      <c r="G105" s="17">
        <v>117.0</v>
      </c>
      <c r="H105" s="17">
        <v>33.0</v>
      </c>
      <c r="I105" s="17">
        <v>9.75</v>
      </c>
      <c r="J105" s="17">
        <v>184.0</v>
      </c>
      <c r="K105" s="17">
        <v>63.59</v>
      </c>
      <c r="L105" s="17">
        <v>0.0</v>
      </c>
      <c r="M105" s="17">
        <v>0.0</v>
      </c>
      <c r="N105" s="17">
        <v>0.0</v>
      </c>
      <c r="O105" s="17">
        <v>14.0</v>
      </c>
      <c r="P105" s="12" t="s">
        <v>194</v>
      </c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ht="15.75" customHeight="1">
      <c r="A106" s="12" t="s">
        <v>316</v>
      </c>
      <c r="B106" s="12" t="s">
        <v>62</v>
      </c>
      <c r="C106" s="12" t="s">
        <v>53</v>
      </c>
      <c r="D106" s="17">
        <v>28.0</v>
      </c>
      <c r="E106" s="17">
        <v>16.0</v>
      </c>
      <c r="F106" s="17">
        <v>6.0</v>
      </c>
      <c r="G106" s="17">
        <v>55.0</v>
      </c>
      <c r="H106" s="17">
        <v>10.0</v>
      </c>
      <c r="I106" s="17">
        <v>5.5</v>
      </c>
      <c r="J106" s="17">
        <v>122.0</v>
      </c>
      <c r="K106" s="17">
        <v>45.08</v>
      </c>
      <c r="L106" s="17">
        <v>0.0</v>
      </c>
      <c r="M106" s="17">
        <v>0.0</v>
      </c>
      <c r="N106" s="17">
        <v>0.0</v>
      </c>
      <c r="O106" s="17">
        <v>7.0</v>
      </c>
      <c r="P106" s="12" t="s">
        <v>194</v>
      </c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ht="15.75" customHeight="1">
      <c r="A107" s="12" t="s">
        <v>317</v>
      </c>
      <c r="B107" s="12" t="s">
        <v>62</v>
      </c>
      <c r="C107" s="12" t="s">
        <v>53</v>
      </c>
      <c r="D107" s="17">
        <v>14.0</v>
      </c>
      <c r="E107" s="17">
        <v>8.0</v>
      </c>
      <c r="F107" s="17">
        <v>7.0</v>
      </c>
      <c r="G107" s="17">
        <v>14.0</v>
      </c>
      <c r="H107" s="17">
        <v>5.0</v>
      </c>
      <c r="I107" s="17">
        <v>14.0</v>
      </c>
      <c r="J107" s="17">
        <v>26.0</v>
      </c>
      <c r="K107" s="17">
        <v>53.85</v>
      </c>
      <c r="L107" s="17">
        <v>0.0</v>
      </c>
      <c r="M107" s="17">
        <v>0.0</v>
      </c>
      <c r="N107" s="17">
        <v>0.0</v>
      </c>
      <c r="O107" s="17">
        <v>3.0</v>
      </c>
      <c r="P107" s="12" t="s">
        <v>202</v>
      </c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ht="15.75" customHeight="1">
      <c r="A108" s="12" t="s">
        <v>318</v>
      </c>
      <c r="B108" s="12" t="s">
        <v>62</v>
      </c>
      <c r="C108" s="12" t="s">
        <v>53</v>
      </c>
      <c r="D108" s="17">
        <v>47.0</v>
      </c>
      <c r="E108" s="17">
        <v>32.0</v>
      </c>
      <c r="F108" s="17">
        <v>11.0</v>
      </c>
      <c r="G108" s="17">
        <v>228.0</v>
      </c>
      <c r="H108" s="17">
        <v>29.0</v>
      </c>
      <c r="I108" s="17">
        <v>10.86</v>
      </c>
      <c r="J108" s="17">
        <v>371.0</v>
      </c>
      <c r="K108" s="17">
        <v>61.46</v>
      </c>
      <c r="L108" s="17">
        <v>0.0</v>
      </c>
      <c r="M108" s="17">
        <v>0.0</v>
      </c>
      <c r="N108" s="17">
        <v>0.0</v>
      </c>
      <c r="O108" s="17">
        <v>16.0</v>
      </c>
      <c r="P108" s="12" t="s">
        <v>228</v>
      </c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ht="15.75" customHeight="1">
      <c r="A109" s="12" t="s">
        <v>319</v>
      </c>
      <c r="B109" s="12" t="s">
        <v>61</v>
      </c>
      <c r="C109" s="12" t="s">
        <v>53</v>
      </c>
      <c r="D109" s="17">
        <v>38.0</v>
      </c>
      <c r="E109" s="17">
        <v>37.0</v>
      </c>
      <c r="F109" s="17">
        <v>1.0</v>
      </c>
      <c r="G109" s="17">
        <v>1085.0</v>
      </c>
      <c r="H109" s="17">
        <v>117.0</v>
      </c>
      <c r="I109" s="17">
        <v>30.14</v>
      </c>
      <c r="J109" s="17">
        <v>1380.0</v>
      </c>
      <c r="K109" s="17">
        <v>78.62</v>
      </c>
      <c r="L109" s="17">
        <v>2.0</v>
      </c>
      <c r="M109" s="17">
        <v>0.0</v>
      </c>
      <c r="N109" s="17">
        <v>7.0</v>
      </c>
      <c r="O109" s="17">
        <v>112.0</v>
      </c>
      <c r="P109" s="12" t="s">
        <v>200</v>
      </c>
      <c r="Q109" s="12">
        <f>sum(I109:I124)/count(I109:I124)</f>
        <v>21.11625</v>
      </c>
      <c r="R109" s="12">
        <f>sum(K109:K124)/count(K109:K124)</f>
        <v>78.83125</v>
      </c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ht="15.75" customHeight="1">
      <c r="A110" s="12" t="s">
        <v>320</v>
      </c>
      <c r="B110" s="12" t="s">
        <v>61</v>
      </c>
      <c r="C110" s="43" t="s">
        <v>53</v>
      </c>
      <c r="D110" s="38">
        <v>23.0</v>
      </c>
      <c r="E110" s="38">
        <v>20.0</v>
      </c>
      <c r="F110" s="38">
        <v>2.0</v>
      </c>
      <c r="G110" s="38">
        <v>608.0</v>
      </c>
      <c r="H110" s="38">
        <v>92.0</v>
      </c>
      <c r="I110" s="38">
        <v>33.78</v>
      </c>
      <c r="J110" s="38">
        <v>731.0</v>
      </c>
      <c r="K110" s="38">
        <v>83.17</v>
      </c>
      <c r="L110" s="38">
        <v>0.0</v>
      </c>
      <c r="M110" s="38">
        <v>0.0</v>
      </c>
      <c r="N110" s="38">
        <v>5.0</v>
      </c>
      <c r="O110" s="38">
        <v>43.0</v>
      </c>
      <c r="P110" s="38">
        <v>12.0</v>
      </c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</row>
    <row r="111" ht="15.75" customHeight="1">
      <c r="A111" s="12" t="s">
        <v>321</v>
      </c>
      <c r="B111" s="12" t="s">
        <v>61</v>
      </c>
      <c r="C111" s="43" t="s">
        <v>53</v>
      </c>
      <c r="D111" s="38">
        <v>13.0</v>
      </c>
      <c r="E111" s="38">
        <v>12.0</v>
      </c>
      <c r="F111" s="38">
        <v>0.0</v>
      </c>
      <c r="G111" s="38">
        <v>143.0</v>
      </c>
      <c r="H111" s="38">
        <v>51.0</v>
      </c>
      <c r="I111" s="38">
        <v>11.92</v>
      </c>
      <c r="J111" s="38">
        <v>149.0</v>
      </c>
      <c r="K111" s="38">
        <v>95.97</v>
      </c>
      <c r="L111" s="38">
        <v>0.0</v>
      </c>
      <c r="M111" s="38">
        <v>0.0</v>
      </c>
      <c r="N111" s="38">
        <v>1.0</v>
      </c>
      <c r="O111" s="38">
        <v>23.0</v>
      </c>
      <c r="P111" s="38">
        <v>3.0</v>
      </c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5.75" customHeight="1">
      <c r="A112" s="12" t="s">
        <v>322</v>
      </c>
      <c r="B112" s="12" t="s">
        <v>61</v>
      </c>
      <c r="C112" s="12" t="s">
        <v>53</v>
      </c>
      <c r="D112" s="17">
        <v>247.0</v>
      </c>
      <c r="E112" s="17">
        <v>234.0</v>
      </c>
      <c r="F112" s="17">
        <v>30.0</v>
      </c>
      <c r="G112" s="17">
        <v>7570.0</v>
      </c>
      <c r="H112" s="17">
        <v>134.0</v>
      </c>
      <c r="I112" s="17">
        <v>37.11</v>
      </c>
      <c r="J112" s="17">
        <v>9138.0</v>
      </c>
      <c r="K112" s="17">
        <v>82.84</v>
      </c>
      <c r="L112" s="17">
        <v>9.0</v>
      </c>
      <c r="M112" s="17">
        <v>0.0</v>
      </c>
      <c r="N112" s="17">
        <v>56.0</v>
      </c>
      <c r="O112" s="17">
        <v>699.0</v>
      </c>
      <c r="P112" s="12" t="s">
        <v>233</v>
      </c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ht="15.75" customHeight="1">
      <c r="A113" s="12" t="s">
        <v>323</v>
      </c>
      <c r="B113" s="12" t="s">
        <v>61</v>
      </c>
      <c r="C113" s="43" t="s">
        <v>53</v>
      </c>
      <c r="D113" s="38">
        <v>10.0</v>
      </c>
      <c r="E113" s="38">
        <v>9.0</v>
      </c>
      <c r="F113" s="38">
        <v>1.0</v>
      </c>
      <c r="G113" s="38">
        <v>120.0</v>
      </c>
      <c r="H113" s="38">
        <v>29.0</v>
      </c>
      <c r="I113" s="38">
        <v>15.0</v>
      </c>
      <c r="J113" s="38">
        <v>185.0</v>
      </c>
      <c r="K113" s="38">
        <v>64.86</v>
      </c>
      <c r="L113" s="38">
        <v>0.0</v>
      </c>
      <c r="M113" s="38">
        <v>0.0</v>
      </c>
      <c r="N113" s="38">
        <v>0.0</v>
      </c>
      <c r="O113" s="38">
        <v>10.0</v>
      </c>
      <c r="P113" s="38">
        <v>2.0</v>
      </c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</row>
    <row r="114" ht="15.75" customHeight="1">
      <c r="A114" s="12" t="s">
        <v>324</v>
      </c>
      <c r="B114" s="12" t="s">
        <v>61</v>
      </c>
      <c r="C114" s="12" t="s">
        <v>53</v>
      </c>
      <c r="D114" s="17">
        <v>228.0</v>
      </c>
      <c r="E114" s="17">
        <v>198.0</v>
      </c>
      <c r="F114" s="17">
        <v>51.0</v>
      </c>
      <c r="G114" s="17">
        <v>5316.0</v>
      </c>
      <c r="H114" s="17">
        <v>128.0</v>
      </c>
      <c r="I114" s="17">
        <v>36.16</v>
      </c>
      <c r="J114" s="17">
        <v>6934.0</v>
      </c>
      <c r="K114" s="17">
        <v>76.67</v>
      </c>
      <c r="L114" s="17">
        <v>4.0</v>
      </c>
      <c r="M114" s="17">
        <v>0.0</v>
      </c>
      <c r="N114" s="17">
        <v>28.0</v>
      </c>
      <c r="O114" s="17">
        <v>402.0</v>
      </c>
      <c r="P114" s="12" t="s">
        <v>325</v>
      </c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ht="15.75" customHeight="1">
      <c r="A115" s="12" t="s">
        <v>326</v>
      </c>
      <c r="B115" s="12" t="s">
        <v>61</v>
      </c>
      <c r="C115" s="12" t="s">
        <v>53</v>
      </c>
      <c r="D115" s="17">
        <v>90.0</v>
      </c>
      <c r="E115" s="17">
        <v>63.0</v>
      </c>
      <c r="F115" s="17">
        <v>9.0</v>
      </c>
      <c r="G115" s="17">
        <v>1218.0</v>
      </c>
      <c r="H115" s="17">
        <v>112.0</v>
      </c>
      <c r="I115" s="17">
        <v>22.56</v>
      </c>
      <c r="J115" s="17">
        <v>1574.0</v>
      </c>
      <c r="K115" s="17">
        <v>77.38</v>
      </c>
      <c r="L115" s="17">
        <v>2.0</v>
      </c>
      <c r="M115" s="17">
        <v>0.0</v>
      </c>
      <c r="N115" s="17">
        <v>3.0</v>
      </c>
      <c r="O115" s="17">
        <v>108.0</v>
      </c>
      <c r="P115" s="12" t="s">
        <v>186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ht="15.75" customHeight="1">
      <c r="A116" s="12" t="s">
        <v>327</v>
      </c>
      <c r="B116" s="12" t="s">
        <v>61</v>
      </c>
      <c r="C116" s="12" t="s">
        <v>53</v>
      </c>
      <c r="D116" s="17">
        <v>264.0</v>
      </c>
      <c r="E116" s="17">
        <v>247.0</v>
      </c>
      <c r="F116" s="17">
        <v>39.0</v>
      </c>
      <c r="G116" s="17">
        <v>7587.0</v>
      </c>
      <c r="H116" s="17">
        <v>144.0</v>
      </c>
      <c r="I116" s="17">
        <v>36.48</v>
      </c>
      <c r="J116" s="17">
        <v>9532.0</v>
      </c>
      <c r="K116" s="17">
        <v>79.6</v>
      </c>
      <c r="L116" s="17">
        <v>9.0</v>
      </c>
      <c r="M116" s="17">
        <v>0.0</v>
      </c>
      <c r="N116" s="17">
        <v>48.0</v>
      </c>
      <c r="O116" s="17">
        <v>598.0</v>
      </c>
      <c r="P116" s="12" t="s">
        <v>328</v>
      </c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ht="15.75" customHeight="1">
      <c r="A117" s="12" t="s">
        <v>329</v>
      </c>
      <c r="B117" s="12" t="s">
        <v>61</v>
      </c>
      <c r="C117" s="12" t="s">
        <v>53</v>
      </c>
      <c r="D117" s="17">
        <v>85.0</v>
      </c>
      <c r="E117" s="17">
        <v>84.0</v>
      </c>
      <c r="F117" s="17">
        <v>5.0</v>
      </c>
      <c r="G117" s="17">
        <v>2498.0</v>
      </c>
      <c r="H117" s="17">
        <v>176.0</v>
      </c>
      <c r="I117" s="17">
        <v>31.62</v>
      </c>
      <c r="J117" s="17">
        <v>2877.0</v>
      </c>
      <c r="K117" s="17">
        <v>86.83</v>
      </c>
      <c r="L117" s="17">
        <v>5.0</v>
      </c>
      <c r="M117" s="17">
        <v>0.0</v>
      </c>
      <c r="N117" s="17">
        <v>12.0</v>
      </c>
      <c r="O117" s="17">
        <v>267.0</v>
      </c>
      <c r="P117" s="12" t="s">
        <v>330</v>
      </c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ht="15.75" customHeight="1">
      <c r="A118" s="12" t="s">
        <v>331</v>
      </c>
      <c r="B118" s="12" t="s">
        <v>61</v>
      </c>
      <c r="C118" s="12" t="s">
        <v>53</v>
      </c>
      <c r="D118" s="17">
        <v>45.0</v>
      </c>
      <c r="E118" s="17">
        <v>42.0</v>
      </c>
      <c r="F118" s="17">
        <v>0.0</v>
      </c>
      <c r="G118" s="17">
        <v>1258.0</v>
      </c>
      <c r="H118" s="17">
        <v>120.0</v>
      </c>
      <c r="I118" s="17">
        <v>29.95</v>
      </c>
      <c r="J118" s="17">
        <v>1702.0</v>
      </c>
      <c r="K118" s="17">
        <v>73.91</v>
      </c>
      <c r="L118" s="17">
        <v>3.0</v>
      </c>
      <c r="M118" s="17">
        <v>0.0</v>
      </c>
      <c r="N118" s="17">
        <v>5.0</v>
      </c>
      <c r="O118" s="17">
        <v>123.0</v>
      </c>
      <c r="P118" s="12" t="s">
        <v>332</v>
      </c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ht="15.75" customHeight="1">
      <c r="A119" s="12" t="s">
        <v>333</v>
      </c>
      <c r="B119" s="12" t="s">
        <v>61</v>
      </c>
      <c r="C119" s="12" t="s">
        <v>53</v>
      </c>
      <c r="D119" s="17">
        <v>69.0</v>
      </c>
      <c r="E119" s="17">
        <v>37.0</v>
      </c>
      <c r="F119" s="17">
        <v>10.0</v>
      </c>
      <c r="G119" s="17">
        <v>199.0</v>
      </c>
      <c r="H119" s="17">
        <v>21.0</v>
      </c>
      <c r="I119" s="17">
        <v>7.37</v>
      </c>
      <c r="J119" s="17">
        <v>363.0</v>
      </c>
      <c r="K119" s="17">
        <v>54.82</v>
      </c>
      <c r="L119" s="17">
        <v>0.0</v>
      </c>
      <c r="M119" s="17">
        <v>0.0</v>
      </c>
      <c r="N119" s="17">
        <v>0.0</v>
      </c>
      <c r="O119" s="17">
        <v>12.0</v>
      </c>
      <c r="P119" s="12" t="s">
        <v>250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ht="15.75" customHeight="1">
      <c r="A120" s="12" t="s">
        <v>334</v>
      </c>
      <c r="B120" s="12" t="s">
        <v>61</v>
      </c>
      <c r="C120" s="12" t="s">
        <v>53</v>
      </c>
      <c r="D120" s="17">
        <v>100.0</v>
      </c>
      <c r="E120" s="17">
        <v>51.0</v>
      </c>
      <c r="F120" s="17">
        <v>30.0</v>
      </c>
      <c r="G120" s="17">
        <v>160.0</v>
      </c>
      <c r="H120" s="17">
        <v>20.0</v>
      </c>
      <c r="I120" s="17">
        <v>7.62</v>
      </c>
      <c r="J120" s="17">
        <v>309.0</v>
      </c>
      <c r="K120" s="17">
        <v>51.78</v>
      </c>
      <c r="L120" s="17">
        <v>0.0</v>
      </c>
      <c r="M120" s="17">
        <v>0.0</v>
      </c>
      <c r="N120" s="17">
        <v>0.0</v>
      </c>
      <c r="O120" s="17">
        <v>18.0</v>
      </c>
      <c r="P120" s="12" t="s">
        <v>194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ht="15.75" customHeight="1">
      <c r="A121" s="12" t="s">
        <v>335</v>
      </c>
      <c r="B121" s="12" t="s">
        <v>61</v>
      </c>
      <c r="C121" s="43" t="s">
        <v>53</v>
      </c>
      <c r="D121" s="38">
        <v>20.0</v>
      </c>
      <c r="E121" s="38">
        <v>12.0</v>
      </c>
      <c r="F121" s="38">
        <v>4.0</v>
      </c>
      <c r="G121" s="38">
        <v>45.0</v>
      </c>
      <c r="H121" s="38">
        <v>15.0</v>
      </c>
      <c r="I121" s="38">
        <v>5.62</v>
      </c>
      <c r="J121" s="38">
        <v>92.0</v>
      </c>
      <c r="K121" s="38">
        <v>48.91</v>
      </c>
      <c r="L121" s="38">
        <v>0.0</v>
      </c>
      <c r="M121" s="38">
        <v>0.0</v>
      </c>
      <c r="N121" s="38">
        <v>0.0</v>
      </c>
      <c r="O121" s="38">
        <v>6.0</v>
      </c>
      <c r="P121" s="38">
        <v>0.0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</row>
    <row r="122" ht="15.75" customHeight="1">
      <c r="A122" s="12" t="s">
        <v>336</v>
      </c>
      <c r="B122" s="12" t="s">
        <v>61</v>
      </c>
      <c r="C122" s="12" t="s">
        <v>53</v>
      </c>
      <c r="D122" s="17">
        <v>30.0</v>
      </c>
      <c r="E122" s="17">
        <v>18.0</v>
      </c>
      <c r="F122" s="17">
        <v>8.0</v>
      </c>
      <c r="G122" s="17">
        <v>77.0</v>
      </c>
      <c r="H122" s="17">
        <v>16.0</v>
      </c>
      <c r="I122" s="17">
        <v>7.7</v>
      </c>
      <c r="J122" s="17">
        <v>97.0</v>
      </c>
      <c r="K122" s="17">
        <v>79.38</v>
      </c>
      <c r="L122" s="17">
        <v>0.0</v>
      </c>
      <c r="M122" s="17">
        <v>0.0</v>
      </c>
      <c r="N122" s="17">
        <v>0.0</v>
      </c>
      <c r="O122" s="17">
        <v>6.0</v>
      </c>
      <c r="P122" s="12" t="s">
        <v>228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ht="15.75" customHeight="1">
      <c r="A123" s="12" t="s">
        <v>337</v>
      </c>
      <c r="B123" s="12" t="s">
        <v>61</v>
      </c>
      <c r="C123" s="12" t="s">
        <v>53</v>
      </c>
      <c r="D123" s="38">
        <v>14.0</v>
      </c>
      <c r="E123" s="38">
        <v>8.0</v>
      </c>
      <c r="F123" s="38">
        <v>2.0</v>
      </c>
      <c r="G123" s="38">
        <v>149.0</v>
      </c>
      <c r="H123" s="38">
        <v>44.0</v>
      </c>
      <c r="I123" s="38">
        <v>24.83</v>
      </c>
      <c r="J123" s="38">
        <v>164.0</v>
      </c>
      <c r="K123" s="38">
        <v>90.85</v>
      </c>
      <c r="L123" s="38">
        <v>0.0</v>
      </c>
      <c r="M123" s="38">
        <v>0.0</v>
      </c>
      <c r="N123" s="38">
        <v>0.0</v>
      </c>
      <c r="O123" s="38">
        <v>17.0</v>
      </c>
      <c r="P123" s="38">
        <v>5.0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</row>
    <row r="124" ht="15.75" customHeight="1">
      <c r="A124" s="12" t="s">
        <v>338</v>
      </c>
      <c r="B124" s="12" t="s">
        <v>61</v>
      </c>
      <c r="C124" s="12" t="s">
        <v>53</v>
      </c>
      <c r="D124" s="38">
        <v>3.0</v>
      </c>
      <c r="E124" s="38">
        <v>2.0</v>
      </c>
      <c r="F124" s="38">
        <v>2.0</v>
      </c>
      <c r="G124" s="38">
        <v>19.0</v>
      </c>
      <c r="H124" s="38">
        <v>14.0</v>
      </c>
      <c r="I124" s="38">
        <v>0.0</v>
      </c>
      <c r="J124" s="38">
        <v>14.0</v>
      </c>
      <c r="K124" s="38">
        <v>135.71</v>
      </c>
      <c r="L124" s="38">
        <v>0.0</v>
      </c>
      <c r="M124" s="38">
        <v>0.0</v>
      </c>
      <c r="N124" s="38">
        <v>0.0</v>
      </c>
      <c r="O124" s="38">
        <v>2.0</v>
      </c>
      <c r="P124" s="38">
        <v>1.0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21:L27">
    <cfRule type="colorScale" priority="1">
      <colorScale>
        <cfvo type="min"/>
        <cfvo type="max"/>
        <color rgb="FFFFFFFF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6" width="12.63"/>
    <col customWidth="1" hidden="1" min="14" max="15" width="12.63"/>
    <col customWidth="1" min="16" max="16" width="15.63"/>
    <col customWidth="1" min="17" max="17" width="14.5"/>
    <col customWidth="1" min="18" max="18" width="13.75"/>
  </cols>
  <sheetData>
    <row r="1" ht="15.75" customHeight="1">
      <c r="A1" s="6" t="s">
        <v>131</v>
      </c>
      <c r="B1" s="6" t="s">
        <v>149</v>
      </c>
      <c r="C1" s="6" t="s">
        <v>10</v>
      </c>
      <c r="D1" s="37" t="s">
        <v>150</v>
      </c>
      <c r="E1" s="37" t="s">
        <v>151</v>
      </c>
      <c r="F1" s="37" t="s">
        <v>339</v>
      </c>
      <c r="G1" s="37" t="s">
        <v>153</v>
      </c>
      <c r="H1" s="37" t="s">
        <v>340</v>
      </c>
      <c r="I1" s="37" t="s">
        <v>341</v>
      </c>
      <c r="J1" s="37" t="s">
        <v>342</v>
      </c>
      <c r="K1" s="37" t="s">
        <v>343</v>
      </c>
      <c r="L1" s="37" t="s">
        <v>155</v>
      </c>
      <c r="M1" s="37" t="s">
        <v>157</v>
      </c>
      <c r="N1" s="37" t="s">
        <v>344</v>
      </c>
      <c r="O1" s="37" t="s">
        <v>345</v>
      </c>
      <c r="P1" s="6" t="s">
        <v>346</v>
      </c>
      <c r="Q1" s="6" t="s">
        <v>347</v>
      </c>
      <c r="R1" s="6" t="s">
        <v>348</v>
      </c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12" t="s">
        <v>162</v>
      </c>
      <c r="B2" s="12" t="s">
        <v>47</v>
      </c>
      <c r="C2" s="12" t="s">
        <v>53</v>
      </c>
      <c r="D2" s="38">
        <v>259.0</v>
      </c>
      <c r="E2" s="38">
        <v>38.0</v>
      </c>
      <c r="F2" s="38">
        <v>593.0</v>
      </c>
      <c r="G2" s="38">
        <v>515.0</v>
      </c>
      <c r="H2" s="38">
        <v>8.0</v>
      </c>
      <c r="I2" s="46">
        <v>44984.0</v>
      </c>
      <c r="J2" s="46">
        <v>44984.0</v>
      </c>
      <c r="K2" s="38">
        <v>5.21</v>
      </c>
      <c r="L2" s="38">
        <v>64.38</v>
      </c>
      <c r="M2" s="38">
        <v>74.12</v>
      </c>
      <c r="N2" s="38">
        <v>0.0</v>
      </c>
      <c r="O2" s="38">
        <v>0.0</v>
      </c>
      <c r="P2" s="12">
        <f t="shared" ref="P2:R2" si="1">sum(K2:K13)/count(K2:K13)</f>
        <v>5.4225</v>
      </c>
      <c r="Q2" s="12">
        <f t="shared" si="1"/>
        <v>40.535</v>
      </c>
      <c r="R2" s="12">
        <f t="shared" si="1"/>
        <v>43.995</v>
      </c>
      <c r="S2" s="12"/>
      <c r="T2" s="12"/>
      <c r="U2" s="12"/>
      <c r="V2" s="41"/>
      <c r="W2" s="41"/>
      <c r="X2" s="12"/>
      <c r="Y2" s="12"/>
      <c r="Z2" s="12"/>
      <c r="AA2" s="12"/>
      <c r="AB2" s="12"/>
    </row>
    <row r="3" ht="15.75" customHeight="1">
      <c r="A3" s="12" t="s">
        <v>164</v>
      </c>
      <c r="B3" s="12" t="s">
        <v>47</v>
      </c>
      <c r="C3" s="12" t="s">
        <v>53</v>
      </c>
      <c r="D3" s="38">
        <v>289.0</v>
      </c>
      <c r="E3" s="38">
        <v>49.0</v>
      </c>
      <c r="F3" s="38">
        <v>644.0</v>
      </c>
      <c r="G3" s="38">
        <v>667.0</v>
      </c>
      <c r="H3" s="38">
        <v>4.0</v>
      </c>
      <c r="I3" s="46">
        <v>44941.0</v>
      </c>
      <c r="J3" s="46">
        <v>44941.0</v>
      </c>
      <c r="K3" s="38">
        <v>6.21</v>
      </c>
      <c r="L3" s="38">
        <v>166.75</v>
      </c>
      <c r="M3" s="38">
        <v>161.0</v>
      </c>
      <c r="N3" s="38">
        <v>0.0</v>
      </c>
      <c r="O3" s="38">
        <v>0.0</v>
      </c>
      <c r="P3" s="12"/>
      <c r="Q3" s="12"/>
      <c r="R3" s="12"/>
      <c r="S3" s="12"/>
      <c r="T3" s="12"/>
      <c r="U3" s="12"/>
      <c r="V3" s="41"/>
      <c r="W3" s="41"/>
      <c r="X3" s="12"/>
      <c r="Y3" s="12"/>
      <c r="Z3" s="12"/>
      <c r="AA3" s="12"/>
      <c r="AB3" s="12"/>
    </row>
    <row r="4" ht="15.75" customHeight="1">
      <c r="A4" s="12" t="s">
        <v>165</v>
      </c>
      <c r="B4" s="12" t="s">
        <v>47</v>
      </c>
      <c r="C4" s="12" t="s">
        <v>53</v>
      </c>
      <c r="D4" s="38">
        <v>55.0</v>
      </c>
      <c r="E4" s="38">
        <v>5.0</v>
      </c>
      <c r="F4" s="38">
        <v>37.0</v>
      </c>
      <c r="G4" s="38">
        <v>39.0</v>
      </c>
      <c r="H4" s="38">
        <v>0.0</v>
      </c>
      <c r="I4" s="38" t="s">
        <v>349</v>
      </c>
      <c r="J4" s="38" t="s">
        <v>349</v>
      </c>
      <c r="K4" s="38">
        <v>6.32</v>
      </c>
      <c r="L4" s="38">
        <v>0.0</v>
      </c>
      <c r="M4" s="38">
        <v>0.0</v>
      </c>
      <c r="N4" s="38">
        <v>0.0</v>
      </c>
      <c r="O4" s="38">
        <v>0.0</v>
      </c>
      <c r="P4" s="12"/>
      <c r="Q4" s="12"/>
      <c r="R4" s="12"/>
      <c r="S4" s="12"/>
      <c r="T4" s="12"/>
      <c r="U4" s="12"/>
      <c r="V4" s="41"/>
      <c r="W4" s="41"/>
      <c r="X4" s="12"/>
      <c r="Y4" s="12"/>
      <c r="Z4" s="12"/>
      <c r="AA4" s="12"/>
      <c r="AB4" s="12"/>
    </row>
    <row r="5" ht="15.75" customHeight="1">
      <c r="A5" s="12" t="s">
        <v>167</v>
      </c>
      <c r="B5" s="12" t="s">
        <v>47</v>
      </c>
      <c r="C5" s="12" t="s">
        <v>53</v>
      </c>
      <c r="D5" s="38">
        <v>86.0</v>
      </c>
      <c r="E5" s="38">
        <v>80.0</v>
      </c>
      <c r="F5" s="38">
        <v>3199.0</v>
      </c>
      <c r="G5" s="38">
        <v>2960.0</v>
      </c>
      <c r="H5" s="38">
        <v>84.0</v>
      </c>
      <c r="I5" s="46">
        <v>45040.0</v>
      </c>
      <c r="J5" s="46">
        <v>45040.0</v>
      </c>
      <c r="K5" s="38">
        <v>5.55</v>
      </c>
      <c r="L5" s="38">
        <v>35.24</v>
      </c>
      <c r="M5" s="38">
        <v>38.08</v>
      </c>
      <c r="N5" s="38">
        <v>0.0</v>
      </c>
      <c r="O5" s="38">
        <v>0.0</v>
      </c>
      <c r="P5" s="12"/>
      <c r="Q5" s="12"/>
      <c r="R5" s="12"/>
      <c r="S5" s="12"/>
      <c r="T5" s="12"/>
      <c r="U5" s="12"/>
      <c r="V5" s="41"/>
      <c r="W5" s="41"/>
      <c r="X5" s="12"/>
      <c r="Y5" s="12"/>
      <c r="Z5" s="12"/>
      <c r="AA5" s="12"/>
      <c r="AB5" s="12"/>
    </row>
    <row r="6" ht="15.75" customHeight="1">
      <c r="A6" s="12" t="s">
        <v>168</v>
      </c>
      <c r="B6" s="12" t="s">
        <v>47</v>
      </c>
      <c r="C6" s="12" t="s">
        <v>53</v>
      </c>
      <c r="D6" s="38">
        <v>194.0</v>
      </c>
      <c r="E6" s="38">
        <v>186.0</v>
      </c>
      <c r="F6" s="38">
        <v>9576.0</v>
      </c>
      <c r="G6" s="38">
        <v>7781.0</v>
      </c>
      <c r="H6" s="38">
        <v>218.0</v>
      </c>
      <c r="I6" s="38" t="s">
        <v>350</v>
      </c>
      <c r="J6" s="38" t="s">
        <v>350</v>
      </c>
      <c r="K6" s="38">
        <v>4.88</v>
      </c>
      <c r="L6" s="38">
        <v>35.69</v>
      </c>
      <c r="M6" s="38">
        <v>43.93</v>
      </c>
      <c r="N6" s="38">
        <v>2.0</v>
      </c>
      <c r="O6" s="38">
        <v>0.0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15.75" customHeight="1">
      <c r="A7" s="12" t="s">
        <v>169</v>
      </c>
      <c r="B7" s="12" t="s">
        <v>47</v>
      </c>
      <c r="C7" s="12" t="s">
        <v>53</v>
      </c>
      <c r="D7" s="38">
        <v>116.0</v>
      </c>
      <c r="E7" s="38">
        <v>114.0</v>
      </c>
      <c r="F7" s="38">
        <v>6303.0</v>
      </c>
      <c r="G7" s="38">
        <v>5180.0</v>
      </c>
      <c r="H7" s="38">
        <v>156.0</v>
      </c>
      <c r="I7" s="46">
        <v>45041.0</v>
      </c>
      <c r="J7" s="46">
        <v>45041.0</v>
      </c>
      <c r="K7" s="38">
        <v>4.93</v>
      </c>
      <c r="L7" s="38">
        <v>33.21</v>
      </c>
      <c r="M7" s="38">
        <v>40.4</v>
      </c>
      <c r="N7" s="38">
        <v>0.0</v>
      </c>
      <c r="O7" s="38">
        <v>0.0</v>
      </c>
      <c r="P7" s="12"/>
      <c r="Q7" s="12"/>
      <c r="R7" s="12"/>
      <c r="S7" s="12"/>
      <c r="T7" s="12"/>
      <c r="U7" s="12"/>
      <c r="V7" s="41"/>
      <c r="W7" s="41"/>
      <c r="X7" s="12"/>
      <c r="Y7" s="12"/>
      <c r="Z7" s="12"/>
      <c r="AA7" s="12"/>
      <c r="AB7" s="12"/>
    </row>
    <row r="8" ht="15.75" customHeight="1">
      <c r="A8" s="12" t="s">
        <v>172</v>
      </c>
      <c r="B8" s="12" t="s">
        <v>47</v>
      </c>
      <c r="C8" s="12" t="s">
        <v>53</v>
      </c>
      <c r="D8" s="38">
        <v>47.0</v>
      </c>
      <c r="E8" s="38">
        <v>46.0</v>
      </c>
      <c r="F8" s="38">
        <v>1940.0</v>
      </c>
      <c r="G8" s="38">
        <v>2014.0</v>
      </c>
      <c r="H8" s="38">
        <v>65.0</v>
      </c>
      <c r="I8" s="38" t="s">
        <v>351</v>
      </c>
      <c r="J8" s="38" t="s">
        <v>351</v>
      </c>
      <c r="K8" s="38">
        <v>6.23</v>
      </c>
      <c r="L8" s="38">
        <v>30.98</v>
      </c>
      <c r="M8" s="38">
        <v>29.85</v>
      </c>
      <c r="N8" s="38">
        <v>0.0</v>
      </c>
      <c r="O8" s="38">
        <v>0.0</v>
      </c>
      <c r="P8" s="12"/>
      <c r="Q8" s="12"/>
      <c r="R8" s="12"/>
      <c r="S8" s="12"/>
      <c r="T8" s="12"/>
      <c r="U8" s="12"/>
      <c r="V8" s="41"/>
      <c r="W8" s="41"/>
      <c r="X8" s="12"/>
      <c r="Y8" s="12"/>
      <c r="Z8" s="12"/>
      <c r="AA8" s="12"/>
      <c r="AB8" s="12"/>
    </row>
    <row r="9" ht="15.75" customHeight="1">
      <c r="A9" s="12" t="s">
        <v>173</v>
      </c>
      <c r="B9" s="12" t="s">
        <v>47</v>
      </c>
      <c r="C9" s="12" t="s">
        <v>53</v>
      </c>
      <c r="D9" s="38">
        <v>86.0</v>
      </c>
      <c r="E9" s="38">
        <v>85.0</v>
      </c>
      <c r="F9" s="38">
        <v>4412.0</v>
      </c>
      <c r="G9" s="38">
        <v>3369.0</v>
      </c>
      <c r="H9" s="38">
        <v>144.0</v>
      </c>
      <c r="I9" s="46">
        <v>45096.0</v>
      </c>
      <c r="J9" s="46">
        <v>45096.0</v>
      </c>
      <c r="K9" s="38">
        <v>4.58</v>
      </c>
      <c r="L9" s="38">
        <v>23.4</v>
      </c>
      <c r="M9" s="38">
        <v>30.64</v>
      </c>
      <c r="N9" s="38">
        <v>2.0</v>
      </c>
      <c r="O9" s="38">
        <v>0.0</v>
      </c>
      <c r="P9" s="12"/>
      <c r="Q9" s="12"/>
      <c r="R9" s="12"/>
      <c r="S9" s="12"/>
      <c r="T9" s="12"/>
      <c r="U9" s="12"/>
      <c r="V9" s="41"/>
      <c r="W9" s="41"/>
      <c r="X9" s="12"/>
      <c r="Y9" s="12"/>
      <c r="Z9" s="12"/>
      <c r="AA9" s="12"/>
      <c r="AB9" s="12"/>
    </row>
    <row r="10" ht="15.75" customHeight="1">
      <c r="A10" s="12" t="s">
        <v>174</v>
      </c>
      <c r="B10" s="12" t="s">
        <v>47</v>
      </c>
      <c r="C10" s="12" t="s">
        <v>53</v>
      </c>
      <c r="D10" s="38">
        <v>98.0</v>
      </c>
      <c r="E10" s="38">
        <v>95.0</v>
      </c>
      <c r="F10" s="38">
        <v>4946.0</v>
      </c>
      <c r="G10" s="38">
        <v>4166.0</v>
      </c>
      <c r="H10" s="38">
        <v>164.0</v>
      </c>
      <c r="I10" s="46">
        <v>45102.0</v>
      </c>
      <c r="J10" s="46">
        <v>45102.0</v>
      </c>
      <c r="K10" s="38">
        <v>5.05</v>
      </c>
      <c r="L10" s="38">
        <v>25.4</v>
      </c>
      <c r="M10" s="38">
        <v>30.16</v>
      </c>
      <c r="N10" s="38">
        <v>2.0</v>
      </c>
      <c r="O10" s="38">
        <v>0.0</v>
      </c>
      <c r="P10" s="12"/>
      <c r="Q10" s="12"/>
      <c r="R10" s="12"/>
      <c r="S10" s="12"/>
      <c r="T10" s="12"/>
      <c r="U10" s="12"/>
      <c r="V10" s="41"/>
      <c r="W10" s="41"/>
      <c r="X10" s="12"/>
      <c r="Y10" s="12"/>
      <c r="Z10" s="12"/>
      <c r="AA10" s="12"/>
      <c r="AB10" s="12"/>
    </row>
    <row r="11" ht="15.75" customHeight="1">
      <c r="A11" s="12" t="s">
        <v>175</v>
      </c>
      <c r="B11" s="12" t="s">
        <v>47</v>
      </c>
      <c r="C11" s="12" t="s">
        <v>53</v>
      </c>
      <c r="D11" s="38">
        <v>98.0</v>
      </c>
      <c r="E11" s="38">
        <v>97.0</v>
      </c>
      <c r="F11" s="38">
        <v>4848.0</v>
      </c>
      <c r="G11" s="38">
        <v>4473.0</v>
      </c>
      <c r="H11" s="38">
        <v>187.0</v>
      </c>
      <c r="I11" s="46">
        <v>45064.0</v>
      </c>
      <c r="J11" s="46">
        <v>45064.0</v>
      </c>
      <c r="K11" s="38">
        <v>5.54</v>
      </c>
      <c r="L11" s="38">
        <v>23.92</v>
      </c>
      <c r="M11" s="38">
        <v>25.93</v>
      </c>
      <c r="N11" s="38">
        <v>4.0</v>
      </c>
      <c r="O11" s="38">
        <v>0.0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15.75" customHeight="1">
      <c r="A12" s="12" t="s">
        <v>176</v>
      </c>
      <c r="B12" s="12" t="s">
        <v>47</v>
      </c>
      <c r="C12" s="12" t="s">
        <v>53</v>
      </c>
      <c r="D12" s="38">
        <v>38.0</v>
      </c>
      <c r="E12" s="38">
        <v>37.0</v>
      </c>
      <c r="F12" s="38">
        <v>1693.0</v>
      </c>
      <c r="G12" s="38">
        <v>1399.0</v>
      </c>
      <c r="H12" s="38">
        <v>64.0</v>
      </c>
      <c r="I12" s="46">
        <v>45098.0</v>
      </c>
      <c r="J12" s="46">
        <v>45098.0</v>
      </c>
      <c r="K12" s="38">
        <v>4.96</v>
      </c>
      <c r="L12" s="38">
        <v>21.86</v>
      </c>
      <c r="M12" s="38">
        <v>26.45</v>
      </c>
      <c r="N12" s="38">
        <v>1.0</v>
      </c>
      <c r="O12" s="38">
        <v>0.0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15.75" customHeight="1">
      <c r="A13" s="12" t="s">
        <v>177</v>
      </c>
      <c r="B13" s="12" t="s">
        <v>47</v>
      </c>
      <c r="C13" s="12" t="s">
        <v>53</v>
      </c>
      <c r="D13" s="38">
        <v>17.0</v>
      </c>
      <c r="E13" s="38">
        <v>17.0</v>
      </c>
      <c r="F13" s="38">
        <v>794.0</v>
      </c>
      <c r="G13" s="38">
        <v>742.0</v>
      </c>
      <c r="H13" s="38">
        <v>29.0</v>
      </c>
      <c r="I13" s="46">
        <v>45028.0</v>
      </c>
      <c r="J13" s="46">
        <v>45028.0</v>
      </c>
      <c r="K13" s="38">
        <v>5.61</v>
      </c>
      <c r="L13" s="38">
        <v>25.59</v>
      </c>
      <c r="M13" s="38">
        <v>27.38</v>
      </c>
      <c r="N13" s="38">
        <v>0.0</v>
      </c>
      <c r="O13" s="38">
        <v>0.0</v>
      </c>
      <c r="P13" s="12"/>
      <c r="Q13" s="12"/>
      <c r="R13" s="12"/>
      <c r="S13" s="12"/>
      <c r="T13" s="12"/>
      <c r="U13" s="12"/>
      <c r="V13" s="41"/>
      <c r="W13" s="41"/>
      <c r="X13" s="12"/>
      <c r="Y13" s="12"/>
      <c r="Z13" s="12"/>
      <c r="AA13" s="12"/>
      <c r="AB13" s="12"/>
    </row>
    <row r="14" ht="15.75" customHeight="1">
      <c r="A14" s="42" t="s">
        <v>178</v>
      </c>
      <c r="B14" s="12" t="s">
        <v>54</v>
      </c>
      <c r="C14" s="12" t="s">
        <v>53</v>
      </c>
      <c r="D14" s="38">
        <v>36.0</v>
      </c>
      <c r="E14" s="38">
        <v>1.0</v>
      </c>
      <c r="F14" s="38">
        <v>37.0</v>
      </c>
      <c r="G14" s="38">
        <v>22.0</v>
      </c>
      <c r="H14" s="38">
        <v>0.0</v>
      </c>
      <c r="I14" s="38" t="s">
        <v>352</v>
      </c>
      <c r="J14" s="38" t="s">
        <v>352</v>
      </c>
      <c r="K14" s="38">
        <v>3.57</v>
      </c>
      <c r="L14" s="38">
        <v>0.0</v>
      </c>
      <c r="M14" s="38">
        <v>0.0</v>
      </c>
      <c r="N14" s="38">
        <v>0.0</v>
      </c>
      <c r="O14" s="38">
        <v>0.0</v>
      </c>
      <c r="P14" s="12">
        <f t="shared" ref="P14:R14" si="2">sum(K14:K26)/count(K14:K26)</f>
        <v>5.596923077</v>
      </c>
      <c r="Q14" s="12">
        <f t="shared" si="2"/>
        <v>26.36384615</v>
      </c>
      <c r="R14" s="12">
        <f t="shared" si="2"/>
        <v>26.93846154</v>
      </c>
      <c r="S14" s="12"/>
      <c r="T14" s="12"/>
      <c r="U14" s="12"/>
      <c r="V14" s="41"/>
      <c r="W14" s="41"/>
      <c r="X14" s="12"/>
      <c r="Y14" s="12"/>
      <c r="Z14" s="12"/>
      <c r="AA14" s="12"/>
      <c r="AB14" s="12"/>
    </row>
    <row r="15" ht="15.75" customHeight="1">
      <c r="A15" s="42" t="s">
        <v>179</v>
      </c>
      <c r="B15" s="12" t="s">
        <v>54</v>
      </c>
      <c r="C15" s="12" t="s">
        <v>53</v>
      </c>
      <c r="D15" s="38">
        <v>31.0</v>
      </c>
      <c r="E15" s="38">
        <v>3.0</v>
      </c>
      <c r="F15" s="38">
        <v>42.0</v>
      </c>
      <c r="G15" s="38">
        <v>47.0</v>
      </c>
      <c r="H15" s="38">
        <v>1.0</v>
      </c>
      <c r="I15" s="46">
        <v>44939.0</v>
      </c>
      <c r="J15" s="46">
        <v>44939.0</v>
      </c>
      <c r="K15" s="38">
        <v>6.71</v>
      </c>
      <c r="L15" s="38">
        <v>47.0</v>
      </c>
      <c r="M15" s="38">
        <v>42.0</v>
      </c>
      <c r="N15" s="38">
        <v>0.0</v>
      </c>
      <c r="O15" s="38">
        <v>0.0</v>
      </c>
      <c r="P15" s="12"/>
      <c r="Q15" s="12"/>
      <c r="R15" s="12"/>
      <c r="S15" s="12"/>
      <c r="T15" s="12"/>
      <c r="U15" s="12"/>
      <c r="V15" s="41"/>
      <c r="W15" s="41"/>
      <c r="X15" s="12"/>
      <c r="Y15" s="12"/>
      <c r="Z15" s="12"/>
      <c r="AA15" s="12"/>
      <c r="AB15" s="12"/>
    </row>
    <row r="16" ht="15.75" customHeight="1">
      <c r="A16" s="12" t="s">
        <v>180</v>
      </c>
      <c r="B16" s="12" t="s">
        <v>54</v>
      </c>
      <c r="C16" s="12" t="s">
        <v>53</v>
      </c>
      <c r="D16" s="17">
        <v>63.0</v>
      </c>
      <c r="E16" s="17">
        <v>26.0</v>
      </c>
      <c r="F16" s="17">
        <v>752.0</v>
      </c>
      <c r="G16" s="17">
        <v>738.0</v>
      </c>
      <c r="H16" s="17">
        <v>16.0</v>
      </c>
      <c r="I16" s="47">
        <v>44975.0</v>
      </c>
      <c r="J16" s="47">
        <v>44975.0</v>
      </c>
      <c r="K16" s="17">
        <v>5.89</v>
      </c>
      <c r="L16" s="17">
        <v>46.12</v>
      </c>
      <c r="M16" s="17">
        <v>47.0</v>
      </c>
      <c r="N16" s="17">
        <v>0.0</v>
      </c>
      <c r="O16" s="17">
        <v>0.0</v>
      </c>
      <c r="P16" s="12"/>
      <c r="Q16" s="12"/>
      <c r="R16" s="12"/>
      <c r="S16" s="12"/>
      <c r="T16" s="12"/>
      <c r="U16" s="12"/>
      <c r="V16" s="41"/>
      <c r="W16" s="41"/>
      <c r="X16" s="12"/>
      <c r="Y16" s="12"/>
      <c r="Z16" s="12"/>
      <c r="AA16" s="12"/>
      <c r="AB16" s="12"/>
    </row>
    <row r="17" ht="15.75" customHeight="1">
      <c r="A17" s="12" t="s">
        <v>183</v>
      </c>
      <c r="B17" s="12" t="s">
        <v>54</v>
      </c>
      <c r="C17" s="12" t="s">
        <v>53</v>
      </c>
      <c r="D17" s="17">
        <v>57.0</v>
      </c>
      <c r="E17" s="17">
        <v>1.0</v>
      </c>
      <c r="F17" s="17">
        <v>6.0</v>
      </c>
      <c r="G17" s="17">
        <v>3.0</v>
      </c>
      <c r="H17" s="17">
        <v>1.0</v>
      </c>
      <c r="I17" s="47">
        <v>44929.0</v>
      </c>
      <c r="J17" s="47">
        <v>44929.0</v>
      </c>
      <c r="K17" s="17">
        <v>3.0</v>
      </c>
      <c r="L17" s="17">
        <v>3.0</v>
      </c>
      <c r="M17" s="17">
        <v>6.0</v>
      </c>
      <c r="N17" s="17">
        <v>0.0</v>
      </c>
      <c r="O17" s="17">
        <v>0.0</v>
      </c>
      <c r="P17" s="12"/>
      <c r="Q17" s="12"/>
      <c r="R17" s="12"/>
      <c r="S17" s="12"/>
      <c r="T17" s="12"/>
      <c r="U17" s="12"/>
      <c r="V17" s="41"/>
      <c r="W17" s="41"/>
      <c r="X17" s="12"/>
      <c r="Y17" s="12"/>
      <c r="Z17" s="12"/>
      <c r="AA17" s="12"/>
      <c r="AB17" s="12"/>
    </row>
    <row r="18" ht="15.75" customHeight="1">
      <c r="A18" s="12" t="s">
        <v>185</v>
      </c>
      <c r="B18" s="12" t="s">
        <v>54</v>
      </c>
      <c r="C18" s="12" t="s">
        <v>53</v>
      </c>
      <c r="D18" s="17">
        <v>22.0</v>
      </c>
      <c r="E18" s="17">
        <v>22.0</v>
      </c>
      <c r="F18" s="17">
        <v>1050.0</v>
      </c>
      <c r="G18" s="17">
        <v>1103.0</v>
      </c>
      <c r="H18" s="17">
        <v>35.0</v>
      </c>
      <c r="I18" s="12" t="s">
        <v>353</v>
      </c>
      <c r="J18" s="12" t="s">
        <v>353</v>
      </c>
      <c r="K18" s="17">
        <v>6.3</v>
      </c>
      <c r="L18" s="17">
        <v>31.51</v>
      </c>
      <c r="M18" s="17">
        <v>30.0</v>
      </c>
      <c r="N18" s="17">
        <v>1.0</v>
      </c>
      <c r="O18" s="17">
        <v>0.0</v>
      </c>
      <c r="P18" s="12"/>
      <c r="Q18" s="12"/>
      <c r="R18" s="12"/>
      <c r="S18" s="12"/>
      <c r="T18" s="12"/>
      <c r="U18" s="12"/>
      <c r="V18" s="41"/>
      <c r="W18" s="41"/>
      <c r="X18" s="12"/>
      <c r="Y18" s="12"/>
      <c r="Z18" s="12"/>
      <c r="AA18" s="12"/>
      <c r="AB18" s="12"/>
    </row>
    <row r="19" ht="15.75" customHeight="1">
      <c r="A19" s="12" t="s">
        <v>187</v>
      </c>
      <c r="B19" s="12" t="s">
        <v>54</v>
      </c>
      <c r="C19" s="12" t="s">
        <v>53</v>
      </c>
      <c r="D19" s="17">
        <v>76.0</v>
      </c>
      <c r="E19" s="17">
        <v>71.0</v>
      </c>
      <c r="F19" s="17">
        <v>2947.0</v>
      </c>
      <c r="G19" s="17">
        <v>2837.0</v>
      </c>
      <c r="H19" s="17">
        <v>89.0</v>
      </c>
      <c r="I19" s="47">
        <v>45038.0</v>
      </c>
      <c r="J19" s="47">
        <v>45038.0</v>
      </c>
      <c r="K19" s="17">
        <v>5.78</v>
      </c>
      <c r="L19" s="17">
        <v>31.88</v>
      </c>
      <c r="M19" s="17">
        <v>33.11</v>
      </c>
      <c r="N19" s="17">
        <v>0.0</v>
      </c>
      <c r="O19" s="17">
        <v>0.0</v>
      </c>
      <c r="P19" s="12"/>
      <c r="Q19" s="12"/>
      <c r="R19" s="12"/>
      <c r="S19" s="12"/>
      <c r="T19" s="12"/>
      <c r="U19" s="12"/>
      <c r="V19" s="41"/>
      <c r="W19" s="41"/>
      <c r="X19" s="12"/>
      <c r="Y19" s="12"/>
      <c r="Z19" s="12"/>
      <c r="AA19" s="12"/>
      <c r="AB19" s="12"/>
    </row>
    <row r="20" ht="15.75" customHeight="1">
      <c r="A20" s="12" t="s">
        <v>191</v>
      </c>
      <c r="B20" s="12" t="s">
        <v>54</v>
      </c>
      <c r="C20" s="12" t="s">
        <v>53</v>
      </c>
      <c r="D20" s="17">
        <v>49.0</v>
      </c>
      <c r="E20" s="17">
        <v>2.0</v>
      </c>
      <c r="F20" s="17">
        <v>30.0</v>
      </c>
      <c r="G20" s="17">
        <v>33.0</v>
      </c>
      <c r="H20" s="17">
        <v>0.0</v>
      </c>
      <c r="I20" s="12" t="s">
        <v>354</v>
      </c>
      <c r="J20" s="12" t="s">
        <v>354</v>
      </c>
      <c r="K20" s="17">
        <v>6.6</v>
      </c>
      <c r="L20" s="17">
        <v>0.0</v>
      </c>
      <c r="M20" s="17">
        <v>0.0</v>
      </c>
      <c r="N20" s="17">
        <v>0.0</v>
      </c>
      <c r="O20" s="17">
        <v>0.0</v>
      </c>
      <c r="P20" s="12"/>
      <c r="Q20" s="12"/>
      <c r="R20" s="12"/>
      <c r="S20" s="12"/>
      <c r="T20" s="12"/>
      <c r="U20" s="12"/>
      <c r="V20" s="41"/>
      <c r="W20" s="41"/>
      <c r="X20" s="12"/>
      <c r="Y20" s="12"/>
      <c r="Z20" s="12"/>
      <c r="AA20" s="12"/>
      <c r="AB20" s="12"/>
    </row>
    <row r="21" ht="15.75" customHeight="1">
      <c r="A21" s="12" t="s">
        <v>193</v>
      </c>
      <c r="B21" s="12" t="s">
        <v>54</v>
      </c>
      <c r="C21" s="12" t="s">
        <v>53</v>
      </c>
      <c r="D21" s="17">
        <v>12.0</v>
      </c>
      <c r="E21" s="17">
        <v>12.0</v>
      </c>
      <c r="F21" s="17">
        <v>552.0</v>
      </c>
      <c r="G21" s="17">
        <v>629.0</v>
      </c>
      <c r="H21" s="17">
        <v>25.0</v>
      </c>
      <c r="I21" s="12" t="s">
        <v>355</v>
      </c>
      <c r="J21" s="12" t="s">
        <v>355</v>
      </c>
      <c r="K21" s="14">
        <v>6.84</v>
      </c>
      <c r="L21" s="17">
        <v>25.16</v>
      </c>
      <c r="M21" s="17">
        <v>22.08</v>
      </c>
      <c r="N21" s="17">
        <v>0.0</v>
      </c>
      <c r="O21" s="17">
        <v>0.0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ht="15.75" customHeight="1">
      <c r="A22" s="12" t="s">
        <v>195</v>
      </c>
      <c r="B22" s="12" t="s">
        <v>54</v>
      </c>
      <c r="C22" s="12" t="s">
        <v>53</v>
      </c>
      <c r="D22" s="17">
        <v>39.0</v>
      </c>
      <c r="E22" s="17">
        <v>38.0</v>
      </c>
      <c r="F22" s="17">
        <v>1958.0</v>
      </c>
      <c r="G22" s="17">
        <v>1530.0</v>
      </c>
      <c r="H22" s="17">
        <v>49.0</v>
      </c>
      <c r="I22" s="12" t="s">
        <v>356</v>
      </c>
      <c r="J22" s="12" t="s">
        <v>356</v>
      </c>
      <c r="K22" s="14">
        <v>4.69</v>
      </c>
      <c r="L22" s="17">
        <v>31.22</v>
      </c>
      <c r="M22" s="17">
        <v>39.96</v>
      </c>
      <c r="N22" s="17">
        <v>0.0</v>
      </c>
      <c r="O22" s="17">
        <v>0.0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ht="15.75" customHeight="1">
      <c r="A23" s="12" t="s">
        <v>197</v>
      </c>
      <c r="B23" s="12" t="s">
        <v>54</v>
      </c>
      <c r="C23" s="12" t="s">
        <v>53</v>
      </c>
      <c r="D23" s="17">
        <v>55.0</v>
      </c>
      <c r="E23" s="17">
        <v>54.0</v>
      </c>
      <c r="F23" s="17">
        <v>2568.0</v>
      </c>
      <c r="G23" s="17">
        <v>2439.0</v>
      </c>
      <c r="H23" s="17">
        <v>86.0</v>
      </c>
      <c r="I23" s="12" t="s">
        <v>357</v>
      </c>
      <c r="J23" s="12" t="s">
        <v>357</v>
      </c>
      <c r="K23" s="14">
        <v>5.7</v>
      </c>
      <c r="L23" s="17">
        <v>28.36</v>
      </c>
      <c r="M23" s="17">
        <v>29.86</v>
      </c>
      <c r="N23" s="17">
        <v>1.0</v>
      </c>
      <c r="O23" s="17">
        <v>0.0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ht="15.75" customHeight="1">
      <c r="A24" s="12" t="s">
        <v>199</v>
      </c>
      <c r="B24" s="12" t="s">
        <v>54</v>
      </c>
      <c r="C24" s="12" t="s">
        <v>53</v>
      </c>
      <c r="D24" s="17">
        <v>99.0</v>
      </c>
      <c r="E24" s="17">
        <v>97.0</v>
      </c>
      <c r="F24" s="17">
        <v>5075.0</v>
      </c>
      <c r="G24" s="17">
        <v>4280.0</v>
      </c>
      <c r="H24" s="17">
        <v>156.0</v>
      </c>
      <c r="I24" s="47">
        <v>45093.0</v>
      </c>
      <c r="J24" s="47">
        <v>45093.0</v>
      </c>
      <c r="K24" s="14">
        <v>5.06</v>
      </c>
      <c r="L24" s="17">
        <v>27.44</v>
      </c>
      <c r="M24" s="17">
        <v>32.53</v>
      </c>
      <c r="N24" s="17">
        <v>2.0</v>
      </c>
      <c r="O24" s="17">
        <v>0.0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ht="15.75" customHeight="1">
      <c r="A25" s="12" t="s">
        <v>201</v>
      </c>
      <c r="B25" s="12" t="s">
        <v>54</v>
      </c>
      <c r="C25" s="12" t="s">
        <v>53</v>
      </c>
      <c r="D25" s="17">
        <v>49.0</v>
      </c>
      <c r="E25" s="17">
        <v>46.0</v>
      </c>
      <c r="F25" s="17">
        <v>2403.0</v>
      </c>
      <c r="G25" s="17">
        <v>2220.0</v>
      </c>
      <c r="H25" s="17">
        <v>70.0</v>
      </c>
      <c r="I25" s="12" t="s">
        <v>358</v>
      </c>
      <c r="J25" s="12" t="s">
        <v>358</v>
      </c>
      <c r="K25" s="14">
        <v>5.54</v>
      </c>
      <c r="L25" s="17">
        <v>31.71</v>
      </c>
      <c r="M25" s="17">
        <v>34.33</v>
      </c>
      <c r="N25" s="17">
        <v>1.0</v>
      </c>
      <c r="O25" s="17">
        <v>0.0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ht="15.75" customHeight="1">
      <c r="A26" s="12" t="s">
        <v>203</v>
      </c>
      <c r="B26" s="12" t="s">
        <v>54</v>
      </c>
      <c r="C26" s="12" t="s">
        <v>53</v>
      </c>
      <c r="D26" s="17">
        <v>2.0</v>
      </c>
      <c r="E26" s="17">
        <v>2.0</v>
      </c>
      <c r="F26" s="17">
        <v>100.0</v>
      </c>
      <c r="G26" s="17">
        <v>118.0</v>
      </c>
      <c r="H26" s="17">
        <v>3.0</v>
      </c>
      <c r="I26" s="12" t="s">
        <v>359</v>
      </c>
      <c r="J26" s="12" t="s">
        <v>359</v>
      </c>
      <c r="K26" s="14">
        <v>7.08</v>
      </c>
      <c r="L26" s="17">
        <v>39.33</v>
      </c>
      <c r="M26" s="17">
        <v>33.33</v>
      </c>
      <c r="N26" s="17">
        <v>0.0</v>
      </c>
      <c r="O26" s="17">
        <v>0.0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ht="15.75" customHeight="1">
      <c r="A27" s="12" t="s">
        <v>206</v>
      </c>
      <c r="B27" s="12" t="s">
        <v>48</v>
      </c>
      <c r="C27" s="12" t="s">
        <v>53</v>
      </c>
      <c r="D27" s="17">
        <v>152.0</v>
      </c>
      <c r="E27" s="17">
        <v>40.0</v>
      </c>
      <c r="F27" s="17">
        <v>1076.0</v>
      </c>
      <c r="G27" s="17">
        <v>971.0</v>
      </c>
      <c r="H27" s="17">
        <v>28.0</v>
      </c>
      <c r="I27" s="47">
        <v>45001.0</v>
      </c>
      <c r="J27" s="47">
        <v>45001.0</v>
      </c>
      <c r="K27" s="17">
        <v>5.41</v>
      </c>
      <c r="L27" s="17">
        <v>34.68</v>
      </c>
      <c r="M27" s="17">
        <v>38.43</v>
      </c>
      <c r="N27" s="17">
        <v>0.0</v>
      </c>
      <c r="O27" s="17">
        <v>0.0</v>
      </c>
      <c r="P27" s="12">
        <f t="shared" ref="P27:R27" si="3">sum(K27:K39)/count(K27:K39)</f>
        <v>5.772307692</v>
      </c>
      <c r="Q27" s="12">
        <f t="shared" si="3"/>
        <v>39.89076923</v>
      </c>
      <c r="R27" s="12">
        <f t="shared" si="3"/>
        <v>41.56384615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ht="15.75" customHeight="1">
      <c r="A28" s="12" t="s">
        <v>208</v>
      </c>
      <c r="B28" s="12" t="s">
        <v>48</v>
      </c>
      <c r="C28" s="12" t="s">
        <v>53</v>
      </c>
      <c r="D28" s="17">
        <v>61.0</v>
      </c>
      <c r="E28" s="17">
        <v>34.0</v>
      </c>
      <c r="F28" s="17">
        <v>975.0</v>
      </c>
      <c r="G28" s="17">
        <v>941.0</v>
      </c>
      <c r="H28" s="17">
        <v>16.0</v>
      </c>
      <c r="I28" s="47">
        <v>44979.0</v>
      </c>
      <c r="J28" s="47">
        <v>44979.0</v>
      </c>
      <c r="K28" s="17">
        <v>5.79</v>
      </c>
      <c r="L28" s="17">
        <v>58.81</v>
      </c>
      <c r="M28" s="17">
        <v>60.94</v>
      </c>
      <c r="N28" s="17">
        <v>0.0</v>
      </c>
      <c r="O28" s="17">
        <v>0.0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ht="15.75" customHeight="1">
      <c r="A29" s="12" t="s">
        <v>210</v>
      </c>
      <c r="B29" s="12" t="s">
        <v>48</v>
      </c>
      <c r="C29" s="12" t="s">
        <v>53</v>
      </c>
      <c r="D29" s="17">
        <v>158.0</v>
      </c>
      <c r="E29" s="17">
        <v>1.0</v>
      </c>
      <c r="F29" s="17">
        <v>6.0</v>
      </c>
      <c r="G29" s="17">
        <v>8.0</v>
      </c>
      <c r="H29" s="17">
        <v>0.0</v>
      </c>
      <c r="I29" s="12" t="s">
        <v>360</v>
      </c>
      <c r="J29" s="12" t="s">
        <v>360</v>
      </c>
      <c r="K29" s="17">
        <v>8.0</v>
      </c>
      <c r="L29" s="17">
        <v>0.0</v>
      </c>
      <c r="M29" s="17">
        <v>0.0</v>
      </c>
      <c r="N29" s="17">
        <v>0.0</v>
      </c>
      <c r="O29" s="17">
        <v>0.0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ht="15.75" customHeight="1">
      <c r="A30" s="12" t="s">
        <v>212</v>
      </c>
      <c r="B30" s="12" t="s">
        <v>48</v>
      </c>
      <c r="C30" s="12" t="s">
        <v>53</v>
      </c>
      <c r="D30" s="17">
        <v>46.0</v>
      </c>
      <c r="E30" s="17">
        <v>10.0</v>
      </c>
      <c r="F30" s="17">
        <v>203.0</v>
      </c>
      <c r="G30" s="17">
        <v>230.0</v>
      </c>
      <c r="H30" s="17">
        <v>2.0</v>
      </c>
      <c r="I30" s="47">
        <v>44976.0</v>
      </c>
      <c r="J30" s="47">
        <v>44976.0</v>
      </c>
      <c r="K30" s="17">
        <v>6.8</v>
      </c>
      <c r="L30" s="17">
        <v>115.0</v>
      </c>
      <c r="M30" s="17">
        <v>101.5</v>
      </c>
      <c r="N30" s="17">
        <v>0.0</v>
      </c>
      <c r="O30" s="17">
        <v>0.0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ht="15.75" customHeight="1">
      <c r="A31" s="12" t="s">
        <v>214</v>
      </c>
      <c r="B31" s="12" t="s">
        <v>48</v>
      </c>
      <c r="C31" s="12" t="s">
        <v>53</v>
      </c>
      <c r="D31" s="17">
        <v>23.0</v>
      </c>
      <c r="E31" s="17">
        <v>21.0</v>
      </c>
      <c r="F31" s="17">
        <v>688.0</v>
      </c>
      <c r="G31" s="17">
        <v>656.0</v>
      </c>
      <c r="H31" s="17">
        <v>16.0</v>
      </c>
      <c r="I31" s="12" t="s">
        <v>350</v>
      </c>
      <c r="J31" s="12" t="s">
        <v>350</v>
      </c>
      <c r="K31" s="17">
        <v>5.72</v>
      </c>
      <c r="L31" s="17">
        <v>41.0</v>
      </c>
      <c r="M31" s="17">
        <v>43.0</v>
      </c>
      <c r="N31" s="17">
        <v>1.0</v>
      </c>
      <c r="O31" s="17">
        <v>0.0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ht="15.75" customHeight="1">
      <c r="A32" s="12" t="s">
        <v>216</v>
      </c>
      <c r="B32" s="12" t="s">
        <v>48</v>
      </c>
      <c r="C32" s="12" t="s">
        <v>53</v>
      </c>
      <c r="D32" s="17">
        <v>86.0</v>
      </c>
      <c r="E32" s="17">
        <v>67.0</v>
      </c>
      <c r="F32" s="17">
        <v>2153.0</v>
      </c>
      <c r="G32" s="17">
        <v>1956.0</v>
      </c>
      <c r="H32" s="17">
        <v>56.0</v>
      </c>
      <c r="I32" s="12" t="s">
        <v>350</v>
      </c>
      <c r="J32" s="12" t="s">
        <v>350</v>
      </c>
      <c r="K32" s="17">
        <v>5.45</v>
      </c>
      <c r="L32" s="17">
        <v>34.93</v>
      </c>
      <c r="M32" s="17">
        <v>38.45</v>
      </c>
      <c r="N32" s="17">
        <v>1.0</v>
      </c>
      <c r="O32" s="17">
        <v>0.0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ht="15.75" customHeight="1">
      <c r="A33" s="12" t="s">
        <v>218</v>
      </c>
      <c r="B33" s="12" t="s">
        <v>48</v>
      </c>
      <c r="C33" s="12" t="s">
        <v>53</v>
      </c>
      <c r="D33" s="17">
        <v>136.0</v>
      </c>
      <c r="E33" s="17">
        <v>108.0</v>
      </c>
      <c r="F33" s="17">
        <v>3623.0</v>
      </c>
      <c r="G33" s="17">
        <v>3314.0</v>
      </c>
      <c r="H33" s="17">
        <v>69.0</v>
      </c>
      <c r="I33" s="12" t="s">
        <v>361</v>
      </c>
      <c r="J33" s="12" t="s">
        <v>361</v>
      </c>
      <c r="K33" s="17">
        <v>5.49</v>
      </c>
      <c r="L33" s="17">
        <v>48.03</v>
      </c>
      <c r="M33" s="17">
        <v>52.51</v>
      </c>
      <c r="N33" s="17">
        <v>0.0</v>
      </c>
      <c r="O33" s="17">
        <v>0.0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ht="15.75" customHeight="1">
      <c r="A34" s="12" t="s">
        <v>220</v>
      </c>
      <c r="B34" s="12" t="s">
        <v>48</v>
      </c>
      <c r="C34" s="43" t="s">
        <v>53</v>
      </c>
      <c r="D34" s="38">
        <v>69.0</v>
      </c>
      <c r="E34" s="38">
        <v>62.0</v>
      </c>
      <c r="F34" s="38">
        <v>2023.0</v>
      </c>
      <c r="G34" s="38">
        <v>2014.0</v>
      </c>
      <c r="H34" s="38">
        <v>47.0</v>
      </c>
      <c r="I34" s="46">
        <v>45001.0</v>
      </c>
      <c r="J34" s="46">
        <v>45001.0</v>
      </c>
      <c r="K34" s="38">
        <v>5.97</v>
      </c>
      <c r="L34" s="38">
        <v>42.85</v>
      </c>
      <c r="M34" s="38">
        <v>43.04</v>
      </c>
      <c r="N34" s="38">
        <v>0.0</v>
      </c>
      <c r="O34" s="38">
        <v>0.0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ht="15.75" customHeight="1">
      <c r="A35" s="12" t="s">
        <v>221</v>
      </c>
      <c r="B35" s="12" t="s">
        <v>48</v>
      </c>
      <c r="C35" s="43" t="s">
        <v>53</v>
      </c>
      <c r="D35" s="38">
        <v>17.0</v>
      </c>
      <c r="E35" s="38">
        <v>17.0</v>
      </c>
      <c r="F35" s="38">
        <v>789.0</v>
      </c>
      <c r="G35" s="38">
        <v>737.0</v>
      </c>
      <c r="H35" s="38">
        <v>20.0</v>
      </c>
      <c r="I35" s="46">
        <v>45008.0</v>
      </c>
      <c r="J35" s="46">
        <v>45008.0</v>
      </c>
      <c r="K35" s="38">
        <v>5.6</v>
      </c>
      <c r="L35" s="38">
        <v>36.85</v>
      </c>
      <c r="M35" s="38">
        <v>39.45</v>
      </c>
      <c r="N35" s="38">
        <v>0.0</v>
      </c>
      <c r="O35" s="38">
        <v>0.0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15.75" customHeight="1">
      <c r="A36" s="12" t="s">
        <v>225</v>
      </c>
      <c r="B36" s="12" t="s">
        <v>48</v>
      </c>
      <c r="C36" s="12" t="s">
        <v>53</v>
      </c>
      <c r="D36" s="17">
        <v>85.0</v>
      </c>
      <c r="E36" s="17">
        <v>85.0</v>
      </c>
      <c r="F36" s="17">
        <v>4417.0</v>
      </c>
      <c r="G36" s="17">
        <v>3901.0</v>
      </c>
      <c r="H36" s="17">
        <v>136.0</v>
      </c>
      <c r="I36" s="12" t="s">
        <v>362</v>
      </c>
      <c r="J36" s="12" t="s">
        <v>362</v>
      </c>
      <c r="K36" s="17">
        <v>5.3</v>
      </c>
      <c r="L36" s="17">
        <v>28.68</v>
      </c>
      <c r="M36" s="17">
        <v>32.48</v>
      </c>
      <c r="N36" s="17">
        <v>1.0</v>
      </c>
      <c r="O36" s="17">
        <v>0.0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15.75" customHeight="1">
      <c r="A37" s="12" t="s">
        <v>227</v>
      </c>
      <c r="B37" s="12" t="s">
        <v>48</v>
      </c>
      <c r="C37" s="12" t="s">
        <v>53</v>
      </c>
      <c r="D37" s="17">
        <v>82.0</v>
      </c>
      <c r="E37" s="17">
        <v>81.0</v>
      </c>
      <c r="F37" s="17">
        <v>4317.0</v>
      </c>
      <c r="G37" s="17">
        <v>3420.0</v>
      </c>
      <c r="H37" s="17">
        <v>128.0</v>
      </c>
      <c r="I37" s="12" t="s">
        <v>363</v>
      </c>
      <c r="J37" s="12" t="s">
        <v>363</v>
      </c>
      <c r="K37" s="17">
        <v>4.75</v>
      </c>
      <c r="L37" s="17">
        <v>26.72</v>
      </c>
      <c r="M37" s="17">
        <v>33.73</v>
      </c>
      <c r="N37" s="17">
        <v>3.0</v>
      </c>
      <c r="O37" s="17">
        <v>0.0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ht="15.75" customHeight="1">
      <c r="A38" s="12" t="s">
        <v>229</v>
      </c>
      <c r="B38" s="12" t="s">
        <v>48</v>
      </c>
      <c r="C38" s="43" t="s">
        <v>53</v>
      </c>
      <c r="D38" s="38">
        <v>93.0</v>
      </c>
      <c r="E38" s="38">
        <v>93.0</v>
      </c>
      <c r="F38" s="38">
        <v>4890.0</v>
      </c>
      <c r="G38" s="38">
        <v>4511.0</v>
      </c>
      <c r="H38" s="38">
        <v>162.0</v>
      </c>
      <c r="I38" s="38" t="s">
        <v>364</v>
      </c>
      <c r="J38" s="38" t="s">
        <v>364</v>
      </c>
      <c r="K38" s="38">
        <v>5.53</v>
      </c>
      <c r="L38" s="38">
        <v>27.85</v>
      </c>
      <c r="M38" s="38">
        <v>30.19</v>
      </c>
      <c r="N38" s="38">
        <v>1.0</v>
      </c>
      <c r="O38" s="38">
        <v>0.0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ht="15.75" customHeight="1">
      <c r="A39" s="12" t="s">
        <v>230</v>
      </c>
      <c r="B39" s="12" t="s">
        <v>48</v>
      </c>
      <c r="C39" s="12" t="s">
        <v>53</v>
      </c>
      <c r="D39" s="17">
        <v>119.0</v>
      </c>
      <c r="E39" s="17">
        <v>119.0</v>
      </c>
      <c r="F39" s="17">
        <v>6120.0</v>
      </c>
      <c r="G39" s="17">
        <v>5332.0</v>
      </c>
      <c r="H39" s="17">
        <v>230.0</v>
      </c>
      <c r="I39" s="47">
        <v>45105.0</v>
      </c>
      <c r="J39" s="47">
        <v>45105.0</v>
      </c>
      <c r="K39" s="17">
        <v>5.23</v>
      </c>
      <c r="L39" s="17">
        <v>23.18</v>
      </c>
      <c r="M39" s="17">
        <v>26.61</v>
      </c>
      <c r="N39" s="17">
        <v>9.0</v>
      </c>
      <c r="O39" s="17">
        <v>0.0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ht="15.75" customHeight="1">
      <c r="A40" s="12" t="s">
        <v>232</v>
      </c>
      <c r="B40" s="12" t="s">
        <v>56</v>
      </c>
      <c r="C40" s="12" t="s">
        <v>53</v>
      </c>
      <c r="D40" s="17">
        <v>163.0</v>
      </c>
      <c r="E40" s="17">
        <v>65.0</v>
      </c>
      <c r="F40" s="17">
        <v>1467.0</v>
      </c>
      <c r="G40" s="17">
        <v>1310.0</v>
      </c>
      <c r="H40" s="17">
        <v>37.0</v>
      </c>
      <c r="I40" s="47">
        <v>45038.0</v>
      </c>
      <c r="J40" s="47">
        <v>45038.0</v>
      </c>
      <c r="K40" s="17">
        <v>5.36</v>
      </c>
      <c r="L40" s="17">
        <v>35.41</v>
      </c>
      <c r="M40" s="17">
        <v>39.65</v>
      </c>
      <c r="N40" s="17">
        <v>0.0</v>
      </c>
      <c r="O40" s="17">
        <v>0.0</v>
      </c>
      <c r="P40" s="12">
        <f t="shared" ref="P40:R40" si="4">sum(K40:K50)/count(K40:K50)</f>
        <v>5.574545455</v>
      </c>
      <c r="Q40" s="12">
        <f t="shared" si="4"/>
        <v>33.23272727</v>
      </c>
      <c r="R40" s="12">
        <f t="shared" si="4"/>
        <v>35.72636364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ht="15.75" customHeight="1">
      <c r="A41" s="12" t="s">
        <v>235</v>
      </c>
      <c r="B41" s="12" t="s">
        <v>56</v>
      </c>
      <c r="C41" s="12" t="s">
        <v>53</v>
      </c>
      <c r="D41" s="17">
        <v>28.0</v>
      </c>
      <c r="E41" s="17">
        <v>18.0</v>
      </c>
      <c r="F41" s="17">
        <v>426.0</v>
      </c>
      <c r="G41" s="17">
        <v>435.0</v>
      </c>
      <c r="H41" s="17">
        <v>12.0</v>
      </c>
      <c r="I41" s="12" t="s">
        <v>365</v>
      </c>
      <c r="J41" s="12" t="s">
        <v>365</v>
      </c>
      <c r="K41" s="17">
        <v>6.13</v>
      </c>
      <c r="L41" s="17">
        <v>36.25</v>
      </c>
      <c r="M41" s="17">
        <v>35.5</v>
      </c>
      <c r="N41" s="17">
        <v>0.0</v>
      </c>
      <c r="O41" s="17">
        <v>0.0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ht="15.75" customHeight="1">
      <c r="A42" s="12" t="s">
        <v>238</v>
      </c>
      <c r="B42" s="12" t="s">
        <v>56</v>
      </c>
      <c r="C42" s="12" t="s">
        <v>53</v>
      </c>
      <c r="D42" s="17">
        <v>37.0</v>
      </c>
      <c r="E42" s="17">
        <v>14.0</v>
      </c>
      <c r="F42" s="17">
        <v>291.0</v>
      </c>
      <c r="G42" s="17">
        <v>275.0</v>
      </c>
      <c r="H42" s="17">
        <v>13.0</v>
      </c>
      <c r="I42" s="47">
        <v>45010.0</v>
      </c>
      <c r="J42" s="47">
        <v>45010.0</v>
      </c>
      <c r="K42" s="17">
        <v>5.67</v>
      </c>
      <c r="L42" s="17">
        <v>21.15</v>
      </c>
      <c r="M42" s="17">
        <v>22.38</v>
      </c>
      <c r="N42" s="17">
        <v>0.0</v>
      </c>
      <c r="O42" s="17">
        <v>0.0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ht="15.75" customHeight="1">
      <c r="A43" s="12" t="s">
        <v>240</v>
      </c>
      <c r="B43" s="12" t="s">
        <v>56</v>
      </c>
      <c r="C43" s="12" t="s">
        <v>53</v>
      </c>
      <c r="D43" s="17">
        <v>76.0</v>
      </c>
      <c r="E43" s="17">
        <v>72.0</v>
      </c>
      <c r="F43" s="17">
        <v>2448.0</v>
      </c>
      <c r="G43" s="17">
        <v>2556.0</v>
      </c>
      <c r="H43" s="17">
        <v>71.0</v>
      </c>
      <c r="I43" s="47">
        <v>45073.0</v>
      </c>
      <c r="J43" s="47">
        <v>45073.0</v>
      </c>
      <c r="K43" s="17">
        <v>6.26</v>
      </c>
      <c r="L43" s="17">
        <v>36.0</v>
      </c>
      <c r="M43" s="17">
        <v>34.48</v>
      </c>
      <c r="N43" s="17">
        <v>2.0</v>
      </c>
      <c r="O43" s="17">
        <v>0.0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ht="15.75" customHeight="1">
      <c r="A44" s="12" t="s">
        <v>242</v>
      </c>
      <c r="B44" s="12" t="s">
        <v>56</v>
      </c>
      <c r="C44" s="12" t="s">
        <v>53</v>
      </c>
      <c r="D44" s="17">
        <v>20.0</v>
      </c>
      <c r="E44" s="17">
        <v>16.0</v>
      </c>
      <c r="F44" s="17">
        <v>705.0</v>
      </c>
      <c r="G44" s="17">
        <v>719.0</v>
      </c>
      <c r="H44" s="17">
        <v>15.0</v>
      </c>
      <c r="I44" s="12" t="s">
        <v>366</v>
      </c>
      <c r="J44" s="12" t="s">
        <v>366</v>
      </c>
      <c r="K44" s="17">
        <v>6.12</v>
      </c>
      <c r="L44" s="17">
        <v>47.93</v>
      </c>
      <c r="M44" s="17">
        <v>47.0</v>
      </c>
      <c r="N44" s="17">
        <v>0.0</v>
      </c>
      <c r="O44" s="17">
        <v>0.0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ht="15.75" customHeight="1">
      <c r="A45" s="12" t="s">
        <v>244</v>
      </c>
      <c r="B45" s="12" t="s">
        <v>56</v>
      </c>
      <c r="C45" s="12" t="s">
        <v>53</v>
      </c>
      <c r="D45" s="17">
        <v>102.0</v>
      </c>
      <c r="E45" s="17">
        <v>97.0</v>
      </c>
      <c r="F45" s="17">
        <v>4755.0</v>
      </c>
      <c r="G45" s="17">
        <v>3887.0</v>
      </c>
      <c r="H45" s="17">
        <v>105.0</v>
      </c>
      <c r="I45" s="12" t="s">
        <v>367</v>
      </c>
      <c r="J45" s="12" t="s">
        <v>367</v>
      </c>
      <c r="K45" s="17">
        <v>4.9</v>
      </c>
      <c r="L45" s="17">
        <v>37.02</v>
      </c>
      <c r="M45" s="17">
        <v>45.29</v>
      </c>
      <c r="N45" s="17">
        <v>2.0</v>
      </c>
      <c r="O45" s="17">
        <v>0.0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ht="15.75" customHeight="1">
      <c r="A46" s="12" t="s">
        <v>249</v>
      </c>
      <c r="B46" s="12" t="s">
        <v>56</v>
      </c>
      <c r="C46" s="12" t="s">
        <v>53</v>
      </c>
      <c r="D46" s="17">
        <v>112.0</v>
      </c>
      <c r="E46" s="17">
        <v>111.0</v>
      </c>
      <c r="F46" s="17">
        <v>6060.0</v>
      </c>
      <c r="G46" s="17">
        <v>5023.0</v>
      </c>
      <c r="H46" s="17">
        <v>207.0</v>
      </c>
      <c r="I46" s="12" t="s">
        <v>368</v>
      </c>
      <c r="J46" s="12" t="s">
        <v>368</v>
      </c>
      <c r="K46" s="17">
        <v>4.97</v>
      </c>
      <c r="L46" s="17">
        <v>24.27</v>
      </c>
      <c r="M46" s="17">
        <v>29.28</v>
      </c>
      <c r="N46" s="17">
        <v>6.0</v>
      </c>
      <c r="O46" s="17">
        <v>0.0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ht="15.75" customHeight="1">
      <c r="A47" s="12" t="s">
        <v>251</v>
      </c>
      <c r="B47" s="12" t="s">
        <v>56</v>
      </c>
      <c r="C47" s="12" t="s">
        <v>53</v>
      </c>
      <c r="D47" s="17">
        <v>63.0</v>
      </c>
      <c r="E47" s="17">
        <v>62.0</v>
      </c>
      <c r="F47" s="17">
        <v>3192.0</v>
      </c>
      <c r="G47" s="17">
        <v>3024.0</v>
      </c>
      <c r="H47" s="17">
        <v>97.0</v>
      </c>
      <c r="I47" s="12" t="s">
        <v>369</v>
      </c>
      <c r="J47" s="12" t="s">
        <v>369</v>
      </c>
      <c r="K47" s="17">
        <v>5.68</v>
      </c>
      <c r="L47" s="17">
        <v>31.18</v>
      </c>
      <c r="M47" s="17">
        <v>32.91</v>
      </c>
      <c r="N47" s="17">
        <v>1.0</v>
      </c>
      <c r="O47" s="17">
        <v>0.0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ht="15.75" customHeight="1">
      <c r="A48" s="12" t="s">
        <v>252</v>
      </c>
      <c r="B48" s="12" t="s">
        <v>56</v>
      </c>
      <c r="C48" s="12" t="s">
        <v>53</v>
      </c>
      <c r="D48" s="17">
        <v>82.0</v>
      </c>
      <c r="E48" s="17">
        <v>80.0</v>
      </c>
      <c r="F48" s="17">
        <v>4277.0</v>
      </c>
      <c r="G48" s="17">
        <v>3722.0</v>
      </c>
      <c r="H48" s="17">
        <v>141.0</v>
      </c>
      <c r="I48" s="47">
        <v>45076.0</v>
      </c>
      <c r="J48" s="47">
        <v>45076.0</v>
      </c>
      <c r="K48" s="17">
        <v>5.22</v>
      </c>
      <c r="L48" s="17">
        <v>26.4</v>
      </c>
      <c r="M48" s="17">
        <v>30.33</v>
      </c>
      <c r="N48" s="17">
        <v>2.0</v>
      </c>
      <c r="O48" s="17">
        <v>0.0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ht="15.75" customHeight="1">
      <c r="A49" s="12" t="s">
        <v>253</v>
      </c>
      <c r="B49" s="12" t="s">
        <v>56</v>
      </c>
      <c r="C49" s="12" t="s">
        <v>53</v>
      </c>
      <c r="D49" s="17">
        <v>50.0</v>
      </c>
      <c r="E49" s="17">
        <v>47.0</v>
      </c>
      <c r="F49" s="17">
        <v>2407.0</v>
      </c>
      <c r="G49" s="17">
        <v>2216.0</v>
      </c>
      <c r="H49" s="17">
        <v>61.0</v>
      </c>
      <c r="I49" s="12" t="s">
        <v>370</v>
      </c>
      <c r="J49" s="12" t="s">
        <v>370</v>
      </c>
      <c r="K49" s="17">
        <v>5.52</v>
      </c>
      <c r="L49" s="17">
        <v>36.33</v>
      </c>
      <c r="M49" s="17">
        <v>39.46</v>
      </c>
      <c r="N49" s="17">
        <v>1.0</v>
      </c>
      <c r="O49" s="17">
        <v>0.0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ht="15.75" customHeight="1">
      <c r="A50" s="12" t="s">
        <v>254</v>
      </c>
      <c r="B50" s="12" t="s">
        <v>56</v>
      </c>
      <c r="C50" s="12" t="s">
        <v>53</v>
      </c>
      <c r="D50" s="17">
        <v>159.0</v>
      </c>
      <c r="E50" s="17">
        <v>157.0</v>
      </c>
      <c r="F50" s="17">
        <v>7967.0</v>
      </c>
      <c r="G50" s="17">
        <v>7295.0</v>
      </c>
      <c r="H50" s="17">
        <v>217.0</v>
      </c>
      <c r="I50" s="12" t="s">
        <v>371</v>
      </c>
      <c r="J50" s="12" t="s">
        <v>371</v>
      </c>
      <c r="K50" s="17">
        <v>5.49</v>
      </c>
      <c r="L50" s="17">
        <v>33.62</v>
      </c>
      <c r="M50" s="17">
        <v>36.71</v>
      </c>
      <c r="N50" s="17">
        <v>3.0</v>
      </c>
      <c r="O50" s="17">
        <v>0.0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ht="15.75" customHeight="1">
      <c r="A51" s="12" t="s">
        <v>257</v>
      </c>
      <c r="B51" s="12" t="s">
        <v>58</v>
      </c>
      <c r="C51" s="12" t="s">
        <v>53</v>
      </c>
      <c r="D51" s="17">
        <v>28.0</v>
      </c>
      <c r="E51" s="17">
        <v>2.0</v>
      </c>
      <c r="F51" s="17">
        <v>15.0</v>
      </c>
      <c r="G51" s="17">
        <v>17.0</v>
      </c>
      <c r="H51" s="17">
        <v>1.0</v>
      </c>
      <c r="I51" s="47">
        <v>44931.0</v>
      </c>
      <c r="J51" s="47">
        <v>44931.0</v>
      </c>
      <c r="K51" s="17">
        <v>6.8</v>
      </c>
      <c r="L51" s="17">
        <v>17.0</v>
      </c>
      <c r="M51" s="17">
        <v>15.0</v>
      </c>
      <c r="N51" s="17">
        <v>0.0</v>
      </c>
      <c r="O51" s="17">
        <v>0.0</v>
      </c>
      <c r="P51" s="12">
        <f t="shared" ref="P51:R51" si="5">sum(K51:K62)/count(K51:K62)</f>
        <v>5.778333333</v>
      </c>
      <c r="Q51" s="12">
        <f t="shared" si="5"/>
        <v>37.89333333</v>
      </c>
      <c r="R51" s="12">
        <f t="shared" si="5"/>
        <v>39.69166667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ht="15.75" customHeight="1">
      <c r="A52" s="12" t="s">
        <v>259</v>
      </c>
      <c r="B52" s="12" t="s">
        <v>58</v>
      </c>
      <c r="C52" s="12" t="s">
        <v>53</v>
      </c>
      <c r="D52" s="17">
        <v>169.0</v>
      </c>
      <c r="E52" s="17">
        <v>72.0</v>
      </c>
      <c r="F52" s="17">
        <v>1638.0</v>
      </c>
      <c r="G52" s="17">
        <v>1586.0</v>
      </c>
      <c r="H52" s="17">
        <v>27.0</v>
      </c>
      <c r="I52" s="12" t="s">
        <v>372</v>
      </c>
      <c r="J52" s="12" t="s">
        <v>372</v>
      </c>
      <c r="K52" s="17">
        <v>5.81</v>
      </c>
      <c r="L52" s="17">
        <v>58.74</v>
      </c>
      <c r="M52" s="17">
        <v>60.67</v>
      </c>
      <c r="N52" s="17">
        <v>0.0</v>
      </c>
      <c r="O52" s="17">
        <v>0.0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ht="15.75" customHeight="1">
      <c r="A53" s="12" t="s">
        <v>261</v>
      </c>
      <c r="B53" s="12" t="s">
        <v>58</v>
      </c>
      <c r="C53" s="12" t="s">
        <v>53</v>
      </c>
      <c r="D53" s="17">
        <v>136.0</v>
      </c>
      <c r="E53" s="17">
        <v>126.0</v>
      </c>
      <c r="F53" s="17">
        <v>5878.0</v>
      </c>
      <c r="G53" s="17">
        <v>5209.0</v>
      </c>
      <c r="H53" s="17">
        <v>106.0</v>
      </c>
      <c r="I53" s="12" t="s">
        <v>373</v>
      </c>
      <c r="J53" s="12" t="s">
        <v>373</v>
      </c>
      <c r="K53" s="17">
        <v>5.32</v>
      </c>
      <c r="L53" s="17">
        <v>49.14</v>
      </c>
      <c r="M53" s="17">
        <v>55.45</v>
      </c>
      <c r="N53" s="17">
        <v>0.0</v>
      </c>
      <c r="O53" s="17">
        <v>0.0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ht="15.75" customHeight="1">
      <c r="A54" s="12" t="s">
        <v>263</v>
      </c>
      <c r="B54" s="12" t="s">
        <v>58</v>
      </c>
      <c r="C54" s="12" t="s">
        <v>53</v>
      </c>
      <c r="D54" s="17">
        <v>22.0</v>
      </c>
      <c r="E54" s="17">
        <v>16.0</v>
      </c>
      <c r="F54" s="17">
        <v>442.0</v>
      </c>
      <c r="G54" s="17">
        <v>400.0</v>
      </c>
      <c r="H54" s="17">
        <v>13.0</v>
      </c>
      <c r="I54" s="47">
        <v>45001.0</v>
      </c>
      <c r="J54" s="47">
        <v>45001.0</v>
      </c>
      <c r="K54" s="17">
        <v>5.43</v>
      </c>
      <c r="L54" s="17">
        <v>30.77</v>
      </c>
      <c r="M54" s="17">
        <v>34.0</v>
      </c>
      <c r="N54" s="17">
        <v>0.0</v>
      </c>
      <c r="O54" s="17">
        <v>0.0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ht="15.75" customHeight="1">
      <c r="A55" s="12" t="s">
        <v>265</v>
      </c>
      <c r="B55" s="12" t="s">
        <v>58</v>
      </c>
      <c r="C55" s="12" t="s">
        <v>53</v>
      </c>
      <c r="D55" s="17">
        <v>112.0</v>
      </c>
      <c r="E55" s="17">
        <v>88.0</v>
      </c>
      <c r="F55" s="17">
        <v>3110.0</v>
      </c>
      <c r="G55" s="17">
        <v>3137.0</v>
      </c>
      <c r="H55" s="17">
        <v>74.0</v>
      </c>
      <c r="I55" s="12" t="s">
        <v>374</v>
      </c>
      <c r="J55" s="12" t="s">
        <v>374</v>
      </c>
      <c r="K55" s="17">
        <v>6.05</v>
      </c>
      <c r="L55" s="17">
        <v>42.39</v>
      </c>
      <c r="M55" s="17">
        <v>42.03</v>
      </c>
      <c r="N55" s="17">
        <v>1.0</v>
      </c>
      <c r="O55" s="17">
        <v>0.0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ht="15.75" customHeight="1">
      <c r="A56" s="12" t="s">
        <v>267</v>
      </c>
      <c r="B56" s="12" t="s">
        <v>58</v>
      </c>
      <c r="C56" s="12" t="s">
        <v>53</v>
      </c>
      <c r="D56" s="17">
        <v>29.0</v>
      </c>
      <c r="E56" s="17">
        <v>29.0</v>
      </c>
      <c r="F56" s="17">
        <v>1152.0</v>
      </c>
      <c r="G56" s="17">
        <v>1170.0</v>
      </c>
      <c r="H56" s="17">
        <v>30.0</v>
      </c>
      <c r="I56" s="12" t="s">
        <v>375</v>
      </c>
      <c r="J56" s="12" t="s">
        <v>375</v>
      </c>
      <c r="K56" s="17">
        <v>6.09</v>
      </c>
      <c r="L56" s="17">
        <v>39.0</v>
      </c>
      <c r="M56" s="17">
        <v>38.4</v>
      </c>
      <c r="N56" s="17">
        <v>1.0</v>
      </c>
      <c r="O56" s="17">
        <v>0.0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ht="15.75" customHeight="1">
      <c r="A57" s="12" t="s">
        <v>268</v>
      </c>
      <c r="B57" s="12" t="s">
        <v>58</v>
      </c>
      <c r="C57" s="43" t="s">
        <v>53</v>
      </c>
      <c r="D57" s="38">
        <v>71.0</v>
      </c>
      <c r="E57" s="38">
        <v>70.0</v>
      </c>
      <c r="F57" s="38">
        <v>3128.0</v>
      </c>
      <c r="G57" s="38">
        <v>2900.0</v>
      </c>
      <c r="H57" s="38">
        <v>95.0</v>
      </c>
      <c r="I57" s="46">
        <v>45076.0</v>
      </c>
      <c r="J57" s="46">
        <v>45076.0</v>
      </c>
      <c r="K57" s="38">
        <v>5.56</v>
      </c>
      <c r="L57" s="38">
        <v>30.53</v>
      </c>
      <c r="M57" s="38">
        <v>32.93</v>
      </c>
      <c r="N57" s="38">
        <v>1.0</v>
      </c>
      <c r="O57" s="38">
        <v>0.0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ht="15.75" customHeight="1">
      <c r="A58" s="12" t="s">
        <v>269</v>
      </c>
      <c r="B58" s="12" t="s">
        <v>58</v>
      </c>
      <c r="C58" s="12" t="s">
        <v>53</v>
      </c>
      <c r="D58" s="17">
        <v>120.0</v>
      </c>
      <c r="E58" s="17">
        <v>116.0</v>
      </c>
      <c r="F58" s="17">
        <v>5662.0</v>
      </c>
      <c r="G58" s="17">
        <v>5147.0</v>
      </c>
      <c r="H58" s="17">
        <v>171.0</v>
      </c>
      <c r="I58" s="12" t="s">
        <v>376</v>
      </c>
      <c r="J58" s="12" t="s">
        <v>376</v>
      </c>
      <c r="K58" s="17">
        <v>5.45</v>
      </c>
      <c r="L58" s="17">
        <v>30.1</v>
      </c>
      <c r="M58" s="17">
        <v>33.11</v>
      </c>
      <c r="N58" s="17">
        <v>3.0</v>
      </c>
      <c r="O58" s="17">
        <v>0.0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ht="15.75" customHeight="1">
      <c r="A59" s="12" t="s">
        <v>274</v>
      </c>
      <c r="B59" s="12" t="s">
        <v>58</v>
      </c>
      <c r="C59" s="43" t="s">
        <v>53</v>
      </c>
      <c r="D59" s="38">
        <v>4.0</v>
      </c>
      <c r="E59" s="38">
        <v>4.0</v>
      </c>
      <c r="F59" s="38">
        <v>156.0</v>
      </c>
      <c r="G59" s="38">
        <v>154.0</v>
      </c>
      <c r="H59" s="38">
        <v>3.0</v>
      </c>
      <c r="I59" s="38" t="s">
        <v>377</v>
      </c>
      <c r="J59" s="38" t="s">
        <v>377</v>
      </c>
      <c r="K59" s="38">
        <v>5.92</v>
      </c>
      <c r="L59" s="38">
        <v>51.33</v>
      </c>
      <c r="M59" s="38">
        <v>52.0</v>
      </c>
      <c r="N59" s="38">
        <v>0.0</v>
      </c>
      <c r="O59" s="38">
        <v>0.0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ht="15.75" customHeight="1">
      <c r="A60" s="12" t="s">
        <v>275</v>
      </c>
      <c r="B60" s="12" t="s">
        <v>58</v>
      </c>
      <c r="C60" s="12" t="s">
        <v>53</v>
      </c>
      <c r="D60" s="17">
        <v>133.0</v>
      </c>
      <c r="E60" s="17">
        <v>127.0</v>
      </c>
      <c r="F60" s="17">
        <v>6681.0</v>
      </c>
      <c r="G60" s="17">
        <v>6268.0</v>
      </c>
      <c r="H60" s="17">
        <v>194.0</v>
      </c>
      <c r="I60" s="47">
        <v>45073.0</v>
      </c>
      <c r="J60" s="47">
        <v>45073.0</v>
      </c>
      <c r="K60" s="17">
        <v>5.63</v>
      </c>
      <c r="L60" s="17">
        <v>32.31</v>
      </c>
      <c r="M60" s="17">
        <v>34.44</v>
      </c>
      <c r="N60" s="17">
        <v>2.0</v>
      </c>
      <c r="O60" s="17">
        <v>0.0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ht="15.75" customHeight="1">
      <c r="A61" s="12" t="s">
        <v>277</v>
      </c>
      <c r="B61" s="12" t="s">
        <v>58</v>
      </c>
      <c r="C61" s="12" t="s">
        <v>53</v>
      </c>
      <c r="D61" s="17">
        <v>66.0</v>
      </c>
      <c r="E61" s="17">
        <v>65.0</v>
      </c>
      <c r="F61" s="17">
        <v>3299.0</v>
      </c>
      <c r="G61" s="17">
        <v>3040.0</v>
      </c>
      <c r="H61" s="17">
        <v>77.0</v>
      </c>
      <c r="I61" s="12" t="s">
        <v>356</v>
      </c>
      <c r="J61" s="12" t="s">
        <v>356</v>
      </c>
      <c r="K61" s="17">
        <v>5.53</v>
      </c>
      <c r="L61" s="17">
        <v>39.48</v>
      </c>
      <c r="M61" s="17">
        <v>42.84</v>
      </c>
      <c r="N61" s="17">
        <v>0.0</v>
      </c>
      <c r="O61" s="17">
        <v>0.0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ht="15.75" customHeight="1">
      <c r="A62" s="12" t="s">
        <v>278</v>
      </c>
      <c r="B62" s="12" t="s">
        <v>58</v>
      </c>
      <c r="C62" s="43" t="s">
        <v>53</v>
      </c>
      <c r="D62" s="38">
        <v>12.0</v>
      </c>
      <c r="E62" s="38">
        <v>11.0</v>
      </c>
      <c r="F62" s="38">
        <v>496.0</v>
      </c>
      <c r="G62" s="38">
        <v>475.0</v>
      </c>
      <c r="H62" s="38">
        <v>14.0</v>
      </c>
      <c r="I62" s="38" t="s">
        <v>374</v>
      </c>
      <c r="J62" s="38" t="s">
        <v>374</v>
      </c>
      <c r="K62" s="38">
        <v>5.75</v>
      </c>
      <c r="L62" s="38">
        <v>33.93</v>
      </c>
      <c r="M62" s="38">
        <v>35.43</v>
      </c>
      <c r="N62" s="38">
        <v>1.0</v>
      </c>
      <c r="O62" s="38">
        <v>0.0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ht="15.75" customHeight="1">
      <c r="A63" s="12" t="s">
        <v>282</v>
      </c>
      <c r="B63" s="45" t="s">
        <v>59</v>
      </c>
      <c r="C63" s="12" t="s">
        <v>53</v>
      </c>
      <c r="D63" s="17">
        <v>81.0</v>
      </c>
      <c r="E63" s="17">
        <v>7.0</v>
      </c>
      <c r="F63" s="17">
        <v>135.0</v>
      </c>
      <c r="G63" s="17">
        <v>111.0</v>
      </c>
      <c r="H63" s="17">
        <v>1.0</v>
      </c>
      <c r="I63" s="47">
        <v>44945.0</v>
      </c>
      <c r="J63" s="47">
        <v>44945.0</v>
      </c>
      <c r="K63" s="17">
        <v>4.93</v>
      </c>
      <c r="L63" s="17">
        <v>111.0</v>
      </c>
      <c r="M63" s="17">
        <v>135.0</v>
      </c>
      <c r="N63" s="17">
        <v>0.0</v>
      </c>
      <c r="O63" s="17">
        <v>0.0</v>
      </c>
      <c r="P63" s="12">
        <f t="shared" ref="P63:R63" si="6">sum(K63:K73)/count(K63:K73)</f>
        <v>5.425454545</v>
      </c>
      <c r="Q63" s="12">
        <f t="shared" si="6"/>
        <v>46.03272727</v>
      </c>
      <c r="R63" s="12">
        <f t="shared" si="6"/>
        <v>51.62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ht="15.75" customHeight="1">
      <c r="A64" s="12" t="s">
        <v>285</v>
      </c>
      <c r="B64" s="45" t="s">
        <v>59</v>
      </c>
      <c r="C64" s="12" t="s">
        <v>53</v>
      </c>
      <c r="D64" s="17">
        <v>27.0</v>
      </c>
      <c r="E64" s="17">
        <v>21.0</v>
      </c>
      <c r="F64" s="17">
        <v>754.0</v>
      </c>
      <c r="G64" s="17">
        <v>704.0</v>
      </c>
      <c r="H64" s="17">
        <v>15.0</v>
      </c>
      <c r="I64" s="12" t="s">
        <v>378</v>
      </c>
      <c r="J64" s="12" t="s">
        <v>378</v>
      </c>
      <c r="K64" s="17">
        <v>5.6</v>
      </c>
      <c r="L64" s="17">
        <v>46.93</v>
      </c>
      <c r="M64" s="17">
        <v>50.27</v>
      </c>
      <c r="N64" s="17">
        <v>1.0</v>
      </c>
      <c r="O64" s="17">
        <v>0.0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ht="15.75" customHeight="1">
      <c r="A65" s="12" t="s">
        <v>286</v>
      </c>
      <c r="B65" s="45" t="s">
        <v>59</v>
      </c>
      <c r="C65" s="12" t="s">
        <v>53</v>
      </c>
      <c r="D65" s="17">
        <v>20.0</v>
      </c>
      <c r="E65" s="17">
        <v>14.0</v>
      </c>
      <c r="F65" s="17">
        <v>396.0</v>
      </c>
      <c r="G65" s="17">
        <v>374.0</v>
      </c>
      <c r="H65" s="17">
        <v>4.0</v>
      </c>
      <c r="I65" s="12" t="s">
        <v>379</v>
      </c>
      <c r="J65" s="12" t="s">
        <v>379</v>
      </c>
      <c r="K65" s="17">
        <v>5.67</v>
      </c>
      <c r="L65" s="17">
        <v>93.5</v>
      </c>
      <c r="M65" s="17">
        <v>99.0</v>
      </c>
      <c r="N65" s="17">
        <v>0.0</v>
      </c>
      <c r="O65" s="17">
        <v>0.0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ht="15.75" customHeight="1">
      <c r="A66" s="12" t="s">
        <v>288</v>
      </c>
      <c r="B66" s="45" t="s">
        <v>59</v>
      </c>
      <c r="C66" s="12" t="s">
        <v>53</v>
      </c>
      <c r="D66" s="17">
        <v>14.0</v>
      </c>
      <c r="E66" s="17">
        <v>3.0</v>
      </c>
      <c r="F66" s="17">
        <v>47.0</v>
      </c>
      <c r="G66" s="17">
        <v>37.0</v>
      </c>
      <c r="H66" s="17">
        <v>1.0</v>
      </c>
      <c r="I66" s="47">
        <v>44940.0</v>
      </c>
      <c r="J66" s="47">
        <v>44940.0</v>
      </c>
      <c r="K66" s="17">
        <v>4.72</v>
      </c>
      <c r="L66" s="17">
        <v>37.0</v>
      </c>
      <c r="M66" s="17">
        <v>47.0</v>
      </c>
      <c r="N66" s="17">
        <v>0.0</v>
      </c>
      <c r="O66" s="17">
        <v>0.0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ht="15.75" customHeight="1">
      <c r="A67" s="12" t="s">
        <v>289</v>
      </c>
      <c r="B67" s="45" t="s">
        <v>59</v>
      </c>
      <c r="C67" s="12" t="s">
        <v>53</v>
      </c>
      <c r="D67" s="17">
        <v>69.0</v>
      </c>
      <c r="E67" s="17">
        <v>66.0</v>
      </c>
      <c r="F67" s="17">
        <v>3328.0</v>
      </c>
      <c r="G67" s="17">
        <v>2903.0</v>
      </c>
      <c r="H67" s="17">
        <v>85.0</v>
      </c>
      <c r="I67" s="47">
        <v>45043.0</v>
      </c>
      <c r="J67" s="47">
        <v>45043.0</v>
      </c>
      <c r="K67" s="17">
        <v>5.23</v>
      </c>
      <c r="L67" s="17">
        <v>34.15</v>
      </c>
      <c r="M67" s="17">
        <v>39.15</v>
      </c>
      <c r="N67" s="17">
        <v>0.0</v>
      </c>
      <c r="O67" s="17">
        <v>0.0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ht="15.75" customHeight="1">
      <c r="A68" s="12" t="s">
        <v>290</v>
      </c>
      <c r="B68" s="45" t="s">
        <v>59</v>
      </c>
      <c r="C68" s="12" t="s">
        <v>53</v>
      </c>
      <c r="D68" s="17">
        <v>37.0</v>
      </c>
      <c r="E68" s="17">
        <v>37.0</v>
      </c>
      <c r="F68" s="17">
        <v>1773.0</v>
      </c>
      <c r="G68" s="17">
        <v>1507.0</v>
      </c>
      <c r="H68" s="17">
        <v>42.0</v>
      </c>
      <c r="I68" s="47">
        <v>45035.0</v>
      </c>
      <c r="J68" s="47">
        <v>45035.0</v>
      </c>
      <c r="K68" s="17">
        <v>5.1</v>
      </c>
      <c r="L68" s="17">
        <v>35.88</v>
      </c>
      <c r="M68" s="17">
        <v>42.21</v>
      </c>
      <c r="N68" s="17">
        <v>0.0</v>
      </c>
      <c r="O68" s="17">
        <v>0.0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ht="15.75" customHeight="1">
      <c r="A69" s="12" t="s">
        <v>293</v>
      </c>
      <c r="B69" s="45" t="s">
        <v>59</v>
      </c>
      <c r="C69" s="12" t="s">
        <v>53</v>
      </c>
      <c r="D69" s="17">
        <v>36.0</v>
      </c>
      <c r="E69" s="17">
        <v>36.0</v>
      </c>
      <c r="F69" s="17">
        <v>1775.0</v>
      </c>
      <c r="G69" s="17">
        <v>1758.0</v>
      </c>
      <c r="H69" s="17">
        <v>66.0</v>
      </c>
      <c r="I69" s="47">
        <v>45064.0</v>
      </c>
      <c r="J69" s="47">
        <v>45064.0</v>
      </c>
      <c r="K69" s="17">
        <v>5.94</v>
      </c>
      <c r="L69" s="17">
        <v>26.64</v>
      </c>
      <c r="M69" s="17">
        <v>26.89</v>
      </c>
      <c r="N69" s="17">
        <v>1.0</v>
      </c>
      <c r="O69" s="17">
        <v>0.0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ht="15.75" customHeight="1">
      <c r="A70" s="12" t="s">
        <v>294</v>
      </c>
      <c r="B70" s="45" t="s">
        <v>59</v>
      </c>
      <c r="C70" s="12" t="s">
        <v>53</v>
      </c>
      <c r="D70" s="17">
        <v>66.0</v>
      </c>
      <c r="E70" s="17">
        <v>64.0</v>
      </c>
      <c r="F70" s="17">
        <v>3188.0</v>
      </c>
      <c r="G70" s="17">
        <v>3084.0</v>
      </c>
      <c r="H70" s="17">
        <v>100.0</v>
      </c>
      <c r="I70" s="12" t="s">
        <v>380</v>
      </c>
      <c r="J70" s="12" t="s">
        <v>380</v>
      </c>
      <c r="K70" s="17">
        <v>5.8</v>
      </c>
      <c r="L70" s="17">
        <v>30.84</v>
      </c>
      <c r="M70" s="17">
        <v>31.88</v>
      </c>
      <c r="N70" s="17">
        <v>4.0</v>
      </c>
      <c r="O70" s="17">
        <v>0.0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ht="15.75" customHeight="1">
      <c r="A71" s="12" t="s">
        <v>296</v>
      </c>
      <c r="B71" s="45" t="s">
        <v>59</v>
      </c>
      <c r="C71" s="12" t="s">
        <v>53</v>
      </c>
      <c r="D71" s="17">
        <v>19.0</v>
      </c>
      <c r="E71" s="17">
        <v>19.0</v>
      </c>
      <c r="F71" s="17">
        <v>902.0</v>
      </c>
      <c r="G71" s="17">
        <v>782.0</v>
      </c>
      <c r="H71" s="17">
        <v>32.0</v>
      </c>
      <c r="I71" s="12" t="s">
        <v>381</v>
      </c>
      <c r="J71" s="12" t="s">
        <v>381</v>
      </c>
      <c r="K71" s="17">
        <v>5.2</v>
      </c>
      <c r="L71" s="17">
        <v>24.44</v>
      </c>
      <c r="M71" s="17">
        <v>28.19</v>
      </c>
      <c r="N71" s="17">
        <v>0.0</v>
      </c>
      <c r="O71" s="17">
        <v>0.0</v>
      </c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ht="15.75" customHeight="1">
      <c r="A72" s="12" t="s">
        <v>298</v>
      </c>
      <c r="B72" s="45" t="s">
        <v>59</v>
      </c>
      <c r="C72" s="12" t="s">
        <v>53</v>
      </c>
      <c r="D72" s="17">
        <v>52.0</v>
      </c>
      <c r="E72" s="17">
        <v>51.0</v>
      </c>
      <c r="F72" s="17">
        <v>2635.0</v>
      </c>
      <c r="G72" s="17">
        <v>2418.0</v>
      </c>
      <c r="H72" s="17">
        <v>102.0</v>
      </c>
      <c r="I72" s="12" t="s">
        <v>382</v>
      </c>
      <c r="J72" s="12" t="s">
        <v>382</v>
      </c>
      <c r="K72" s="17">
        <v>5.51</v>
      </c>
      <c r="L72" s="17">
        <v>23.71</v>
      </c>
      <c r="M72" s="17">
        <v>25.83</v>
      </c>
      <c r="N72" s="17">
        <v>3.0</v>
      </c>
      <c r="O72" s="17">
        <v>0.0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ht="15.75" customHeight="1">
      <c r="A73" s="12" t="s">
        <v>299</v>
      </c>
      <c r="B73" s="45" t="s">
        <v>59</v>
      </c>
      <c r="C73" s="43" t="s">
        <v>53</v>
      </c>
      <c r="D73" s="38">
        <v>12.0</v>
      </c>
      <c r="E73" s="38">
        <v>12.0</v>
      </c>
      <c r="F73" s="38">
        <v>636.0</v>
      </c>
      <c r="G73" s="38">
        <v>634.0</v>
      </c>
      <c r="H73" s="38">
        <v>15.0</v>
      </c>
      <c r="I73" s="38" t="s">
        <v>383</v>
      </c>
      <c r="J73" s="38" t="s">
        <v>383</v>
      </c>
      <c r="K73" s="38">
        <v>5.98</v>
      </c>
      <c r="L73" s="38">
        <v>42.27</v>
      </c>
      <c r="M73" s="38">
        <v>42.4</v>
      </c>
      <c r="N73" s="38">
        <v>0.0</v>
      </c>
      <c r="O73" s="38">
        <v>0.0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ht="15.75" customHeight="1">
      <c r="A74" s="12" t="s">
        <v>302</v>
      </c>
      <c r="B74" s="12" t="s">
        <v>62</v>
      </c>
      <c r="C74" s="12" t="s">
        <v>53</v>
      </c>
      <c r="D74" s="17">
        <v>49.0</v>
      </c>
      <c r="E74" s="17">
        <v>9.0</v>
      </c>
      <c r="F74" s="17">
        <v>145.0</v>
      </c>
      <c r="G74" s="17">
        <v>111.0</v>
      </c>
      <c r="H74" s="17">
        <v>5.0</v>
      </c>
      <c r="I74" s="47">
        <v>45034.0</v>
      </c>
      <c r="J74" s="47">
        <v>45034.0</v>
      </c>
      <c r="K74" s="17">
        <v>4.59</v>
      </c>
      <c r="L74" s="17">
        <v>22.2</v>
      </c>
      <c r="M74" s="17">
        <v>29.0</v>
      </c>
      <c r="N74" s="17">
        <v>0.0</v>
      </c>
      <c r="O74" s="17">
        <v>0.0</v>
      </c>
      <c r="P74" s="12">
        <f t="shared" ref="P74:R74" si="7">sum(K74:K85)/count(K74:K85)</f>
        <v>5.679166667</v>
      </c>
      <c r="Q74" s="12">
        <f t="shared" si="7"/>
        <v>34.49333333</v>
      </c>
      <c r="R74" s="12">
        <f t="shared" si="7"/>
        <v>38.29833333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ht="15.75" customHeight="1">
      <c r="A75" s="12" t="s">
        <v>304</v>
      </c>
      <c r="B75" s="12" t="s">
        <v>62</v>
      </c>
      <c r="C75" s="12" t="s">
        <v>53</v>
      </c>
      <c r="D75" s="17">
        <v>89.0</v>
      </c>
      <c r="E75" s="17">
        <v>74.0</v>
      </c>
      <c r="F75" s="17">
        <v>2238.0</v>
      </c>
      <c r="G75" s="17">
        <v>1885.0</v>
      </c>
      <c r="H75" s="17">
        <v>44.0</v>
      </c>
      <c r="I75" s="12" t="s">
        <v>384</v>
      </c>
      <c r="J75" s="12" t="s">
        <v>384</v>
      </c>
      <c r="K75" s="17">
        <v>5.05</v>
      </c>
      <c r="L75" s="17">
        <v>42.84</v>
      </c>
      <c r="M75" s="17">
        <v>50.86</v>
      </c>
      <c r="N75" s="17">
        <v>0.0</v>
      </c>
      <c r="O75" s="17">
        <v>0.0</v>
      </c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ht="15.75" customHeight="1">
      <c r="A76" s="12" t="s">
        <v>305</v>
      </c>
      <c r="B76" s="12" t="s">
        <v>62</v>
      </c>
      <c r="C76" s="12" t="s">
        <v>53</v>
      </c>
      <c r="D76" s="17">
        <v>225.0</v>
      </c>
      <c r="E76" s="17">
        <v>162.0</v>
      </c>
      <c r="F76" s="17">
        <v>5300.0</v>
      </c>
      <c r="G76" s="17">
        <v>4081.0</v>
      </c>
      <c r="H76" s="17">
        <v>124.0</v>
      </c>
      <c r="I76" s="47">
        <v>45097.0</v>
      </c>
      <c r="J76" s="47">
        <v>45097.0</v>
      </c>
      <c r="K76" s="17">
        <v>4.62</v>
      </c>
      <c r="L76" s="17">
        <v>32.91</v>
      </c>
      <c r="M76" s="17">
        <v>42.74</v>
      </c>
      <c r="N76" s="17">
        <v>1.0</v>
      </c>
      <c r="O76" s="17">
        <v>0.0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ht="15.75" customHeight="1">
      <c r="A77" s="12" t="s">
        <v>307</v>
      </c>
      <c r="B77" s="12" t="s">
        <v>62</v>
      </c>
      <c r="C77" s="43" t="s">
        <v>53</v>
      </c>
      <c r="D77" s="38">
        <v>5.0</v>
      </c>
      <c r="E77" s="38">
        <v>4.0</v>
      </c>
      <c r="F77" s="38">
        <v>210.0</v>
      </c>
      <c r="G77" s="38">
        <v>193.0</v>
      </c>
      <c r="H77" s="38">
        <v>2.0</v>
      </c>
      <c r="I77" s="38" t="s">
        <v>385</v>
      </c>
      <c r="J77" s="38" t="s">
        <v>385</v>
      </c>
      <c r="K77" s="38">
        <v>5.51</v>
      </c>
      <c r="L77" s="38">
        <v>96.5</v>
      </c>
      <c r="M77" s="38">
        <v>105.0</v>
      </c>
      <c r="N77" s="38">
        <v>0.0</v>
      </c>
      <c r="O77" s="38">
        <v>0.0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ht="15.75" customHeight="1">
      <c r="A78" s="12" t="s">
        <v>308</v>
      </c>
      <c r="B78" s="12" t="s">
        <v>62</v>
      </c>
      <c r="C78" s="12" t="s">
        <v>53</v>
      </c>
      <c r="D78" s="17">
        <v>18.0</v>
      </c>
      <c r="E78" s="17">
        <v>17.0</v>
      </c>
      <c r="F78" s="17">
        <v>734.0</v>
      </c>
      <c r="G78" s="17">
        <v>678.0</v>
      </c>
      <c r="H78" s="17">
        <v>21.0</v>
      </c>
      <c r="I78" s="12" t="s">
        <v>378</v>
      </c>
      <c r="J78" s="12" t="s">
        <v>378</v>
      </c>
      <c r="K78" s="17">
        <v>5.54</v>
      </c>
      <c r="L78" s="17">
        <v>32.29</v>
      </c>
      <c r="M78" s="17">
        <v>34.95</v>
      </c>
      <c r="N78" s="17">
        <v>1.0</v>
      </c>
      <c r="O78" s="17">
        <v>0.0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ht="15.75" customHeight="1">
      <c r="A79" s="12" t="s">
        <v>309</v>
      </c>
      <c r="B79" s="12" t="s">
        <v>62</v>
      </c>
      <c r="C79" s="12" t="s">
        <v>53</v>
      </c>
      <c r="D79" s="17">
        <v>25.0</v>
      </c>
      <c r="E79" s="17">
        <v>23.0</v>
      </c>
      <c r="F79" s="17">
        <v>797.0</v>
      </c>
      <c r="G79" s="17">
        <v>765.0</v>
      </c>
      <c r="H79" s="17">
        <v>24.0</v>
      </c>
      <c r="I79" s="12" t="s">
        <v>383</v>
      </c>
      <c r="J79" s="12" t="s">
        <v>383</v>
      </c>
      <c r="K79" s="17">
        <v>5.76</v>
      </c>
      <c r="L79" s="17">
        <v>31.88</v>
      </c>
      <c r="M79" s="17">
        <v>33.21</v>
      </c>
      <c r="N79" s="17">
        <v>0.0</v>
      </c>
      <c r="O79" s="17">
        <v>0.0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ht="15.75" customHeight="1">
      <c r="A80" s="12" t="s">
        <v>310</v>
      </c>
      <c r="B80" s="12" t="s">
        <v>62</v>
      </c>
      <c r="C80" s="12" t="s">
        <v>53</v>
      </c>
      <c r="D80" s="17">
        <v>120.0</v>
      </c>
      <c r="E80" s="17">
        <v>2.0</v>
      </c>
      <c r="F80" s="17">
        <v>20.0</v>
      </c>
      <c r="G80" s="17">
        <v>28.0</v>
      </c>
      <c r="H80" s="17">
        <v>0.0</v>
      </c>
      <c r="I80" s="12" t="s">
        <v>386</v>
      </c>
      <c r="J80" s="12" t="s">
        <v>386</v>
      </c>
      <c r="K80" s="17">
        <v>8.4</v>
      </c>
      <c r="L80" s="17">
        <v>0.0</v>
      </c>
      <c r="M80" s="17">
        <v>0.0</v>
      </c>
      <c r="N80" s="17">
        <v>0.0</v>
      </c>
      <c r="O80" s="17">
        <v>0.0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ht="15.75" customHeight="1">
      <c r="A81" s="12" t="s">
        <v>314</v>
      </c>
      <c r="B81" s="12" t="s">
        <v>62</v>
      </c>
      <c r="C81" s="12" t="s">
        <v>53</v>
      </c>
      <c r="D81" s="17">
        <v>34.0</v>
      </c>
      <c r="E81" s="17">
        <v>34.0</v>
      </c>
      <c r="F81" s="17">
        <v>1761.0</v>
      </c>
      <c r="G81" s="17">
        <v>1370.0</v>
      </c>
      <c r="H81" s="17">
        <v>49.0</v>
      </c>
      <c r="I81" s="47">
        <v>45041.0</v>
      </c>
      <c r="J81" s="47">
        <v>45041.0</v>
      </c>
      <c r="K81" s="17">
        <v>4.67</v>
      </c>
      <c r="L81" s="17">
        <v>27.96</v>
      </c>
      <c r="M81" s="17">
        <v>35.94</v>
      </c>
      <c r="N81" s="17">
        <v>0.0</v>
      </c>
      <c r="O81" s="17">
        <v>0.0</v>
      </c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ht="15.75" customHeight="1">
      <c r="A82" s="12" t="s">
        <v>315</v>
      </c>
      <c r="B82" s="12" t="s">
        <v>62</v>
      </c>
      <c r="C82" s="12" t="s">
        <v>53</v>
      </c>
      <c r="D82" s="17">
        <v>34.0</v>
      </c>
      <c r="E82" s="17">
        <v>34.0</v>
      </c>
      <c r="F82" s="17">
        <v>1527.0</v>
      </c>
      <c r="G82" s="17">
        <v>1554.0</v>
      </c>
      <c r="H82" s="17">
        <v>43.0</v>
      </c>
      <c r="I82" s="12" t="s">
        <v>355</v>
      </c>
      <c r="J82" s="12" t="s">
        <v>355</v>
      </c>
      <c r="K82" s="17">
        <v>6.11</v>
      </c>
      <c r="L82" s="17">
        <v>36.14</v>
      </c>
      <c r="M82" s="17">
        <v>35.51</v>
      </c>
      <c r="N82" s="17">
        <v>0.0</v>
      </c>
      <c r="O82" s="17">
        <v>0.0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ht="15.75" customHeight="1">
      <c r="A83" s="12" t="s">
        <v>316</v>
      </c>
      <c r="B83" s="12" t="s">
        <v>62</v>
      </c>
      <c r="C83" s="12" t="s">
        <v>53</v>
      </c>
      <c r="D83" s="17">
        <v>28.0</v>
      </c>
      <c r="E83" s="17">
        <v>28.0</v>
      </c>
      <c r="F83" s="17">
        <v>1131.0</v>
      </c>
      <c r="G83" s="17">
        <v>1223.0</v>
      </c>
      <c r="H83" s="17">
        <v>37.0</v>
      </c>
      <c r="I83" s="47">
        <v>45007.0</v>
      </c>
      <c r="J83" s="47">
        <v>45007.0</v>
      </c>
      <c r="K83" s="17">
        <v>6.49</v>
      </c>
      <c r="L83" s="17">
        <v>33.05</v>
      </c>
      <c r="M83" s="17">
        <v>30.57</v>
      </c>
      <c r="N83" s="17">
        <v>0.0</v>
      </c>
      <c r="O83" s="17">
        <v>0.0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ht="15.75" customHeight="1">
      <c r="A84" s="12" t="s">
        <v>317</v>
      </c>
      <c r="B84" s="12" t="s">
        <v>62</v>
      </c>
      <c r="C84" s="12" t="s">
        <v>53</v>
      </c>
      <c r="D84" s="17">
        <v>14.0</v>
      </c>
      <c r="E84" s="17">
        <v>14.0</v>
      </c>
      <c r="F84" s="17">
        <v>696.0</v>
      </c>
      <c r="G84" s="17">
        <v>688.0</v>
      </c>
      <c r="H84" s="17">
        <v>31.0</v>
      </c>
      <c r="I84" s="12" t="s">
        <v>387</v>
      </c>
      <c r="J84" s="12" t="s">
        <v>387</v>
      </c>
      <c r="K84" s="17">
        <v>5.93</v>
      </c>
      <c r="L84" s="17">
        <v>22.19</v>
      </c>
      <c r="M84" s="17">
        <v>22.45</v>
      </c>
      <c r="N84" s="17">
        <v>1.0</v>
      </c>
      <c r="O84" s="17">
        <v>0.0</v>
      </c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ht="15.75" customHeight="1">
      <c r="A85" s="12" t="s">
        <v>318</v>
      </c>
      <c r="B85" s="12" t="s">
        <v>62</v>
      </c>
      <c r="C85" s="12" t="s">
        <v>53</v>
      </c>
      <c r="D85" s="17">
        <v>47.0</v>
      </c>
      <c r="E85" s="17">
        <v>46.0</v>
      </c>
      <c r="F85" s="17">
        <v>2007.0</v>
      </c>
      <c r="G85" s="17">
        <v>1834.0</v>
      </c>
      <c r="H85" s="17">
        <v>51.0</v>
      </c>
      <c r="I85" s="47">
        <v>45062.0</v>
      </c>
      <c r="J85" s="47">
        <v>45062.0</v>
      </c>
      <c r="K85" s="17">
        <v>5.48</v>
      </c>
      <c r="L85" s="17">
        <v>35.96</v>
      </c>
      <c r="M85" s="17">
        <v>39.35</v>
      </c>
      <c r="N85" s="17">
        <v>1.0</v>
      </c>
      <c r="O85" s="17">
        <v>0.0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ht="15.75" customHeight="1">
      <c r="A86" s="12" t="s">
        <v>319</v>
      </c>
      <c r="B86" s="12" t="s">
        <v>61</v>
      </c>
      <c r="C86" s="12" t="s">
        <v>53</v>
      </c>
      <c r="D86" s="17">
        <v>38.0</v>
      </c>
      <c r="E86" s="17">
        <v>5.0</v>
      </c>
      <c r="F86" s="17">
        <v>50.0</v>
      </c>
      <c r="G86" s="17">
        <v>45.0</v>
      </c>
      <c r="H86" s="17">
        <v>1.0</v>
      </c>
      <c r="I86" s="47">
        <v>44936.0</v>
      </c>
      <c r="J86" s="47">
        <v>44936.0</v>
      </c>
      <c r="K86" s="17">
        <v>5.4</v>
      </c>
      <c r="L86" s="17">
        <v>45.0</v>
      </c>
      <c r="M86" s="17">
        <v>50.0</v>
      </c>
      <c r="N86" s="17">
        <v>0.0</v>
      </c>
      <c r="O86" s="17">
        <v>0.0</v>
      </c>
      <c r="P86" s="12">
        <f t="shared" ref="P86:R86" si="8">sum(K86:K96)/count(K86:K96)</f>
        <v>5.192727273</v>
      </c>
      <c r="Q86" s="12">
        <f t="shared" si="8"/>
        <v>33.17</v>
      </c>
      <c r="R86" s="12">
        <f t="shared" si="8"/>
        <v>38.89909091</v>
      </c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ht="15.75" customHeight="1">
      <c r="A87" s="12" t="s">
        <v>322</v>
      </c>
      <c r="B87" s="12" t="s">
        <v>61</v>
      </c>
      <c r="C87" s="12" t="s">
        <v>53</v>
      </c>
      <c r="D87" s="17">
        <v>247.0</v>
      </c>
      <c r="E87" s="17">
        <v>241.0</v>
      </c>
      <c r="F87" s="17">
        <v>12575.0</v>
      </c>
      <c r="G87" s="17">
        <v>9360.0</v>
      </c>
      <c r="H87" s="17">
        <v>317.0</v>
      </c>
      <c r="I87" s="47">
        <v>45075.0</v>
      </c>
      <c r="J87" s="47">
        <v>45075.0</v>
      </c>
      <c r="K87" s="17">
        <v>4.47</v>
      </c>
      <c r="L87" s="17">
        <v>29.53</v>
      </c>
      <c r="M87" s="17">
        <v>39.67</v>
      </c>
      <c r="N87" s="17">
        <v>4.0</v>
      </c>
      <c r="O87" s="17">
        <v>0.0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ht="15.75" customHeight="1">
      <c r="A88" s="12" t="s">
        <v>323</v>
      </c>
      <c r="B88" s="12" t="s">
        <v>61</v>
      </c>
      <c r="C88" s="43" t="s">
        <v>53</v>
      </c>
      <c r="D88" s="38">
        <v>10.0</v>
      </c>
      <c r="E88" s="38">
        <v>10.0</v>
      </c>
      <c r="F88" s="38">
        <v>474.0</v>
      </c>
      <c r="G88" s="38">
        <v>398.0</v>
      </c>
      <c r="H88" s="38">
        <v>14.0</v>
      </c>
      <c r="I88" s="38" t="s">
        <v>388</v>
      </c>
      <c r="J88" s="38" t="s">
        <v>388</v>
      </c>
      <c r="K88" s="38">
        <v>5.04</v>
      </c>
      <c r="L88" s="38">
        <v>28.43</v>
      </c>
      <c r="M88" s="38">
        <v>33.86</v>
      </c>
      <c r="N88" s="38">
        <v>0.0</v>
      </c>
      <c r="O88" s="38">
        <v>0.0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ht="15.75" customHeight="1">
      <c r="A89" s="12" t="s">
        <v>324</v>
      </c>
      <c r="B89" s="12" t="s">
        <v>61</v>
      </c>
      <c r="C89" s="12" t="s">
        <v>53</v>
      </c>
      <c r="D89" s="17">
        <v>228.0</v>
      </c>
      <c r="E89" s="17">
        <v>151.0</v>
      </c>
      <c r="F89" s="17">
        <v>4350.0</v>
      </c>
      <c r="G89" s="17">
        <v>3792.0</v>
      </c>
      <c r="H89" s="17">
        <v>82.0</v>
      </c>
      <c r="I89" s="47">
        <v>44989.0</v>
      </c>
      <c r="J89" s="47">
        <v>44989.0</v>
      </c>
      <c r="K89" s="17">
        <v>5.23</v>
      </c>
      <c r="L89" s="17">
        <v>46.24</v>
      </c>
      <c r="M89" s="17">
        <v>53.05</v>
      </c>
      <c r="N89" s="17">
        <v>0.0</v>
      </c>
      <c r="O89" s="17">
        <v>0.0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ht="15.75" customHeight="1">
      <c r="A90" s="12" t="s">
        <v>326</v>
      </c>
      <c r="B90" s="12" t="s">
        <v>61</v>
      </c>
      <c r="C90" s="12" t="s">
        <v>53</v>
      </c>
      <c r="D90" s="17">
        <v>90.0</v>
      </c>
      <c r="E90" s="17">
        <v>87.0</v>
      </c>
      <c r="F90" s="17">
        <v>4281.0</v>
      </c>
      <c r="G90" s="17">
        <v>3418.0</v>
      </c>
      <c r="H90" s="17">
        <v>101.0</v>
      </c>
      <c r="I90" s="47">
        <v>45041.0</v>
      </c>
      <c r="J90" s="47">
        <v>45041.0</v>
      </c>
      <c r="K90" s="17">
        <v>4.79</v>
      </c>
      <c r="L90" s="17">
        <v>33.84</v>
      </c>
      <c r="M90" s="17">
        <v>42.39</v>
      </c>
      <c r="N90" s="17">
        <v>0.0</v>
      </c>
      <c r="O90" s="17">
        <v>0.0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ht="15.75" customHeight="1">
      <c r="A91" s="12" t="s">
        <v>333</v>
      </c>
      <c r="B91" s="12" t="s">
        <v>61</v>
      </c>
      <c r="C91" s="12" t="s">
        <v>53</v>
      </c>
      <c r="D91" s="17">
        <v>69.0</v>
      </c>
      <c r="E91" s="17">
        <v>67.0</v>
      </c>
      <c r="F91" s="17">
        <v>3188.0</v>
      </c>
      <c r="G91" s="17">
        <v>2876.0</v>
      </c>
      <c r="H91" s="17">
        <v>94.0</v>
      </c>
      <c r="I91" s="47">
        <v>45074.0</v>
      </c>
      <c r="J91" s="47">
        <v>45074.0</v>
      </c>
      <c r="K91" s="17">
        <v>5.41</v>
      </c>
      <c r="L91" s="17">
        <v>30.6</v>
      </c>
      <c r="M91" s="17">
        <v>33.91</v>
      </c>
      <c r="N91" s="17">
        <v>2.0</v>
      </c>
      <c r="O91" s="17">
        <v>0.0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ht="15.75" customHeight="1">
      <c r="A92" s="12" t="s">
        <v>334</v>
      </c>
      <c r="B92" s="12" t="s">
        <v>61</v>
      </c>
      <c r="C92" s="12" t="s">
        <v>53</v>
      </c>
      <c r="D92" s="17">
        <v>100.0</v>
      </c>
      <c r="E92" s="17">
        <v>99.0</v>
      </c>
      <c r="F92" s="17">
        <v>4809.0</v>
      </c>
      <c r="G92" s="17">
        <v>4109.0</v>
      </c>
      <c r="H92" s="17">
        <v>160.0</v>
      </c>
      <c r="I92" s="12" t="s">
        <v>389</v>
      </c>
      <c r="J92" s="12" t="s">
        <v>389</v>
      </c>
      <c r="K92" s="17">
        <v>5.13</v>
      </c>
      <c r="L92" s="17">
        <v>25.68</v>
      </c>
      <c r="M92" s="17">
        <v>30.06</v>
      </c>
      <c r="N92" s="17">
        <v>5.0</v>
      </c>
      <c r="O92" s="17">
        <v>0.0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ht="15.75" customHeight="1">
      <c r="A93" s="12" t="s">
        <v>335</v>
      </c>
      <c r="B93" s="12" t="s">
        <v>61</v>
      </c>
      <c r="C93" s="43" t="s">
        <v>53</v>
      </c>
      <c r="D93" s="38">
        <v>20.0</v>
      </c>
      <c r="E93" s="38">
        <v>19.0</v>
      </c>
      <c r="F93" s="38">
        <v>879.0</v>
      </c>
      <c r="G93" s="38">
        <v>878.0</v>
      </c>
      <c r="H93" s="38">
        <v>28.0</v>
      </c>
      <c r="I93" s="38" t="s">
        <v>390</v>
      </c>
      <c r="J93" s="38" t="s">
        <v>390</v>
      </c>
      <c r="K93" s="38">
        <v>5.99</v>
      </c>
      <c r="L93" s="38">
        <v>31.36</v>
      </c>
      <c r="M93" s="38">
        <v>31.39</v>
      </c>
      <c r="N93" s="38">
        <v>1.0</v>
      </c>
      <c r="O93" s="38">
        <v>0.0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ht="15.75" customHeight="1">
      <c r="A94" s="12" t="s">
        <v>336</v>
      </c>
      <c r="B94" s="12" t="s">
        <v>61</v>
      </c>
      <c r="C94" s="12" t="s">
        <v>53</v>
      </c>
      <c r="D94" s="17">
        <v>30.0</v>
      </c>
      <c r="E94" s="17">
        <v>30.0</v>
      </c>
      <c r="F94" s="17">
        <v>1340.0</v>
      </c>
      <c r="G94" s="17">
        <v>1262.0</v>
      </c>
      <c r="H94" s="17">
        <v>45.0</v>
      </c>
      <c r="I94" s="47">
        <v>45037.0</v>
      </c>
      <c r="J94" s="47">
        <v>45037.0</v>
      </c>
      <c r="K94" s="17">
        <v>5.65</v>
      </c>
      <c r="L94" s="17">
        <v>28.04</v>
      </c>
      <c r="M94" s="17">
        <v>29.78</v>
      </c>
      <c r="N94" s="17">
        <v>0.0</v>
      </c>
      <c r="O94" s="17">
        <v>0.0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ht="15.75" customHeight="1">
      <c r="A95" s="12" t="s">
        <v>337</v>
      </c>
      <c r="B95" s="12" t="s">
        <v>61</v>
      </c>
      <c r="C95" s="12" t="s">
        <v>53</v>
      </c>
      <c r="D95" s="38">
        <v>14.0</v>
      </c>
      <c r="E95" s="38">
        <v>13.0</v>
      </c>
      <c r="F95" s="38">
        <v>667.0</v>
      </c>
      <c r="G95" s="38">
        <v>465.0</v>
      </c>
      <c r="H95" s="38">
        <v>12.0</v>
      </c>
      <c r="I95" s="46">
        <v>45004.0</v>
      </c>
      <c r="J95" s="46">
        <v>45004.0</v>
      </c>
      <c r="K95" s="38">
        <v>4.18</v>
      </c>
      <c r="L95" s="38">
        <v>38.75</v>
      </c>
      <c r="M95" s="38">
        <v>55.58</v>
      </c>
      <c r="N95" s="38">
        <v>0.0</v>
      </c>
      <c r="O95" s="38">
        <v>0.0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ht="15.75" customHeight="1">
      <c r="A96" s="12" t="s">
        <v>338</v>
      </c>
      <c r="B96" s="12" t="s">
        <v>61</v>
      </c>
      <c r="C96" s="12" t="s">
        <v>53</v>
      </c>
      <c r="D96" s="38">
        <v>3.0</v>
      </c>
      <c r="E96" s="38">
        <v>3.0</v>
      </c>
      <c r="F96" s="38">
        <v>141.0</v>
      </c>
      <c r="G96" s="38">
        <v>137.0</v>
      </c>
      <c r="H96" s="38">
        <v>5.0</v>
      </c>
      <c r="I96" s="38" t="s">
        <v>391</v>
      </c>
      <c r="J96" s="38" t="s">
        <v>391</v>
      </c>
      <c r="K96" s="38">
        <v>5.83</v>
      </c>
      <c r="L96" s="38">
        <v>27.4</v>
      </c>
      <c r="M96" s="38">
        <v>28.2</v>
      </c>
      <c r="N96" s="38">
        <v>0.0</v>
      </c>
      <c r="O96" s="38">
        <v>0.0</v>
      </c>
      <c r="P96" s="39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21:L27">
    <cfRule type="colorScale" priority="1">
      <colorScale>
        <cfvo type="min"/>
        <cfvo type="max"/>
        <color rgb="FFFFFFFF"/>
        <color rgb="FFFFFFFF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4" width="12.63"/>
    <col customWidth="1" min="5" max="5" width="16.25"/>
    <col customWidth="1" min="6" max="6" width="15.25"/>
  </cols>
  <sheetData>
    <row r="1" ht="15.75" customHeight="1">
      <c r="A1" s="25" t="s">
        <v>130</v>
      </c>
      <c r="B1" s="25" t="s">
        <v>135</v>
      </c>
      <c r="C1" s="25" t="s">
        <v>136</v>
      </c>
      <c r="D1" s="25" t="s">
        <v>137</v>
      </c>
      <c r="E1" s="5" t="s">
        <v>160</v>
      </c>
      <c r="F1" s="5" t="s">
        <v>161</v>
      </c>
      <c r="G1" s="36" t="s">
        <v>346</v>
      </c>
      <c r="H1" s="36" t="s">
        <v>347</v>
      </c>
      <c r="I1" s="36" t="s">
        <v>348</v>
      </c>
    </row>
    <row r="2" ht="15.75" customHeight="1">
      <c r="A2" s="25" t="s">
        <v>47</v>
      </c>
      <c r="B2" s="25">
        <v>45.0</v>
      </c>
      <c r="C2" s="25">
        <v>16.0</v>
      </c>
      <c r="D2" s="24">
        <v>2.8125</v>
      </c>
      <c r="E2" s="15">
        <v>29.216249999999995</v>
      </c>
      <c r="F2" s="15">
        <v>82.43625</v>
      </c>
      <c r="G2" s="25">
        <v>5.422499999999999</v>
      </c>
      <c r="H2" s="25">
        <v>40.535</v>
      </c>
      <c r="I2" s="25">
        <v>43.995000000000005</v>
      </c>
    </row>
    <row r="3" ht="15.75" customHeight="1">
      <c r="A3" s="25" t="s">
        <v>54</v>
      </c>
      <c r="B3" s="25">
        <v>24.0</v>
      </c>
      <c r="C3" s="25">
        <v>22.0</v>
      </c>
      <c r="D3" s="24">
        <v>1.0909090909090908</v>
      </c>
      <c r="E3" s="25">
        <v>29.26</v>
      </c>
      <c r="F3" s="25">
        <v>86.99071428571429</v>
      </c>
      <c r="G3" s="25">
        <v>5.596923076923077</v>
      </c>
      <c r="H3" s="25">
        <v>26.36384615384615</v>
      </c>
      <c r="I3" s="25">
        <v>26.93846153846153</v>
      </c>
    </row>
    <row r="4" ht="15.75" customHeight="1">
      <c r="A4" s="25" t="s">
        <v>48</v>
      </c>
      <c r="B4" s="25">
        <v>27.0</v>
      </c>
      <c r="C4" s="25">
        <v>24.0</v>
      </c>
      <c r="D4" s="24">
        <v>1.125</v>
      </c>
      <c r="E4" s="25">
        <v>27.727333333333334</v>
      </c>
      <c r="F4" s="25">
        <v>92.17733333333332</v>
      </c>
      <c r="G4" s="25">
        <v>5.772307692307693</v>
      </c>
      <c r="H4" s="25">
        <v>39.89076923076924</v>
      </c>
      <c r="I4" s="25">
        <v>41.56384615384616</v>
      </c>
    </row>
    <row r="5" ht="15.75" customHeight="1">
      <c r="A5" s="25" t="s">
        <v>56</v>
      </c>
      <c r="B5" s="25">
        <v>24.0</v>
      </c>
      <c r="C5" s="25">
        <v>32.0</v>
      </c>
      <c r="D5" s="24">
        <v>0.75</v>
      </c>
      <c r="E5" s="25">
        <v>29.453333333333333</v>
      </c>
      <c r="F5" s="25">
        <v>88.70466666666665</v>
      </c>
      <c r="G5" s="25">
        <v>5.574545454545454</v>
      </c>
      <c r="H5" s="25">
        <v>33.232727272727274</v>
      </c>
      <c r="I5" s="25">
        <v>35.72636363636363</v>
      </c>
    </row>
    <row r="6" ht="15.75" customHeight="1">
      <c r="A6" s="25" t="s">
        <v>58</v>
      </c>
      <c r="B6" s="25">
        <v>36.0</v>
      </c>
      <c r="C6" s="25">
        <v>26.0</v>
      </c>
      <c r="D6" s="24">
        <v>1.3846153846153846</v>
      </c>
      <c r="E6" s="25">
        <v>30.137999999999998</v>
      </c>
      <c r="F6" s="25">
        <v>100.968</v>
      </c>
      <c r="G6" s="25">
        <v>5.778333333333333</v>
      </c>
      <c r="H6" s="25">
        <v>37.89333333333334</v>
      </c>
      <c r="I6" s="25">
        <v>39.69166666666667</v>
      </c>
    </row>
    <row r="7" ht="15.75" customHeight="1">
      <c r="A7" s="25" t="s">
        <v>59</v>
      </c>
      <c r="B7" s="25">
        <v>24.0</v>
      </c>
      <c r="C7" s="25">
        <v>24.0</v>
      </c>
      <c r="D7" s="24">
        <v>1.0</v>
      </c>
      <c r="E7" s="25">
        <v>28.993333333333332</v>
      </c>
      <c r="F7" s="25">
        <v>91.364</v>
      </c>
      <c r="G7" s="25">
        <v>5.425454545454545</v>
      </c>
      <c r="H7" s="25">
        <v>46.032727272727264</v>
      </c>
      <c r="I7" s="25">
        <v>51.62</v>
      </c>
    </row>
    <row r="8" ht="15.75" customHeight="1">
      <c r="A8" s="25" t="s">
        <v>62</v>
      </c>
      <c r="B8" s="25">
        <v>7.0</v>
      </c>
      <c r="C8" s="25">
        <v>32.0</v>
      </c>
      <c r="D8" s="24">
        <v>0.21875</v>
      </c>
      <c r="E8" s="25">
        <v>24.878750000000004</v>
      </c>
      <c r="F8" s="25">
        <v>76.75124999999998</v>
      </c>
      <c r="G8" s="25">
        <v>5.679166666666667</v>
      </c>
      <c r="H8" s="25">
        <v>34.49333333333333</v>
      </c>
      <c r="I8" s="25">
        <v>38.29833333333333</v>
      </c>
    </row>
    <row r="9" ht="15.75" customHeight="1">
      <c r="A9" s="25" t="s">
        <v>61</v>
      </c>
      <c r="B9" s="25">
        <v>13.0</v>
      </c>
      <c r="C9" s="25">
        <v>24.0</v>
      </c>
      <c r="D9" s="24">
        <v>0.5416666666666666</v>
      </c>
      <c r="E9" s="25">
        <v>21.11625</v>
      </c>
      <c r="F9" s="25">
        <v>78.83125</v>
      </c>
      <c r="G9" s="25">
        <v>5.192727272727272</v>
      </c>
      <c r="H9" s="25">
        <v>33.17</v>
      </c>
      <c r="I9" s="25">
        <v>38.899090909090894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E19" s="25" t="s">
        <v>135</v>
      </c>
      <c r="J19" s="25" t="s">
        <v>136</v>
      </c>
      <c r="K19" s="25" t="s">
        <v>137</v>
      </c>
    </row>
    <row r="20" ht="15.75" customHeight="1">
      <c r="C20" s="25" t="str">
        <f>IFERROR(__xludf.DUMMYFUNCTION("UNIQUE(FLATTEN({Team!A8:A1001; Team!B8:B1001}))"),"Australia")</f>
        <v>Australia</v>
      </c>
      <c r="E20" s="25">
        <f>COUNTIFS(Team!A:A, C20, Team!G:G, "W") + COUNTIFS(Team!B:B, C20, Team!H:H, "W")</f>
        <v>30</v>
      </c>
      <c r="J20" s="25">
        <f>COUNTIFS(Team!A:A, C20, Team!G:G, "L") + COUNTIFS(Team!B:B, C20, Team!H:H, "L")</f>
        <v>24</v>
      </c>
      <c r="K20" s="24">
        <f t="shared" ref="K20:K28" si="1">IF(J20=0, "N/A", E20/J20)</f>
        <v>1.25</v>
      </c>
    </row>
    <row r="21" ht="15.75" customHeight="1">
      <c r="C21" s="25" t="str">
        <f>IFERROR(__xludf.DUMMYFUNCTION("""COMPUTED_VALUE"""),"Pakistan")</f>
        <v>Pakistan</v>
      </c>
      <c r="D21" s="25"/>
      <c r="E21" s="25">
        <f>COUNTIFS(Team!A:A, C21, Team!G:G, "W") + COUNTIFS(Team!B:B, C21, Team!H:H, "W")</f>
        <v>24</v>
      </c>
      <c r="J21" s="25">
        <f>COUNTIFS(Team!A:A, C21, Team!G:G, "L") + COUNTIFS(Team!B:B, C21, Team!H:H, "L")</f>
        <v>25</v>
      </c>
      <c r="K21" s="24">
        <f t="shared" si="1"/>
        <v>0.96</v>
      </c>
    </row>
    <row r="22" ht="15.75" customHeight="1">
      <c r="C22" s="25" t="str">
        <f>IFERROR(__xludf.DUMMYFUNCTION("""COMPUTED_VALUE"""),"England")</f>
        <v>England</v>
      </c>
      <c r="D22" s="25"/>
      <c r="E22" s="25">
        <f>COUNTIFS(Team!A:A, C22, Team!G:G, "W") + COUNTIFS(Team!B:B, C22, Team!H:H, "W")</f>
        <v>37</v>
      </c>
      <c r="J22" s="25">
        <f>COUNTIFS(Team!A:A, C22, Team!G:G, "L") + COUNTIFS(Team!B:B, C22, Team!H:H, "L")</f>
        <v>26</v>
      </c>
      <c r="K22" s="24">
        <f t="shared" si="1"/>
        <v>1.423076923</v>
      </c>
    </row>
    <row r="23" ht="15.75" customHeight="1">
      <c r="C23" s="25" t="str">
        <f>IFERROR(__xludf.DUMMYFUNCTION("""COMPUTED_VALUE"""),"South Africa")</f>
        <v>South Africa</v>
      </c>
      <c r="D23" s="25"/>
      <c r="E23" s="25">
        <f>COUNTIFS(Team!A:A, C23, Team!G:G, "W") + COUNTIFS(Team!B:B, C23, Team!H:H, "W")</f>
        <v>24</v>
      </c>
      <c r="J23" s="25">
        <f>COUNTIFS(Team!A:A, C23, Team!G:G, "L") + COUNTIFS(Team!B:B, C23, Team!H:H, "L")</f>
        <v>23</v>
      </c>
      <c r="K23" s="24">
        <f t="shared" si="1"/>
        <v>1.043478261</v>
      </c>
    </row>
    <row r="24" ht="15.75" customHeight="1">
      <c r="C24" s="25" t="str">
        <f>IFERROR(__xludf.DUMMYFUNCTION("""COMPUTED_VALUE"""),"India")</f>
        <v>India</v>
      </c>
      <c r="D24" s="25"/>
      <c r="E24" s="25">
        <f>COUNTIFS(Team!A:A, C24, Team!G:G, "W") + COUNTIFS(Team!B:B, C24, Team!H:H, "W")</f>
        <v>41</v>
      </c>
      <c r="J24" s="25">
        <f>COUNTIFS(Team!A:A, C24, Team!G:G, "L") + COUNTIFS(Team!B:B, C24, Team!H:H, "L")</f>
        <v>17</v>
      </c>
      <c r="K24" s="24">
        <f t="shared" si="1"/>
        <v>2.411764706</v>
      </c>
    </row>
    <row r="25" ht="15.75" customHeight="1">
      <c r="C25" s="25" t="str">
        <f>IFERROR(__xludf.DUMMYFUNCTION("""COMPUTED_VALUE"""),"New Zealand")</f>
        <v>New Zealand</v>
      </c>
      <c r="D25" s="25"/>
      <c r="E25" s="25">
        <f>COUNTIFS(Team!A:A, C25, Team!G:G, "W") + COUNTIFS(Team!B:B, C25, Team!H:H, "W")</f>
        <v>25</v>
      </c>
      <c r="J25" s="25">
        <f>COUNTIFS(Team!A:A, C25, Team!G:G, "L") + COUNTIFS(Team!B:B, C25, Team!H:H, "L")</f>
        <v>31</v>
      </c>
      <c r="K25" s="24">
        <f t="shared" si="1"/>
        <v>0.8064516129</v>
      </c>
    </row>
    <row r="26" ht="15.75" customHeight="1">
      <c r="C26" s="25" t="str">
        <f>IFERROR(__xludf.DUMMYFUNCTION("""COMPUTED_VALUE"""),"Sri Lanka")</f>
        <v>Sri Lanka</v>
      </c>
      <c r="D26" s="25"/>
      <c r="E26" s="25">
        <f>COUNTIFS(Team!A:A, C26, Team!G:G, "W") + COUNTIFS(Team!B:B, C26, Team!H:H, "W")</f>
        <v>8</v>
      </c>
      <c r="J26" s="25">
        <f>COUNTIFS(Team!A:A, C26, Team!G:G, "L") + COUNTIFS(Team!B:B, C26, Team!H:H, "L")</f>
        <v>31</v>
      </c>
      <c r="K26" s="24">
        <f t="shared" si="1"/>
        <v>0.2580645161</v>
      </c>
    </row>
    <row r="27" ht="15.75" customHeight="1">
      <c r="C27" s="25"/>
      <c r="E27" s="25">
        <f>COUNTIFS(Team!A:A, C27, Team!G:G, "W") + COUNTIFS(Team!B:B, C27, Team!H:H, "W")</f>
        <v>0</v>
      </c>
      <c r="J27" s="25">
        <f>COUNTIFS(Team!A:A, C27, Team!G:G, "L") + COUNTIFS(Team!B:B, C27, Team!H:H, "L")</f>
        <v>0</v>
      </c>
      <c r="K27" s="24" t="str">
        <f t="shared" si="1"/>
        <v>N/A</v>
      </c>
    </row>
    <row r="28" ht="15.75" customHeight="1">
      <c r="C28" s="25" t="str">
        <f>IFERROR(__xludf.DUMMYFUNCTION("""COMPUTED_VALUE"""),"Bangladesh")</f>
        <v>Bangladesh</v>
      </c>
      <c r="D28" s="25"/>
      <c r="E28" s="25">
        <f>COUNTIFS(Team!A:A, C28, Team!G:G, "W") + COUNTIFS(Team!B:B, C28, Team!H:H, "W")</f>
        <v>13</v>
      </c>
      <c r="J28" s="25">
        <f>COUNTIFS(Team!A:A, C28, Team!G:G, "L") + COUNTIFS(Team!B:B, C28, Team!H:H, "L")</f>
        <v>25</v>
      </c>
      <c r="K28" s="24">
        <f t="shared" si="1"/>
        <v>0.52</v>
      </c>
    </row>
    <row r="29" ht="15.75" customHeight="1"/>
    <row r="30" ht="15.75" customHeight="1"/>
    <row r="31" ht="15.75" customHeight="1"/>
    <row r="32" ht="15.75" customHeight="1"/>
    <row r="33" ht="15.75" customHeight="1">
      <c r="A33" s="48" t="s">
        <v>392</v>
      </c>
    </row>
    <row r="34" ht="15.75" customHeight="1">
      <c r="A34" s="49" t="s">
        <v>149</v>
      </c>
      <c r="B34" s="50" t="s">
        <v>393</v>
      </c>
      <c r="C34" s="50" t="s">
        <v>394</v>
      </c>
      <c r="D34" s="50" t="s">
        <v>395</v>
      </c>
      <c r="E34" s="50" t="s">
        <v>396</v>
      </c>
      <c r="F34" s="50" t="s">
        <v>397</v>
      </c>
      <c r="G34" s="50" t="s">
        <v>398</v>
      </c>
      <c r="H34" s="50" t="s">
        <v>399</v>
      </c>
      <c r="I34" s="50" t="s">
        <v>400</v>
      </c>
      <c r="J34" s="50" t="s">
        <v>401</v>
      </c>
      <c r="K34" s="50" t="s">
        <v>402</v>
      </c>
      <c r="L34" s="50" t="s">
        <v>403</v>
      </c>
      <c r="M34" s="50" t="s">
        <v>404</v>
      </c>
      <c r="N34" s="50" t="s">
        <v>405</v>
      </c>
      <c r="O34" s="51" t="s">
        <v>406</v>
      </c>
    </row>
    <row r="35" ht="15.75" customHeight="1">
      <c r="A35" s="52" t="s">
        <v>407</v>
      </c>
      <c r="B35" s="53" t="s">
        <v>408</v>
      </c>
      <c r="C35" s="53">
        <v>160.0</v>
      </c>
      <c r="D35" s="53">
        <v>77.0</v>
      </c>
      <c r="E35" s="53">
        <v>78.0</v>
      </c>
      <c r="F35" s="53">
        <v>0.0</v>
      </c>
      <c r="G35" s="53">
        <v>1.0</v>
      </c>
      <c r="H35" s="53">
        <v>0.0</v>
      </c>
      <c r="I35" s="53">
        <v>0.0</v>
      </c>
      <c r="J35" s="53">
        <v>4.0</v>
      </c>
      <c r="K35" s="53">
        <v>0.987</v>
      </c>
      <c r="L35" s="53">
        <v>48.12</v>
      </c>
      <c r="M35" s="53">
        <v>48.75</v>
      </c>
      <c r="N35" s="53">
        <v>0.0</v>
      </c>
      <c r="O35" s="53">
        <v>49.67</v>
      </c>
    </row>
    <row r="36" ht="15.75" customHeight="1">
      <c r="A36" s="52" t="s">
        <v>409</v>
      </c>
      <c r="B36" s="53" t="s">
        <v>410</v>
      </c>
      <c r="C36" s="53">
        <v>6.0</v>
      </c>
      <c r="D36" s="53">
        <v>1.0</v>
      </c>
      <c r="E36" s="53">
        <v>4.0</v>
      </c>
      <c r="F36" s="53">
        <v>0.0</v>
      </c>
      <c r="G36" s="53">
        <v>0.0</v>
      </c>
      <c r="H36" s="53">
        <v>0.0</v>
      </c>
      <c r="I36" s="53">
        <v>0.0</v>
      </c>
      <c r="J36" s="53">
        <v>1.0</v>
      </c>
      <c r="K36" s="53">
        <v>0.25</v>
      </c>
      <c r="L36" s="53">
        <v>16.66</v>
      </c>
      <c r="M36" s="53">
        <v>66.66</v>
      </c>
      <c r="N36" s="53">
        <v>0.0</v>
      </c>
      <c r="O36" s="53">
        <v>20.0</v>
      </c>
    </row>
    <row r="37" ht="15.75" customHeight="1">
      <c r="A37" s="52" t="s">
        <v>411</v>
      </c>
      <c r="B37" s="53" t="s">
        <v>410</v>
      </c>
      <c r="C37" s="53">
        <v>7.0</v>
      </c>
      <c r="D37" s="53">
        <v>4.0</v>
      </c>
      <c r="E37" s="53">
        <v>2.0</v>
      </c>
      <c r="F37" s="53">
        <v>0.0</v>
      </c>
      <c r="G37" s="53">
        <v>0.0</v>
      </c>
      <c r="H37" s="53">
        <v>0.0</v>
      </c>
      <c r="I37" s="53">
        <v>0.0</v>
      </c>
      <c r="J37" s="53">
        <v>1.0</v>
      </c>
      <c r="K37" s="53">
        <v>2.0</v>
      </c>
      <c r="L37" s="53">
        <v>57.14</v>
      </c>
      <c r="M37" s="53">
        <v>28.57</v>
      </c>
      <c r="N37" s="53">
        <v>0.0</v>
      </c>
      <c r="O37" s="53">
        <v>66.66</v>
      </c>
    </row>
    <row r="38" ht="15.75" customHeight="1">
      <c r="A38" s="52" t="s">
        <v>48</v>
      </c>
      <c r="B38" s="53" t="s">
        <v>412</v>
      </c>
      <c r="C38" s="53">
        <v>994.0</v>
      </c>
      <c r="D38" s="53">
        <v>603.0</v>
      </c>
      <c r="E38" s="53">
        <v>348.0</v>
      </c>
      <c r="F38" s="53">
        <v>0.0</v>
      </c>
      <c r="G38" s="53">
        <v>9.0</v>
      </c>
      <c r="H38" s="53">
        <v>0.0</v>
      </c>
      <c r="I38" s="53">
        <v>0.0</v>
      </c>
      <c r="J38" s="53">
        <v>34.0</v>
      </c>
      <c r="K38" s="53">
        <v>1.732</v>
      </c>
      <c r="L38" s="53">
        <v>60.66</v>
      </c>
      <c r="M38" s="53">
        <v>35.01</v>
      </c>
      <c r="N38" s="53">
        <v>0.0</v>
      </c>
      <c r="O38" s="53">
        <v>63.28</v>
      </c>
    </row>
    <row r="39" ht="15.75" customHeight="1">
      <c r="A39" s="52" t="s">
        <v>61</v>
      </c>
      <c r="B39" s="53" t="s">
        <v>413</v>
      </c>
      <c r="C39" s="53">
        <v>431.0</v>
      </c>
      <c r="D39" s="53">
        <v>156.0</v>
      </c>
      <c r="E39" s="53">
        <v>265.0</v>
      </c>
      <c r="F39" s="53">
        <v>0.0</v>
      </c>
      <c r="G39" s="53">
        <v>0.0</v>
      </c>
      <c r="H39" s="53">
        <v>0.0</v>
      </c>
      <c r="I39" s="53">
        <v>0.0</v>
      </c>
      <c r="J39" s="53">
        <v>10.0</v>
      </c>
      <c r="K39" s="53">
        <v>0.588</v>
      </c>
      <c r="L39" s="53">
        <v>36.19</v>
      </c>
      <c r="M39" s="53">
        <v>61.48</v>
      </c>
      <c r="N39" s="53">
        <v>0.0</v>
      </c>
      <c r="O39" s="53">
        <v>37.05</v>
      </c>
    </row>
    <row r="40" ht="15.75" customHeight="1">
      <c r="A40" s="52" t="s">
        <v>414</v>
      </c>
      <c r="B40" s="53" t="s">
        <v>415</v>
      </c>
      <c r="C40" s="53">
        <v>35.0</v>
      </c>
      <c r="D40" s="53">
        <v>7.0</v>
      </c>
      <c r="E40" s="53">
        <v>28.0</v>
      </c>
      <c r="F40" s="53">
        <v>0.0</v>
      </c>
      <c r="G40" s="53">
        <v>0.0</v>
      </c>
      <c r="H40" s="53">
        <v>0.0</v>
      </c>
      <c r="I40" s="53">
        <v>0.0</v>
      </c>
      <c r="J40" s="53">
        <v>0.0</v>
      </c>
      <c r="K40" s="53">
        <v>0.25</v>
      </c>
      <c r="L40" s="53">
        <v>20.0</v>
      </c>
      <c r="M40" s="53">
        <v>80.0</v>
      </c>
      <c r="N40" s="53">
        <v>0.0</v>
      </c>
      <c r="O40" s="53">
        <v>20.0</v>
      </c>
    </row>
    <row r="41" ht="15.75" customHeight="1">
      <c r="A41" s="52" t="s">
        <v>416</v>
      </c>
      <c r="B41" s="53" t="s">
        <v>417</v>
      </c>
      <c r="C41" s="53">
        <v>82.0</v>
      </c>
      <c r="D41" s="53">
        <v>20.0</v>
      </c>
      <c r="E41" s="53">
        <v>60.0</v>
      </c>
      <c r="F41" s="53">
        <v>0.0</v>
      </c>
      <c r="G41" s="53">
        <v>0.0</v>
      </c>
      <c r="H41" s="53">
        <v>0.0</v>
      </c>
      <c r="I41" s="53">
        <v>0.0</v>
      </c>
      <c r="J41" s="53">
        <v>2.0</v>
      </c>
      <c r="K41" s="53">
        <v>0.333</v>
      </c>
      <c r="L41" s="53">
        <v>24.39</v>
      </c>
      <c r="M41" s="53">
        <v>73.17</v>
      </c>
      <c r="N41" s="53">
        <v>0.0</v>
      </c>
      <c r="O41" s="53">
        <v>25.0</v>
      </c>
    </row>
    <row r="42" ht="15.75" customHeight="1">
      <c r="A42" s="52" t="s">
        <v>418</v>
      </c>
      <c r="B42" s="53" t="s">
        <v>419</v>
      </c>
      <c r="C42" s="53">
        <v>3.0</v>
      </c>
      <c r="D42" s="53">
        <v>0.0</v>
      </c>
      <c r="E42" s="53">
        <v>3.0</v>
      </c>
      <c r="F42" s="53">
        <v>0.0</v>
      </c>
      <c r="G42" s="53">
        <v>0.0</v>
      </c>
      <c r="H42" s="53">
        <v>0.0</v>
      </c>
      <c r="I42" s="53">
        <v>0.0</v>
      </c>
      <c r="J42" s="53">
        <v>0.0</v>
      </c>
      <c r="K42" s="53">
        <v>0.0</v>
      </c>
      <c r="L42" s="53">
        <v>0.0</v>
      </c>
      <c r="M42" s="53">
        <v>100.0</v>
      </c>
      <c r="N42" s="53">
        <v>0.0</v>
      </c>
      <c r="O42" s="53" t="s">
        <v>204</v>
      </c>
    </row>
    <row r="43" ht="15.75" customHeight="1">
      <c r="A43" s="52" t="s">
        <v>58</v>
      </c>
      <c r="B43" s="53" t="s">
        <v>412</v>
      </c>
      <c r="C43" s="53">
        <v>792.0</v>
      </c>
      <c r="D43" s="53">
        <v>397.0</v>
      </c>
      <c r="E43" s="53">
        <v>355.0</v>
      </c>
      <c r="F43" s="53">
        <v>0.0</v>
      </c>
      <c r="G43" s="53">
        <v>8.0</v>
      </c>
      <c r="H43" s="53">
        <v>1.0</v>
      </c>
      <c r="I43" s="53">
        <v>0.0</v>
      </c>
      <c r="J43" s="53">
        <v>31.0</v>
      </c>
      <c r="K43" s="53">
        <v>1.118</v>
      </c>
      <c r="L43" s="53">
        <v>50.12</v>
      </c>
      <c r="M43" s="53">
        <v>44.82</v>
      </c>
      <c r="N43" s="53">
        <v>0.0</v>
      </c>
      <c r="O43" s="53">
        <v>52.75</v>
      </c>
    </row>
    <row r="44" ht="15.75" customHeight="1">
      <c r="A44" s="52" t="s">
        <v>420</v>
      </c>
      <c r="B44" s="53" t="s">
        <v>421</v>
      </c>
      <c r="C44" s="53">
        <v>26.0</v>
      </c>
      <c r="D44" s="53">
        <v>9.0</v>
      </c>
      <c r="E44" s="53">
        <v>16.0</v>
      </c>
      <c r="F44" s="53">
        <v>0.0</v>
      </c>
      <c r="G44" s="53">
        <v>0.0</v>
      </c>
      <c r="H44" s="53">
        <v>0.0</v>
      </c>
      <c r="I44" s="53">
        <v>0.0</v>
      </c>
      <c r="J44" s="53">
        <v>1.0</v>
      </c>
      <c r="K44" s="53">
        <v>0.562</v>
      </c>
      <c r="L44" s="53">
        <v>34.61</v>
      </c>
      <c r="M44" s="53">
        <v>61.53</v>
      </c>
      <c r="N44" s="53">
        <v>0.0</v>
      </c>
      <c r="O44" s="53">
        <v>36.0</v>
      </c>
    </row>
    <row r="45" ht="15.75" customHeight="1">
      <c r="A45" s="52" t="s">
        <v>422</v>
      </c>
      <c r="B45" s="53" t="s">
        <v>423</v>
      </c>
      <c r="C45" s="53">
        <v>4.0</v>
      </c>
      <c r="D45" s="53">
        <v>1.0</v>
      </c>
      <c r="E45" s="53">
        <v>3.0</v>
      </c>
      <c r="F45" s="53">
        <v>0.0</v>
      </c>
      <c r="G45" s="53">
        <v>0.0</v>
      </c>
      <c r="H45" s="53">
        <v>0.0</v>
      </c>
      <c r="I45" s="53">
        <v>0.0</v>
      </c>
      <c r="J45" s="53">
        <v>0.0</v>
      </c>
      <c r="K45" s="53">
        <v>0.333</v>
      </c>
      <c r="L45" s="53">
        <v>25.0</v>
      </c>
      <c r="M45" s="53">
        <v>75.0</v>
      </c>
      <c r="N45" s="53">
        <v>0.0</v>
      </c>
      <c r="O45" s="53">
        <v>25.0</v>
      </c>
    </row>
    <row r="46" ht="15.75" customHeight="1">
      <c r="A46" s="52" t="s">
        <v>47</v>
      </c>
      <c r="B46" s="53" t="s">
        <v>424</v>
      </c>
      <c r="C46" s="53">
        <v>1049.0</v>
      </c>
      <c r="D46" s="53">
        <v>555.0</v>
      </c>
      <c r="E46" s="53">
        <v>441.0</v>
      </c>
      <c r="F46" s="53">
        <v>0.0</v>
      </c>
      <c r="G46" s="53">
        <v>9.0</v>
      </c>
      <c r="H46" s="53">
        <v>0.0</v>
      </c>
      <c r="I46" s="53">
        <v>0.0</v>
      </c>
      <c r="J46" s="53">
        <v>44.0</v>
      </c>
      <c r="K46" s="53">
        <v>1.258</v>
      </c>
      <c r="L46" s="53">
        <v>52.9</v>
      </c>
      <c r="M46" s="53">
        <v>42.04</v>
      </c>
      <c r="N46" s="53">
        <v>0.0</v>
      </c>
      <c r="O46" s="53">
        <v>55.67</v>
      </c>
    </row>
    <row r="47" ht="15.75" customHeight="1">
      <c r="A47" s="52" t="s">
        <v>425</v>
      </c>
      <c r="B47" s="53" t="s">
        <v>426</v>
      </c>
      <c r="C47" s="53">
        <v>196.0</v>
      </c>
      <c r="D47" s="53">
        <v>78.0</v>
      </c>
      <c r="E47" s="53">
        <v>101.0</v>
      </c>
      <c r="F47" s="53">
        <v>0.0</v>
      </c>
      <c r="G47" s="53">
        <v>3.0</v>
      </c>
      <c r="H47" s="53">
        <v>0.0</v>
      </c>
      <c r="I47" s="53">
        <v>0.0</v>
      </c>
      <c r="J47" s="53">
        <v>14.0</v>
      </c>
      <c r="K47" s="53">
        <v>0.772</v>
      </c>
      <c r="L47" s="53">
        <v>39.79</v>
      </c>
      <c r="M47" s="53">
        <v>51.53</v>
      </c>
      <c r="N47" s="53">
        <v>0.0</v>
      </c>
      <c r="O47" s="53">
        <v>43.68</v>
      </c>
    </row>
    <row r="48" ht="15.75" customHeight="1">
      <c r="A48" s="52" t="s">
        <v>427</v>
      </c>
      <c r="B48" s="53" t="s">
        <v>428</v>
      </c>
      <c r="C48" s="53">
        <v>5.0</v>
      </c>
      <c r="D48" s="53">
        <v>1.0</v>
      </c>
      <c r="E48" s="53">
        <v>4.0</v>
      </c>
      <c r="F48" s="53">
        <v>0.0</v>
      </c>
      <c r="G48" s="53">
        <v>0.0</v>
      </c>
      <c r="H48" s="53">
        <v>0.0</v>
      </c>
      <c r="I48" s="53">
        <v>0.0</v>
      </c>
      <c r="J48" s="53">
        <v>0.0</v>
      </c>
      <c r="K48" s="53">
        <v>0.25</v>
      </c>
      <c r="L48" s="53">
        <v>20.0</v>
      </c>
      <c r="M48" s="53">
        <v>80.0</v>
      </c>
      <c r="N48" s="53">
        <v>0.0</v>
      </c>
      <c r="O48" s="53">
        <v>20.0</v>
      </c>
    </row>
    <row r="49" ht="15.75" customHeight="1">
      <c r="A49" s="52" t="s">
        <v>429</v>
      </c>
      <c r="B49" s="53" t="s">
        <v>430</v>
      </c>
      <c r="C49" s="53">
        <v>154.0</v>
      </c>
      <c r="D49" s="53">
        <v>42.0</v>
      </c>
      <c r="E49" s="53">
        <v>107.0</v>
      </c>
      <c r="F49" s="53">
        <v>0.0</v>
      </c>
      <c r="G49" s="53">
        <v>0.0</v>
      </c>
      <c r="H49" s="53">
        <v>0.0</v>
      </c>
      <c r="I49" s="53">
        <v>0.0</v>
      </c>
      <c r="J49" s="53">
        <v>5.0</v>
      </c>
      <c r="K49" s="53">
        <v>0.392</v>
      </c>
      <c r="L49" s="53">
        <v>27.27</v>
      </c>
      <c r="M49" s="53">
        <v>69.48</v>
      </c>
      <c r="N49" s="53">
        <v>0.0</v>
      </c>
      <c r="O49" s="53">
        <v>28.18</v>
      </c>
    </row>
    <row r="50" ht="15.75" customHeight="1">
      <c r="A50" s="52" t="s">
        <v>431</v>
      </c>
      <c r="B50" s="53" t="s">
        <v>432</v>
      </c>
      <c r="C50" s="53">
        <v>48.0</v>
      </c>
      <c r="D50" s="53">
        <v>23.0</v>
      </c>
      <c r="E50" s="53">
        <v>24.0</v>
      </c>
      <c r="F50" s="53">
        <v>0.0</v>
      </c>
      <c r="G50" s="53">
        <v>0.0</v>
      </c>
      <c r="H50" s="53">
        <v>0.0</v>
      </c>
      <c r="I50" s="53">
        <v>0.0</v>
      </c>
      <c r="J50" s="53">
        <v>1.0</v>
      </c>
      <c r="K50" s="53">
        <v>0.958</v>
      </c>
      <c r="L50" s="53">
        <v>47.91</v>
      </c>
      <c r="M50" s="53">
        <v>50.0</v>
      </c>
      <c r="N50" s="53">
        <v>0.0</v>
      </c>
      <c r="O50" s="53">
        <v>48.93</v>
      </c>
    </row>
    <row r="51" ht="15.75" customHeight="1">
      <c r="A51" s="52" t="s">
        <v>433</v>
      </c>
      <c r="B51" s="53" t="s">
        <v>434</v>
      </c>
      <c r="C51" s="53">
        <v>59.0</v>
      </c>
      <c r="D51" s="53">
        <v>30.0</v>
      </c>
      <c r="E51" s="53">
        <v>27.0</v>
      </c>
      <c r="F51" s="53">
        <v>0.0</v>
      </c>
      <c r="G51" s="53">
        <v>1.0</v>
      </c>
      <c r="H51" s="53">
        <v>0.0</v>
      </c>
      <c r="I51" s="53">
        <v>0.0</v>
      </c>
      <c r="J51" s="53">
        <v>1.0</v>
      </c>
      <c r="K51" s="53">
        <v>1.111</v>
      </c>
      <c r="L51" s="53">
        <v>50.84</v>
      </c>
      <c r="M51" s="53">
        <v>45.76</v>
      </c>
      <c r="N51" s="53">
        <v>0.0</v>
      </c>
      <c r="O51" s="53">
        <v>52.58</v>
      </c>
    </row>
    <row r="52" ht="15.75" customHeight="1">
      <c r="A52" s="52" t="s">
        <v>435</v>
      </c>
      <c r="B52" s="53" t="s">
        <v>436</v>
      </c>
      <c r="C52" s="53">
        <v>121.0</v>
      </c>
      <c r="D52" s="53">
        <v>41.0</v>
      </c>
      <c r="E52" s="53">
        <v>74.0</v>
      </c>
      <c r="F52" s="53">
        <v>0.0</v>
      </c>
      <c r="G52" s="53">
        <v>1.0</v>
      </c>
      <c r="H52" s="53">
        <v>1.0</v>
      </c>
      <c r="I52" s="53">
        <v>0.0</v>
      </c>
      <c r="J52" s="53">
        <v>4.0</v>
      </c>
      <c r="K52" s="53">
        <v>0.554</v>
      </c>
      <c r="L52" s="53">
        <v>33.88</v>
      </c>
      <c r="M52" s="53">
        <v>61.15</v>
      </c>
      <c r="N52" s="53">
        <v>0.0</v>
      </c>
      <c r="O52" s="53">
        <v>35.89</v>
      </c>
    </row>
    <row r="53" ht="15.75" customHeight="1">
      <c r="A53" s="52" t="s">
        <v>56</v>
      </c>
      <c r="B53" s="53" t="s">
        <v>437</v>
      </c>
      <c r="C53" s="53">
        <v>819.0</v>
      </c>
      <c r="D53" s="53">
        <v>376.0</v>
      </c>
      <c r="E53" s="53">
        <v>393.0</v>
      </c>
      <c r="F53" s="53">
        <v>0.0</v>
      </c>
      <c r="G53" s="53">
        <v>6.0</v>
      </c>
      <c r="H53" s="53">
        <v>0.0</v>
      </c>
      <c r="I53" s="53">
        <v>1.0</v>
      </c>
      <c r="J53" s="53">
        <v>43.0</v>
      </c>
      <c r="K53" s="53">
        <v>0.956</v>
      </c>
      <c r="L53" s="53">
        <v>45.9</v>
      </c>
      <c r="M53" s="53">
        <v>47.98</v>
      </c>
      <c r="N53" s="53">
        <v>0.0</v>
      </c>
      <c r="O53" s="53">
        <v>48.9</v>
      </c>
    </row>
    <row r="54" ht="15.75" customHeight="1">
      <c r="A54" s="52" t="s">
        <v>438</v>
      </c>
      <c r="B54" s="53" t="s">
        <v>439</v>
      </c>
      <c r="C54" s="53">
        <v>46.0</v>
      </c>
      <c r="D54" s="53">
        <v>23.0</v>
      </c>
      <c r="E54" s="53">
        <v>21.0</v>
      </c>
      <c r="F54" s="53">
        <v>0.0</v>
      </c>
      <c r="G54" s="53">
        <v>1.0</v>
      </c>
      <c r="H54" s="53">
        <v>0.0</v>
      </c>
      <c r="I54" s="53">
        <v>0.0</v>
      </c>
      <c r="J54" s="53">
        <v>1.0</v>
      </c>
      <c r="K54" s="53">
        <v>1.095</v>
      </c>
      <c r="L54" s="53">
        <v>50.0</v>
      </c>
      <c r="M54" s="53">
        <v>45.65</v>
      </c>
      <c r="N54" s="53">
        <v>0.0</v>
      </c>
      <c r="O54" s="53">
        <v>52.22</v>
      </c>
    </row>
    <row r="55" ht="15.75" customHeight="1">
      <c r="A55" s="52" t="s">
        <v>59</v>
      </c>
      <c r="B55" s="53" t="s">
        <v>437</v>
      </c>
      <c r="C55" s="53">
        <v>969.0</v>
      </c>
      <c r="D55" s="53">
        <v>512.0</v>
      </c>
      <c r="E55" s="53">
        <v>427.0</v>
      </c>
      <c r="F55" s="53">
        <v>0.0</v>
      </c>
      <c r="G55" s="53">
        <v>8.0</v>
      </c>
      <c r="H55" s="53">
        <v>0.0</v>
      </c>
      <c r="I55" s="53">
        <v>1.0</v>
      </c>
      <c r="J55" s="53">
        <v>21.0</v>
      </c>
      <c r="K55" s="53">
        <v>1.199</v>
      </c>
      <c r="L55" s="53">
        <v>52.83</v>
      </c>
      <c r="M55" s="53">
        <v>44.06</v>
      </c>
      <c r="N55" s="53">
        <v>0.0</v>
      </c>
      <c r="O55" s="53">
        <v>54.48</v>
      </c>
    </row>
    <row r="56" ht="15.75" customHeight="1">
      <c r="A56" s="52" t="s">
        <v>440</v>
      </c>
      <c r="B56" s="53" t="s">
        <v>441</v>
      </c>
      <c r="C56" s="53">
        <v>66.0</v>
      </c>
      <c r="D56" s="53">
        <v>14.0</v>
      </c>
      <c r="E56" s="53">
        <v>51.0</v>
      </c>
      <c r="F56" s="53">
        <v>0.0</v>
      </c>
      <c r="G56" s="53">
        <v>1.0</v>
      </c>
      <c r="H56" s="53">
        <v>0.0</v>
      </c>
      <c r="I56" s="53">
        <v>0.0</v>
      </c>
      <c r="J56" s="53">
        <v>0.0</v>
      </c>
      <c r="K56" s="53">
        <v>0.274</v>
      </c>
      <c r="L56" s="53">
        <v>21.21</v>
      </c>
      <c r="M56" s="53">
        <v>77.27</v>
      </c>
      <c r="N56" s="53">
        <v>0.0</v>
      </c>
      <c r="O56" s="53">
        <v>21.96</v>
      </c>
    </row>
    <row r="57" ht="15.75" customHeight="1">
      <c r="A57" s="52" t="s">
        <v>442</v>
      </c>
      <c r="B57" s="53" t="s">
        <v>443</v>
      </c>
      <c r="C57" s="53">
        <v>153.0</v>
      </c>
      <c r="D57" s="53">
        <v>68.0</v>
      </c>
      <c r="E57" s="53">
        <v>77.0</v>
      </c>
      <c r="F57" s="53">
        <v>0.0</v>
      </c>
      <c r="G57" s="53">
        <v>1.0</v>
      </c>
      <c r="H57" s="53">
        <v>0.0</v>
      </c>
      <c r="I57" s="53">
        <v>0.0</v>
      </c>
      <c r="J57" s="53">
        <v>7.0</v>
      </c>
      <c r="K57" s="53">
        <v>0.883</v>
      </c>
      <c r="L57" s="53">
        <v>44.44</v>
      </c>
      <c r="M57" s="53">
        <v>50.32</v>
      </c>
      <c r="N57" s="53">
        <v>0.0</v>
      </c>
      <c r="O57" s="53">
        <v>46.91</v>
      </c>
    </row>
    <row r="58" ht="15.75" customHeight="1">
      <c r="A58" s="52" t="s">
        <v>54</v>
      </c>
      <c r="B58" s="53" t="s">
        <v>444</v>
      </c>
      <c r="C58" s="53">
        <v>667.0</v>
      </c>
      <c r="D58" s="53">
        <v>408.0</v>
      </c>
      <c r="E58" s="53">
        <v>232.0</v>
      </c>
      <c r="F58" s="53">
        <v>0.0</v>
      </c>
      <c r="G58" s="53">
        <v>6.0</v>
      </c>
      <c r="H58" s="53">
        <v>0.0</v>
      </c>
      <c r="I58" s="53">
        <v>0.0</v>
      </c>
      <c r="J58" s="53">
        <v>21.0</v>
      </c>
      <c r="K58" s="53">
        <v>1.758</v>
      </c>
      <c r="L58" s="53">
        <v>61.16</v>
      </c>
      <c r="M58" s="53">
        <v>34.78</v>
      </c>
      <c r="N58" s="53">
        <v>0.0</v>
      </c>
      <c r="O58" s="53">
        <v>63.62</v>
      </c>
    </row>
    <row r="59" ht="15.75" customHeight="1">
      <c r="A59" s="52" t="s">
        <v>62</v>
      </c>
      <c r="B59" s="53" t="s">
        <v>445</v>
      </c>
      <c r="C59" s="53">
        <v>908.0</v>
      </c>
      <c r="D59" s="53">
        <v>415.0</v>
      </c>
      <c r="E59" s="53">
        <v>449.0</v>
      </c>
      <c r="F59" s="53">
        <v>0.0</v>
      </c>
      <c r="G59" s="53">
        <v>5.0</v>
      </c>
      <c r="H59" s="53">
        <v>0.0</v>
      </c>
      <c r="I59" s="53">
        <v>0.0</v>
      </c>
      <c r="J59" s="53">
        <v>39.0</v>
      </c>
      <c r="K59" s="53">
        <v>0.924</v>
      </c>
      <c r="L59" s="53">
        <v>45.7</v>
      </c>
      <c r="M59" s="53">
        <v>49.44</v>
      </c>
      <c r="N59" s="53">
        <v>0.0</v>
      </c>
      <c r="O59" s="53">
        <v>48.04</v>
      </c>
    </row>
    <row r="60" ht="15.75" customHeight="1">
      <c r="A60" s="52" t="s">
        <v>134</v>
      </c>
      <c r="B60" s="53" t="s">
        <v>446</v>
      </c>
      <c r="C60" s="53">
        <v>108.0</v>
      </c>
      <c r="D60" s="53">
        <v>37.0</v>
      </c>
      <c r="E60" s="53">
        <v>70.0</v>
      </c>
      <c r="F60" s="53">
        <v>0.0</v>
      </c>
      <c r="G60" s="53">
        <v>1.0</v>
      </c>
      <c r="H60" s="53">
        <v>0.0</v>
      </c>
      <c r="I60" s="53">
        <v>0.0</v>
      </c>
      <c r="J60" s="53">
        <v>0.0</v>
      </c>
      <c r="K60" s="53">
        <v>0.528</v>
      </c>
      <c r="L60" s="53">
        <v>34.25</v>
      </c>
      <c r="M60" s="53">
        <v>64.81</v>
      </c>
      <c r="N60" s="53">
        <v>0.0</v>
      </c>
      <c r="O60" s="53">
        <v>34.72</v>
      </c>
    </row>
    <row r="61" ht="15.75" customHeight="1">
      <c r="A61" s="52" t="s">
        <v>447</v>
      </c>
      <c r="B61" s="53" t="s">
        <v>448</v>
      </c>
      <c r="C61" s="53">
        <v>51.0</v>
      </c>
      <c r="D61" s="53">
        <v>22.0</v>
      </c>
      <c r="E61" s="53">
        <v>27.0</v>
      </c>
      <c r="F61" s="53">
        <v>0.0</v>
      </c>
      <c r="G61" s="53">
        <v>2.0</v>
      </c>
      <c r="H61" s="53">
        <v>0.0</v>
      </c>
      <c r="I61" s="53">
        <v>0.0</v>
      </c>
      <c r="J61" s="53">
        <v>0.0</v>
      </c>
      <c r="K61" s="53">
        <v>0.814</v>
      </c>
      <c r="L61" s="53">
        <v>43.13</v>
      </c>
      <c r="M61" s="53">
        <v>52.94</v>
      </c>
      <c r="N61" s="53">
        <v>0.0</v>
      </c>
      <c r="O61" s="53">
        <v>45.09</v>
      </c>
    </row>
    <row r="62" ht="15.75" customHeight="1">
      <c r="A62" s="52" t="s">
        <v>449</v>
      </c>
      <c r="B62" s="53" t="s">
        <v>437</v>
      </c>
      <c r="C62" s="53">
        <v>867.0</v>
      </c>
      <c r="D62" s="53">
        <v>418.0</v>
      </c>
      <c r="E62" s="53">
        <v>408.0</v>
      </c>
      <c r="F62" s="53">
        <v>0.0</v>
      </c>
      <c r="G62" s="53">
        <v>10.0</v>
      </c>
      <c r="H62" s="53">
        <v>0.0</v>
      </c>
      <c r="I62" s="53">
        <v>1.0</v>
      </c>
      <c r="J62" s="53">
        <v>30.0</v>
      </c>
      <c r="K62" s="53">
        <v>1.024</v>
      </c>
      <c r="L62" s="53">
        <v>48.21</v>
      </c>
      <c r="M62" s="53">
        <v>47.05</v>
      </c>
      <c r="N62" s="53">
        <v>0.0</v>
      </c>
      <c r="O62" s="53">
        <v>50.59</v>
      </c>
    </row>
    <row r="63" ht="15.75" customHeight="1">
      <c r="A63" s="54" t="s">
        <v>450</v>
      </c>
      <c r="B63" s="50" t="s">
        <v>451</v>
      </c>
      <c r="C63" s="50">
        <v>566.0</v>
      </c>
      <c r="D63" s="50">
        <v>151.0</v>
      </c>
      <c r="E63" s="50">
        <v>394.0</v>
      </c>
      <c r="F63" s="50">
        <v>0.0</v>
      </c>
      <c r="G63" s="50">
        <v>7.0</v>
      </c>
      <c r="H63" s="50">
        <v>1.0</v>
      </c>
      <c r="I63" s="50">
        <v>0.0</v>
      </c>
      <c r="J63" s="50">
        <v>13.0</v>
      </c>
      <c r="K63" s="50">
        <v>0.383</v>
      </c>
      <c r="L63" s="50">
        <v>26.67</v>
      </c>
      <c r="M63" s="50">
        <v>69.61</v>
      </c>
      <c r="N63" s="50">
        <v>0.0</v>
      </c>
      <c r="O63" s="50">
        <v>28.02</v>
      </c>
    </row>
    <row r="64" ht="15.75" customHeight="1"/>
    <row r="65" ht="15.75" customHeight="1">
      <c r="A65" s="48" t="s">
        <v>452</v>
      </c>
    </row>
    <row r="66" ht="15.75" customHeight="1">
      <c r="A66" s="25" t="s">
        <v>453</v>
      </c>
      <c r="D66" s="25" t="s">
        <v>454</v>
      </c>
      <c r="E66" s="25" t="s">
        <v>455</v>
      </c>
      <c r="F66" s="25" t="s">
        <v>456</v>
      </c>
      <c r="G66" s="25" t="s">
        <v>457</v>
      </c>
    </row>
    <row r="67" ht="15.75" customHeight="1">
      <c r="A67" s="55" t="s">
        <v>458</v>
      </c>
      <c r="B67" s="56"/>
      <c r="C67" s="56"/>
      <c r="D67" s="57">
        <v>242.85</v>
      </c>
      <c r="E67" s="58">
        <v>2.0</v>
      </c>
      <c r="F67" s="58">
        <v>2.0</v>
      </c>
      <c r="G67" s="58">
        <v>17.0</v>
      </c>
    </row>
    <row r="68" ht="15.75" customHeight="1">
      <c r="A68" s="59">
        <v>2.0</v>
      </c>
      <c r="B68" s="59" t="s">
        <v>459</v>
      </c>
      <c r="C68" s="59" t="s">
        <v>460</v>
      </c>
      <c r="D68" s="60">
        <v>80.69</v>
      </c>
      <c r="E68" s="61">
        <v>17.0</v>
      </c>
      <c r="F68" s="61">
        <v>26.0</v>
      </c>
      <c r="G68" s="61">
        <v>1208.0</v>
      </c>
    </row>
    <row r="69" ht="15.75" customHeight="1">
      <c r="A69" s="59">
        <v>3.0</v>
      </c>
      <c r="B69" s="59" t="s">
        <v>461</v>
      </c>
      <c r="C69" s="59" t="s">
        <v>460</v>
      </c>
      <c r="D69" s="60">
        <v>77.77</v>
      </c>
      <c r="E69" s="61">
        <v>2.0</v>
      </c>
      <c r="F69" s="61">
        <v>3.0</v>
      </c>
      <c r="G69" s="61">
        <v>56.0</v>
      </c>
    </row>
    <row r="70" ht="15.75" customHeight="1">
      <c r="A70" s="59">
        <v>4.0</v>
      </c>
      <c r="B70" s="59" t="s">
        <v>462</v>
      </c>
      <c r="C70" s="59" t="s">
        <v>460</v>
      </c>
      <c r="D70" s="60">
        <v>61.94</v>
      </c>
      <c r="E70" s="61">
        <v>17.0</v>
      </c>
      <c r="F70" s="61">
        <v>19.0</v>
      </c>
      <c r="G70" s="61">
        <v>236.0</v>
      </c>
    </row>
    <row r="71" ht="15.75" customHeight="1">
      <c r="A71" s="59">
        <v>5.0</v>
      </c>
      <c r="B71" s="59" t="s">
        <v>463</v>
      </c>
      <c r="C71" s="59" t="s">
        <v>460</v>
      </c>
      <c r="D71" s="60">
        <v>60.33</v>
      </c>
      <c r="E71" s="61">
        <v>14.0</v>
      </c>
      <c r="F71" s="61">
        <v>17.0</v>
      </c>
      <c r="G71" s="61">
        <v>216.0</v>
      </c>
    </row>
    <row r="72" ht="15.75" customHeight="1"/>
    <row r="73" ht="15.75" customHeight="1"/>
    <row r="74" ht="15.75" customHeight="1"/>
    <row r="75" ht="15.75" customHeight="1"/>
    <row r="76" ht="15.75" customHeight="1">
      <c r="A76" s="48" t="s">
        <v>464</v>
      </c>
    </row>
    <row r="77" ht="15.75" customHeight="1">
      <c r="C77" s="25" t="s">
        <v>465</v>
      </c>
      <c r="P77" s="25"/>
      <c r="Q77" s="25" t="s">
        <v>466</v>
      </c>
      <c r="X77" s="25" t="s">
        <v>467</v>
      </c>
      <c r="Y77" s="25" t="s">
        <v>468</v>
      </c>
      <c r="Z77" s="25" t="s">
        <v>469</v>
      </c>
    </row>
    <row r="78" ht="15.75" customHeight="1">
      <c r="A78" s="25" t="s">
        <v>131</v>
      </c>
      <c r="B78" s="25" t="s">
        <v>130</v>
      </c>
      <c r="C78" s="62" t="s">
        <v>150</v>
      </c>
      <c r="D78" s="62" t="s">
        <v>151</v>
      </c>
      <c r="E78" s="62" t="s">
        <v>152</v>
      </c>
      <c r="F78" s="62" t="s">
        <v>153</v>
      </c>
      <c r="G78" s="62" t="s">
        <v>154</v>
      </c>
      <c r="H78" s="63" t="s">
        <v>155</v>
      </c>
      <c r="I78" s="62" t="s">
        <v>156</v>
      </c>
      <c r="J78" s="63" t="s">
        <v>157</v>
      </c>
      <c r="K78" s="62">
        <v>100.0</v>
      </c>
      <c r="L78" s="62">
        <v>200.0</v>
      </c>
      <c r="M78" s="62">
        <v>50.0</v>
      </c>
      <c r="N78" s="62" t="s">
        <v>158</v>
      </c>
      <c r="O78" s="62" t="s">
        <v>159</v>
      </c>
      <c r="P78" s="62"/>
      <c r="Q78" s="62" t="s">
        <v>150</v>
      </c>
      <c r="R78" s="62" t="s">
        <v>151</v>
      </c>
      <c r="S78" s="62" t="s">
        <v>339</v>
      </c>
      <c r="T78" s="62" t="s">
        <v>153</v>
      </c>
      <c r="U78" s="62" t="s">
        <v>340</v>
      </c>
      <c r="V78" s="62" t="s">
        <v>341</v>
      </c>
      <c r="W78" s="62" t="s">
        <v>342</v>
      </c>
      <c r="X78" s="63" t="s">
        <v>343</v>
      </c>
      <c r="Y78" s="63" t="s">
        <v>155</v>
      </c>
      <c r="Z78" s="63" t="s">
        <v>157</v>
      </c>
      <c r="AA78" s="62" t="s">
        <v>344</v>
      </c>
      <c r="AB78" s="62" t="s">
        <v>345</v>
      </c>
    </row>
    <row r="79" ht="15.75" customHeight="1">
      <c r="A79" s="25" t="s">
        <v>162</v>
      </c>
      <c r="B79" s="25" t="s">
        <v>47</v>
      </c>
      <c r="C79" s="64">
        <v>259.0</v>
      </c>
      <c r="D79" s="64">
        <v>251.0</v>
      </c>
      <c r="E79" s="64">
        <v>36.0</v>
      </c>
      <c r="F79" s="64">
        <v>10554.0</v>
      </c>
      <c r="G79" s="64">
        <v>264.0</v>
      </c>
      <c r="H79" s="64">
        <v>49.09</v>
      </c>
      <c r="I79" s="64">
        <v>11530.0</v>
      </c>
      <c r="J79" s="64">
        <v>91.54</v>
      </c>
      <c r="K79" s="64">
        <v>31.0</v>
      </c>
      <c r="L79" s="64">
        <v>3.0</v>
      </c>
      <c r="M79" s="64">
        <v>54.0</v>
      </c>
      <c r="N79" s="64">
        <v>977.0</v>
      </c>
      <c r="O79" s="64">
        <v>314.0</v>
      </c>
      <c r="P79" s="25" t="s">
        <v>162</v>
      </c>
      <c r="Q79" s="64">
        <v>259.0</v>
      </c>
      <c r="R79" s="64">
        <v>38.0</v>
      </c>
      <c r="S79" s="64">
        <v>593.0</v>
      </c>
      <c r="T79" s="64">
        <v>515.0</v>
      </c>
      <c r="U79" s="64">
        <v>8.0</v>
      </c>
      <c r="V79" s="65">
        <v>44984.0</v>
      </c>
      <c r="W79" s="65">
        <v>44984.0</v>
      </c>
      <c r="X79" s="64">
        <v>5.21</v>
      </c>
      <c r="Y79" s="64">
        <v>64.38</v>
      </c>
      <c r="Z79" s="64">
        <v>74.12</v>
      </c>
      <c r="AA79" s="64">
        <v>0.0</v>
      </c>
      <c r="AB79" s="64">
        <v>0.0</v>
      </c>
    </row>
    <row r="80" ht="15.75" customHeight="1">
      <c r="A80" s="25" t="s">
        <v>163</v>
      </c>
      <c r="B80" s="25" t="s">
        <v>47</v>
      </c>
      <c r="C80" s="64">
        <v>41.0</v>
      </c>
      <c r="D80" s="64">
        <v>41.0</v>
      </c>
      <c r="E80" s="64">
        <v>6.0</v>
      </c>
      <c r="F80" s="64">
        <v>2136.0</v>
      </c>
      <c r="G80" s="64">
        <v>208.0</v>
      </c>
      <c r="H80" s="64">
        <v>61.03</v>
      </c>
      <c r="I80" s="64">
        <v>2090.0</v>
      </c>
      <c r="J80" s="64">
        <v>102.2</v>
      </c>
      <c r="K80" s="64">
        <v>6.0</v>
      </c>
      <c r="L80" s="64">
        <v>1.0</v>
      </c>
      <c r="M80" s="64">
        <v>11.0</v>
      </c>
      <c r="N80" s="64">
        <v>244.0</v>
      </c>
      <c r="O80" s="64">
        <v>45.0</v>
      </c>
      <c r="P80" s="25" t="s">
        <v>163</v>
      </c>
    </row>
    <row r="81" ht="15.75" customHeight="1">
      <c r="A81" s="25" t="s">
        <v>164</v>
      </c>
      <c r="B81" s="25" t="s">
        <v>47</v>
      </c>
      <c r="C81" s="64">
        <v>289.0</v>
      </c>
      <c r="D81" s="64">
        <v>277.0</v>
      </c>
      <c r="E81" s="64">
        <v>44.0</v>
      </c>
      <c r="F81" s="64">
        <v>13626.0</v>
      </c>
      <c r="G81" s="64">
        <v>183.0</v>
      </c>
      <c r="H81" s="64">
        <v>58.48</v>
      </c>
      <c r="I81" s="64">
        <v>14565.0</v>
      </c>
      <c r="J81" s="64">
        <v>93.55</v>
      </c>
      <c r="K81" s="64">
        <v>49.0</v>
      </c>
      <c r="L81" s="64">
        <v>0.0</v>
      </c>
      <c r="M81" s="64">
        <v>70.0</v>
      </c>
      <c r="N81" s="64">
        <v>1276.0</v>
      </c>
      <c r="O81" s="64">
        <v>149.0</v>
      </c>
      <c r="P81" s="25" t="s">
        <v>164</v>
      </c>
      <c r="Q81" s="64">
        <v>289.0</v>
      </c>
      <c r="R81" s="64">
        <v>49.0</v>
      </c>
      <c r="S81" s="64">
        <v>644.0</v>
      </c>
      <c r="T81" s="64">
        <v>667.0</v>
      </c>
      <c r="U81" s="64">
        <v>4.0</v>
      </c>
      <c r="V81" s="65">
        <v>44941.0</v>
      </c>
      <c r="W81" s="65">
        <v>44941.0</v>
      </c>
      <c r="X81" s="64">
        <v>6.21</v>
      </c>
      <c r="Y81" s="64">
        <v>166.75</v>
      </c>
      <c r="Z81" s="64">
        <v>161.0</v>
      </c>
      <c r="AA81" s="64">
        <v>0.0</v>
      </c>
      <c r="AB81" s="64">
        <v>0.0</v>
      </c>
    </row>
    <row r="82" ht="15.75" customHeight="1">
      <c r="A82" s="25" t="s">
        <v>165</v>
      </c>
      <c r="B82" s="25" t="s">
        <v>47</v>
      </c>
      <c r="C82" s="64">
        <v>55.0</v>
      </c>
      <c r="D82" s="64">
        <v>50.0</v>
      </c>
      <c r="E82" s="64">
        <v>5.0</v>
      </c>
      <c r="F82" s="64">
        <v>2094.0</v>
      </c>
      <c r="G82" s="64">
        <v>113.0</v>
      </c>
      <c r="H82" s="64">
        <v>46.53</v>
      </c>
      <c r="I82" s="64">
        <v>2141.0</v>
      </c>
      <c r="J82" s="64">
        <v>97.8</v>
      </c>
      <c r="K82" s="64">
        <v>3.0</v>
      </c>
      <c r="L82" s="64">
        <v>0.0</v>
      </c>
      <c r="M82" s="64">
        <v>17.0</v>
      </c>
      <c r="N82" s="64">
        <v>198.0</v>
      </c>
      <c r="O82" s="64">
        <v>48.0</v>
      </c>
      <c r="P82" s="25" t="s">
        <v>165</v>
      </c>
      <c r="Q82" s="64">
        <v>55.0</v>
      </c>
      <c r="R82" s="64">
        <v>5.0</v>
      </c>
      <c r="S82" s="64">
        <v>37.0</v>
      </c>
      <c r="T82" s="64">
        <v>39.0</v>
      </c>
      <c r="U82" s="64">
        <v>0.0</v>
      </c>
      <c r="V82" s="64" t="s">
        <v>349</v>
      </c>
      <c r="W82" s="64" t="s">
        <v>349</v>
      </c>
      <c r="X82" s="64">
        <v>6.32</v>
      </c>
      <c r="Y82" s="64">
        <v>0.0</v>
      </c>
      <c r="Z82" s="64">
        <v>0.0</v>
      </c>
      <c r="AA82" s="64">
        <v>0.0</v>
      </c>
      <c r="AB82" s="64">
        <v>0.0</v>
      </c>
    </row>
    <row r="83" ht="15.75" customHeight="1">
      <c r="A83" s="25" t="s">
        <v>166</v>
      </c>
      <c r="B83" s="25" t="s">
        <v>47</v>
      </c>
      <c r="C83" s="64">
        <v>34.0</v>
      </c>
      <c r="D83" s="64">
        <v>32.0</v>
      </c>
      <c r="E83" s="64">
        <v>4.0</v>
      </c>
      <c r="F83" s="64">
        <v>752.0</v>
      </c>
      <c r="G83" s="64">
        <v>72.0</v>
      </c>
      <c r="H83" s="64">
        <v>26.86</v>
      </c>
      <c r="I83" s="64">
        <v>705.0</v>
      </c>
      <c r="J83" s="64">
        <v>106.67</v>
      </c>
      <c r="K83" s="64">
        <v>0.0</v>
      </c>
      <c r="L83" s="64">
        <v>0.0</v>
      </c>
      <c r="M83" s="64">
        <v>4.0</v>
      </c>
      <c r="N83" s="64">
        <v>79.0</v>
      </c>
      <c r="O83" s="64">
        <v>19.0</v>
      </c>
      <c r="P83" s="25" t="s">
        <v>166</v>
      </c>
    </row>
    <row r="84" ht="15.75" customHeight="1">
      <c r="A84" s="25" t="s">
        <v>167</v>
      </c>
      <c r="B84" s="25" t="s">
        <v>47</v>
      </c>
      <c r="C84" s="64">
        <v>86.0</v>
      </c>
      <c r="D84" s="64">
        <v>61.0</v>
      </c>
      <c r="E84" s="64">
        <v>9.0</v>
      </c>
      <c r="F84" s="64">
        <v>1769.0</v>
      </c>
      <c r="G84" s="64">
        <v>92.0</v>
      </c>
      <c r="H84" s="64">
        <v>34.02</v>
      </c>
      <c r="I84" s="64">
        <v>1603.0</v>
      </c>
      <c r="J84" s="64">
        <v>110.36</v>
      </c>
      <c r="K84" s="64">
        <v>0.0</v>
      </c>
      <c r="L84" s="64">
        <v>0.0</v>
      </c>
      <c r="M84" s="64">
        <v>11.0</v>
      </c>
      <c r="N84" s="64">
        <v>132.0</v>
      </c>
      <c r="O84" s="64">
        <v>67.0</v>
      </c>
      <c r="P84" s="25" t="s">
        <v>167</v>
      </c>
      <c r="Q84" s="64">
        <v>86.0</v>
      </c>
      <c r="R84" s="64">
        <v>80.0</v>
      </c>
      <c r="S84" s="64">
        <v>3199.0</v>
      </c>
      <c r="T84" s="64">
        <v>2960.0</v>
      </c>
      <c r="U84" s="64">
        <v>84.0</v>
      </c>
      <c r="V84" s="65">
        <v>45040.0</v>
      </c>
      <c r="W84" s="65">
        <v>45040.0</v>
      </c>
      <c r="X84" s="64">
        <v>5.55</v>
      </c>
      <c r="Y84" s="64">
        <v>35.24</v>
      </c>
      <c r="Z84" s="64">
        <v>38.08</v>
      </c>
      <c r="AA84" s="64">
        <v>0.0</v>
      </c>
      <c r="AB84" s="64">
        <v>0.0</v>
      </c>
    </row>
    <row r="85" ht="15.75" customHeight="1">
      <c r="A85" s="25" t="s">
        <v>168</v>
      </c>
      <c r="B85" s="25" t="s">
        <v>47</v>
      </c>
      <c r="C85" s="64">
        <v>194.0</v>
      </c>
      <c r="D85" s="64">
        <v>131.0</v>
      </c>
      <c r="E85" s="64">
        <v>47.0</v>
      </c>
      <c r="F85" s="64">
        <v>2747.0</v>
      </c>
      <c r="G85" s="64">
        <v>87.0</v>
      </c>
      <c r="H85" s="64">
        <v>32.7</v>
      </c>
      <c r="I85" s="64">
        <v>3218.0</v>
      </c>
      <c r="J85" s="64">
        <v>85.36</v>
      </c>
      <c r="K85" s="64">
        <v>0.0</v>
      </c>
      <c r="L85" s="64">
        <v>0.0</v>
      </c>
      <c r="M85" s="64">
        <v>13.0</v>
      </c>
      <c r="N85" s="64">
        <v>199.0</v>
      </c>
      <c r="O85" s="64">
        <v>54.0</v>
      </c>
      <c r="P85" s="25" t="s">
        <v>168</v>
      </c>
      <c r="Q85" s="64">
        <v>194.0</v>
      </c>
      <c r="R85" s="64">
        <v>186.0</v>
      </c>
      <c r="S85" s="64">
        <v>9576.0</v>
      </c>
      <c r="T85" s="64">
        <v>7781.0</v>
      </c>
      <c r="U85" s="64">
        <v>218.0</v>
      </c>
      <c r="V85" s="64" t="s">
        <v>350</v>
      </c>
      <c r="W85" s="64" t="s">
        <v>350</v>
      </c>
      <c r="X85" s="64">
        <v>4.88</v>
      </c>
      <c r="Y85" s="64">
        <v>35.69</v>
      </c>
      <c r="Z85" s="64">
        <v>43.93</v>
      </c>
      <c r="AA85" s="64">
        <v>2.0</v>
      </c>
      <c r="AB85" s="64">
        <v>0.0</v>
      </c>
    </row>
    <row r="86" ht="15.75" customHeight="1">
      <c r="A86" s="25" t="s">
        <v>169</v>
      </c>
      <c r="B86" s="25" t="s">
        <v>47</v>
      </c>
      <c r="C86" s="64">
        <v>116.0</v>
      </c>
      <c r="D86" s="64">
        <v>63.0</v>
      </c>
      <c r="E86" s="64">
        <v>20.0</v>
      </c>
      <c r="F86" s="64">
        <v>707.0</v>
      </c>
      <c r="G86" s="64">
        <v>65.0</v>
      </c>
      <c r="H86" s="64">
        <v>16.44</v>
      </c>
      <c r="I86" s="64">
        <v>813.0</v>
      </c>
      <c r="J86" s="64">
        <v>86.96</v>
      </c>
      <c r="K86" s="64">
        <v>0.0</v>
      </c>
      <c r="L86" s="64">
        <v>0.0</v>
      </c>
      <c r="M86" s="64">
        <v>1.0</v>
      </c>
      <c r="N86" s="64">
        <v>60.0</v>
      </c>
      <c r="O86" s="64">
        <v>7.0</v>
      </c>
      <c r="P86" s="25" t="s">
        <v>169</v>
      </c>
      <c r="Q86" s="64">
        <v>116.0</v>
      </c>
      <c r="R86" s="64">
        <v>114.0</v>
      </c>
      <c r="S86" s="64">
        <v>6303.0</v>
      </c>
      <c r="T86" s="64">
        <v>5180.0</v>
      </c>
      <c r="U86" s="64">
        <v>156.0</v>
      </c>
      <c r="V86" s="65">
        <v>45041.0</v>
      </c>
      <c r="W86" s="65">
        <v>45041.0</v>
      </c>
      <c r="X86" s="64">
        <v>4.93</v>
      </c>
      <c r="Y86" s="64">
        <v>33.21</v>
      </c>
      <c r="Z86" s="64">
        <v>40.4</v>
      </c>
      <c r="AA86" s="64">
        <v>0.0</v>
      </c>
      <c r="AB86" s="64">
        <v>0.0</v>
      </c>
    </row>
    <row r="87" ht="15.75" customHeight="1">
      <c r="A87" s="25" t="s">
        <v>170</v>
      </c>
      <c r="B87" s="25" t="s">
        <v>47</v>
      </c>
      <c r="C87" s="64">
        <v>69.0</v>
      </c>
      <c r="D87" s="64">
        <v>65.0</v>
      </c>
      <c r="E87" s="64">
        <v>13.0</v>
      </c>
      <c r="F87" s="64">
        <v>2536.0</v>
      </c>
      <c r="G87" s="64">
        <v>112.0</v>
      </c>
      <c r="H87" s="64">
        <v>48.77</v>
      </c>
      <c r="I87" s="64">
        <v>2921.0</v>
      </c>
      <c r="J87" s="64">
        <v>86.82</v>
      </c>
      <c r="K87" s="64">
        <v>6.0</v>
      </c>
      <c r="L87" s="64">
        <v>0.0</v>
      </c>
      <c r="M87" s="64">
        <v>16.0</v>
      </c>
      <c r="N87" s="64">
        <v>198.0</v>
      </c>
      <c r="O87" s="64">
        <v>55.0</v>
      </c>
      <c r="P87" s="25" t="s">
        <v>170</v>
      </c>
    </row>
    <row r="88" ht="15.75" customHeight="1">
      <c r="A88" s="25" t="s">
        <v>171</v>
      </c>
      <c r="B88" s="25" t="s">
        <v>47</v>
      </c>
      <c r="C88" s="64">
        <v>27.0</v>
      </c>
      <c r="D88" s="64">
        <v>24.0</v>
      </c>
      <c r="E88" s="64">
        <v>2.0</v>
      </c>
      <c r="F88" s="64">
        <v>933.0</v>
      </c>
      <c r="G88" s="64">
        <v>210.0</v>
      </c>
      <c r="H88" s="64">
        <v>42.41</v>
      </c>
      <c r="I88" s="64">
        <v>913.0</v>
      </c>
      <c r="J88" s="64">
        <v>102.19</v>
      </c>
      <c r="K88" s="64">
        <v>1.0</v>
      </c>
      <c r="L88" s="64">
        <v>1.0</v>
      </c>
      <c r="M88" s="64">
        <v>7.0</v>
      </c>
      <c r="N88" s="64">
        <v>95.0</v>
      </c>
      <c r="O88" s="64">
        <v>33.0</v>
      </c>
      <c r="P88" s="25" t="s">
        <v>171</v>
      </c>
    </row>
    <row r="89" ht="15.75" customHeight="1">
      <c r="A89" s="25" t="s">
        <v>172</v>
      </c>
      <c r="B89" s="25" t="s">
        <v>47</v>
      </c>
      <c r="C89" s="64">
        <v>47.0</v>
      </c>
      <c r="D89" s="64">
        <v>25.0</v>
      </c>
      <c r="E89" s="64">
        <v>6.0</v>
      </c>
      <c r="F89" s="64">
        <v>329.0</v>
      </c>
      <c r="G89" s="64">
        <v>50.0</v>
      </c>
      <c r="H89" s="64">
        <v>17.32</v>
      </c>
      <c r="I89" s="64">
        <v>313.0</v>
      </c>
      <c r="J89" s="64">
        <v>105.11</v>
      </c>
      <c r="K89" s="64">
        <v>0.0</v>
      </c>
      <c r="L89" s="64">
        <v>0.0</v>
      </c>
      <c r="M89" s="64">
        <v>1.0</v>
      </c>
      <c r="N89" s="64">
        <v>31.0</v>
      </c>
      <c r="O89" s="64">
        <v>9.0</v>
      </c>
      <c r="P89" s="25" t="s">
        <v>172</v>
      </c>
      <c r="Q89" s="64">
        <v>47.0</v>
      </c>
      <c r="R89" s="64">
        <v>46.0</v>
      </c>
      <c r="S89" s="64">
        <v>1940.0</v>
      </c>
      <c r="T89" s="64">
        <v>2014.0</v>
      </c>
      <c r="U89" s="64">
        <v>65.0</v>
      </c>
      <c r="V89" s="64" t="s">
        <v>351</v>
      </c>
      <c r="W89" s="64" t="s">
        <v>351</v>
      </c>
      <c r="X89" s="64">
        <v>6.23</v>
      </c>
      <c r="Y89" s="64">
        <v>30.98</v>
      </c>
      <c r="Z89" s="64">
        <v>29.85</v>
      </c>
      <c r="AA89" s="64">
        <v>0.0</v>
      </c>
      <c r="AB89" s="64">
        <v>0.0</v>
      </c>
    </row>
    <row r="90" ht="15.75" customHeight="1">
      <c r="A90" s="25" t="s">
        <v>173</v>
      </c>
      <c r="B90" s="25" t="s">
        <v>47</v>
      </c>
      <c r="C90" s="64">
        <v>86.0</v>
      </c>
      <c r="D90" s="64">
        <v>25.0</v>
      </c>
      <c r="E90" s="64">
        <v>14.0</v>
      </c>
      <c r="F90" s="64">
        <v>90.0</v>
      </c>
      <c r="G90" s="64">
        <v>16.0</v>
      </c>
      <c r="H90" s="64">
        <v>8.18</v>
      </c>
      <c r="I90" s="64">
        <v>156.0</v>
      </c>
      <c r="J90" s="64">
        <v>57.69</v>
      </c>
      <c r="K90" s="64">
        <v>0.0</v>
      </c>
      <c r="L90" s="64">
        <v>0.0</v>
      </c>
      <c r="M90" s="64">
        <v>0.0</v>
      </c>
      <c r="N90" s="64">
        <v>10.0</v>
      </c>
      <c r="O90" s="64">
        <v>1.0</v>
      </c>
      <c r="P90" s="25" t="s">
        <v>173</v>
      </c>
      <c r="Q90" s="64">
        <v>86.0</v>
      </c>
      <c r="R90" s="64">
        <v>85.0</v>
      </c>
      <c r="S90" s="64">
        <v>4412.0</v>
      </c>
      <c r="T90" s="64">
        <v>3369.0</v>
      </c>
      <c r="U90" s="64">
        <v>144.0</v>
      </c>
      <c r="V90" s="65">
        <v>45096.0</v>
      </c>
      <c r="W90" s="65">
        <v>45096.0</v>
      </c>
      <c r="X90" s="64">
        <v>4.58</v>
      </c>
      <c r="Y90" s="64">
        <v>23.4</v>
      </c>
      <c r="Z90" s="64">
        <v>30.64</v>
      </c>
      <c r="AA90" s="64">
        <v>2.0</v>
      </c>
      <c r="AB90" s="64">
        <v>0.0</v>
      </c>
    </row>
    <row r="91" ht="15.75" customHeight="1">
      <c r="A91" s="25" t="s">
        <v>174</v>
      </c>
      <c r="B91" s="25" t="s">
        <v>47</v>
      </c>
      <c r="C91" s="64">
        <v>98.0</v>
      </c>
      <c r="D91" s="64">
        <v>35.0</v>
      </c>
      <c r="E91" s="64">
        <v>18.0</v>
      </c>
      <c r="F91" s="64">
        <v>179.0</v>
      </c>
      <c r="G91" s="64">
        <v>19.0</v>
      </c>
      <c r="H91" s="64">
        <v>10.53</v>
      </c>
      <c r="I91" s="64">
        <v>315.0</v>
      </c>
      <c r="J91" s="64">
        <v>56.83</v>
      </c>
      <c r="K91" s="64">
        <v>0.0</v>
      </c>
      <c r="L91" s="64">
        <v>0.0</v>
      </c>
      <c r="M91" s="64">
        <v>0.0</v>
      </c>
      <c r="N91" s="64">
        <v>14.0</v>
      </c>
      <c r="O91" s="64">
        <v>0.0</v>
      </c>
      <c r="P91" s="25" t="s">
        <v>174</v>
      </c>
      <c r="Q91" s="64">
        <v>98.0</v>
      </c>
      <c r="R91" s="64">
        <v>95.0</v>
      </c>
      <c r="S91" s="64">
        <v>4946.0</v>
      </c>
      <c r="T91" s="64">
        <v>4166.0</v>
      </c>
      <c r="U91" s="64">
        <v>164.0</v>
      </c>
      <c r="V91" s="65">
        <v>45102.0</v>
      </c>
      <c r="W91" s="65">
        <v>45102.0</v>
      </c>
      <c r="X91" s="64">
        <v>5.05</v>
      </c>
      <c r="Y91" s="64">
        <v>25.4</v>
      </c>
      <c r="Z91" s="64">
        <v>30.16</v>
      </c>
      <c r="AA91" s="64">
        <v>2.0</v>
      </c>
      <c r="AB91" s="64">
        <v>0.0</v>
      </c>
    </row>
    <row r="92" ht="15.75" customHeight="1">
      <c r="A92" s="25" t="s">
        <v>175</v>
      </c>
      <c r="B92" s="25" t="s">
        <v>47</v>
      </c>
      <c r="C92" s="64">
        <v>98.0</v>
      </c>
      <c r="D92" s="64">
        <v>47.0</v>
      </c>
      <c r="E92" s="64">
        <v>20.0</v>
      </c>
      <c r="F92" s="64">
        <v>214.0</v>
      </c>
      <c r="G92" s="64">
        <v>25.0</v>
      </c>
      <c r="H92" s="64">
        <v>7.93</v>
      </c>
      <c r="I92" s="64">
        <v>255.0</v>
      </c>
      <c r="J92" s="64">
        <v>83.92</v>
      </c>
      <c r="K92" s="64">
        <v>0.0</v>
      </c>
      <c r="L92" s="64">
        <v>0.0</v>
      </c>
      <c r="M92" s="64">
        <v>0.0</v>
      </c>
      <c r="N92" s="64">
        <v>16.0</v>
      </c>
      <c r="O92" s="64">
        <v>9.0</v>
      </c>
      <c r="P92" s="25" t="s">
        <v>175</v>
      </c>
      <c r="Q92" s="64">
        <v>98.0</v>
      </c>
      <c r="R92" s="64">
        <v>97.0</v>
      </c>
      <c r="S92" s="64">
        <v>4848.0</v>
      </c>
      <c r="T92" s="64">
        <v>4473.0</v>
      </c>
      <c r="U92" s="64">
        <v>187.0</v>
      </c>
      <c r="V92" s="65">
        <v>45064.0</v>
      </c>
      <c r="W92" s="65">
        <v>45064.0</v>
      </c>
      <c r="X92" s="64">
        <v>5.54</v>
      </c>
      <c r="Y92" s="64">
        <v>23.92</v>
      </c>
      <c r="Z92" s="64">
        <v>25.93</v>
      </c>
      <c r="AA92" s="64">
        <v>4.0</v>
      </c>
      <c r="AB92" s="64">
        <v>0.0</v>
      </c>
    </row>
    <row r="93" ht="15.75" customHeight="1">
      <c r="A93" s="25" t="s">
        <v>176</v>
      </c>
      <c r="B93" s="25" t="s">
        <v>47</v>
      </c>
      <c r="C93" s="64">
        <v>38.0</v>
      </c>
      <c r="D93" s="64">
        <v>13.0</v>
      </c>
      <c r="E93" s="64">
        <v>7.0</v>
      </c>
      <c r="F93" s="64">
        <v>37.0</v>
      </c>
      <c r="G93" s="64">
        <v>9.0</v>
      </c>
      <c r="H93" s="64">
        <v>6.17</v>
      </c>
      <c r="I93" s="64">
        <v>92.0</v>
      </c>
      <c r="J93" s="64">
        <v>40.22</v>
      </c>
      <c r="K93" s="64">
        <v>0.0</v>
      </c>
      <c r="L93" s="64">
        <v>0.0</v>
      </c>
      <c r="M93" s="64">
        <v>0.0</v>
      </c>
      <c r="N93" s="64">
        <v>2.0</v>
      </c>
      <c r="O93" s="64">
        <v>0.0</v>
      </c>
      <c r="P93" s="25" t="s">
        <v>176</v>
      </c>
      <c r="Q93" s="64">
        <v>38.0</v>
      </c>
      <c r="R93" s="64">
        <v>37.0</v>
      </c>
      <c r="S93" s="64">
        <v>1693.0</v>
      </c>
      <c r="T93" s="64">
        <v>1399.0</v>
      </c>
      <c r="U93" s="64">
        <v>64.0</v>
      </c>
      <c r="V93" s="65">
        <v>45098.0</v>
      </c>
      <c r="W93" s="65">
        <v>45098.0</v>
      </c>
      <c r="X93" s="64">
        <v>4.96</v>
      </c>
      <c r="Y93" s="64">
        <v>21.86</v>
      </c>
      <c r="Z93" s="64">
        <v>26.45</v>
      </c>
      <c r="AA93" s="64">
        <v>1.0</v>
      </c>
      <c r="AB93" s="64">
        <v>0.0</v>
      </c>
    </row>
    <row r="94" ht="15.75" customHeight="1">
      <c r="A94" s="25" t="s">
        <v>177</v>
      </c>
      <c r="B94" s="25" t="s">
        <v>47</v>
      </c>
      <c r="C94" s="64">
        <v>17.0</v>
      </c>
      <c r="D94" s="64">
        <v>7.0</v>
      </c>
      <c r="E94" s="64">
        <v>5.0</v>
      </c>
      <c r="F94" s="64">
        <v>2.0</v>
      </c>
      <c r="G94" s="64">
        <v>2.0</v>
      </c>
      <c r="H94" s="64">
        <v>1.0</v>
      </c>
      <c r="I94" s="64">
        <v>17.0</v>
      </c>
      <c r="J94" s="64">
        <v>11.76</v>
      </c>
      <c r="K94" s="64">
        <v>0.0</v>
      </c>
      <c r="L94" s="64">
        <v>0.0</v>
      </c>
      <c r="M94" s="64">
        <v>0.0</v>
      </c>
      <c r="N94" s="64">
        <v>0.0</v>
      </c>
      <c r="O94" s="64">
        <v>0.0</v>
      </c>
      <c r="P94" s="25" t="s">
        <v>177</v>
      </c>
      <c r="Q94" s="64">
        <v>17.0</v>
      </c>
      <c r="R94" s="64">
        <v>17.0</v>
      </c>
      <c r="S94" s="64">
        <v>794.0</v>
      </c>
      <c r="T94" s="64">
        <v>742.0</v>
      </c>
      <c r="U94" s="64">
        <v>29.0</v>
      </c>
      <c r="V94" s="65">
        <v>45028.0</v>
      </c>
      <c r="W94" s="65">
        <v>45028.0</v>
      </c>
      <c r="X94" s="64">
        <v>5.61</v>
      </c>
      <c r="Y94" s="64">
        <v>25.59</v>
      </c>
      <c r="Z94" s="64">
        <v>27.38</v>
      </c>
      <c r="AA94" s="64">
        <v>0.0</v>
      </c>
      <c r="AB94" s="64">
        <v>0.0</v>
      </c>
    </row>
    <row r="95" ht="15.75" customHeight="1">
      <c r="A95" s="66" t="s">
        <v>178</v>
      </c>
      <c r="B95" s="25" t="s">
        <v>54</v>
      </c>
      <c r="C95" s="64">
        <v>36.0</v>
      </c>
      <c r="D95" s="64">
        <v>35.0</v>
      </c>
      <c r="E95" s="64">
        <v>3.0</v>
      </c>
      <c r="F95" s="64">
        <v>1489.0</v>
      </c>
      <c r="G95" s="64">
        <v>144.0</v>
      </c>
      <c r="H95" s="64">
        <v>46.53</v>
      </c>
      <c r="I95" s="64">
        <v>1666.0</v>
      </c>
      <c r="J95" s="64">
        <v>89.38</v>
      </c>
      <c r="K95" s="64">
        <v>5.0</v>
      </c>
      <c r="L95" s="64">
        <v>0.0</v>
      </c>
      <c r="M95" s="64">
        <v>4.0</v>
      </c>
      <c r="N95" s="64">
        <v>143.0</v>
      </c>
      <c r="O95" s="64">
        <v>23.0</v>
      </c>
      <c r="Q95" s="64">
        <v>36.0</v>
      </c>
      <c r="R95" s="64">
        <v>1.0</v>
      </c>
      <c r="S95" s="64">
        <v>37.0</v>
      </c>
      <c r="T95" s="64">
        <v>22.0</v>
      </c>
      <c r="U95" s="64">
        <v>0.0</v>
      </c>
      <c r="V95" s="64" t="s">
        <v>352</v>
      </c>
      <c r="W95" s="64" t="s">
        <v>352</v>
      </c>
      <c r="X95" s="64">
        <v>3.57</v>
      </c>
      <c r="Y95" s="64">
        <v>0.0</v>
      </c>
      <c r="Z95" s="64">
        <v>0.0</v>
      </c>
      <c r="AA95" s="64">
        <v>0.0</v>
      </c>
      <c r="AB95" s="64">
        <v>0.0</v>
      </c>
    </row>
    <row r="96" ht="15.75" customHeight="1">
      <c r="A96" s="66" t="s">
        <v>179</v>
      </c>
      <c r="C96" s="64">
        <v>31.0</v>
      </c>
      <c r="D96" s="64">
        <v>31.0</v>
      </c>
      <c r="E96" s="64">
        <v>2.0</v>
      </c>
      <c r="F96" s="64">
        <v>858.0</v>
      </c>
      <c r="G96" s="64">
        <v>102.0</v>
      </c>
      <c r="H96" s="64">
        <v>29.59</v>
      </c>
      <c r="I96" s="64">
        <v>1067.0</v>
      </c>
      <c r="J96" s="64">
        <v>80.41</v>
      </c>
      <c r="K96" s="64">
        <v>1.0</v>
      </c>
      <c r="L96" s="64">
        <v>0.0</v>
      </c>
      <c r="M96" s="64">
        <v>6.0</v>
      </c>
      <c r="N96" s="64">
        <v>88.0</v>
      </c>
      <c r="O96" s="64">
        <v>9.0</v>
      </c>
      <c r="Q96" s="64">
        <v>31.0</v>
      </c>
      <c r="R96" s="64">
        <v>3.0</v>
      </c>
      <c r="S96" s="64">
        <v>42.0</v>
      </c>
      <c r="T96" s="64">
        <v>47.0</v>
      </c>
      <c r="U96" s="64">
        <v>1.0</v>
      </c>
      <c r="V96" s="65">
        <v>44939.0</v>
      </c>
      <c r="W96" s="65">
        <v>44939.0</v>
      </c>
      <c r="X96" s="64">
        <v>6.71</v>
      </c>
      <c r="Y96" s="64">
        <v>47.0</v>
      </c>
      <c r="Z96" s="64">
        <v>42.0</v>
      </c>
      <c r="AA96" s="64">
        <v>0.0</v>
      </c>
      <c r="AB96" s="64">
        <v>0.0</v>
      </c>
    </row>
    <row r="97" ht="15.75" customHeight="1">
      <c r="A97" s="25" t="s">
        <v>470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4:$AA$63"/>
  <mergeCells count="1">
    <mergeCell ref="A67:C67"/>
  </mergeCells>
  <conditionalFormatting sqref="K18:L31">
    <cfRule type="colorScale" priority="1">
      <colorScale>
        <cfvo type="min"/>
        <cfvo type="max"/>
        <color rgb="FFFFFFFF"/>
        <color rgb="FFFFFFFF"/>
      </colorScale>
    </cfRule>
  </conditionalFormatting>
  <hyperlinks>
    <hyperlink r:id="rId1" ref="A33"/>
    <hyperlink r:id="rId2" ref="A35"/>
    <hyperlink r:id="rId3" ref="A36"/>
    <hyperlink r:id="rId4" ref="A37"/>
    <hyperlink r:id="rId5" ref="A38"/>
    <hyperlink r:id="rId6" ref="A39"/>
    <hyperlink r:id="rId7" ref="A40"/>
    <hyperlink r:id="rId8" ref="A41"/>
    <hyperlink r:id="rId9" ref="A42"/>
    <hyperlink r:id="rId10" ref="A43"/>
    <hyperlink r:id="rId11" ref="A44"/>
    <hyperlink r:id="rId12" ref="A45"/>
    <hyperlink r:id="rId13" ref="A46"/>
    <hyperlink r:id="rId14" ref="A47"/>
    <hyperlink r:id="rId15" ref="A48"/>
    <hyperlink r:id="rId16" ref="A49"/>
    <hyperlink r:id="rId17" ref="A50"/>
    <hyperlink r:id="rId18" ref="A51"/>
    <hyperlink r:id="rId19" ref="A52"/>
    <hyperlink r:id="rId20" ref="A53"/>
    <hyperlink r:id="rId21" ref="A54"/>
    <hyperlink r:id="rId22" ref="A55"/>
    <hyperlink r:id="rId23" ref="A56"/>
    <hyperlink r:id="rId24" ref="A57"/>
    <hyperlink r:id="rId25" ref="A58"/>
    <hyperlink r:id="rId26" ref="A59"/>
    <hyperlink r:id="rId27" ref="A60"/>
    <hyperlink r:id="rId28" ref="A61"/>
    <hyperlink r:id="rId29" ref="A62"/>
    <hyperlink r:id="rId30" ref="A63"/>
    <hyperlink r:id="rId31" ref="A65"/>
    <hyperlink r:id="rId32" ref="A76"/>
  </hyperlinks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38"/>
    <col customWidth="1" min="2" max="2" width="10.88"/>
    <col customWidth="1" min="3" max="3" width="6.0"/>
    <col customWidth="1" min="4" max="4" width="13.25"/>
    <col customWidth="1" min="5" max="5" width="6.13"/>
    <col customWidth="1" min="6" max="7" width="3.75"/>
    <col customWidth="1" min="8" max="8" width="16.0"/>
    <col customWidth="1" min="9" max="9" width="10.75"/>
    <col customWidth="1" min="10" max="10" width="66.0"/>
  </cols>
  <sheetData>
    <row r="1" ht="15.75" customHeight="1">
      <c r="A1" s="67" t="s">
        <v>131</v>
      </c>
      <c r="B1" s="68" t="s">
        <v>130</v>
      </c>
      <c r="C1" s="69" t="s">
        <v>153</v>
      </c>
      <c r="D1" s="69" t="s">
        <v>471</v>
      </c>
      <c r="E1" s="69" t="s">
        <v>157</v>
      </c>
      <c r="F1" s="69" t="s">
        <v>158</v>
      </c>
      <c r="G1" s="69" t="s">
        <v>159</v>
      </c>
      <c r="H1" s="68" t="s">
        <v>472</v>
      </c>
      <c r="J1" s="70"/>
    </row>
    <row r="2" ht="15.75" customHeight="1">
      <c r="A2" s="71" t="s">
        <v>164</v>
      </c>
      <c r="B2" s="72" t="s">
        <v>47</v>
      </c>
      <c r="C2" s="73">
        <v>5149.0</v>
      </c>
      <c r="D2" s="73">
        <v>50.98</v>
      </c>
      <c r="E2" s="73">
        <v>74.59</v>
      </c>
      <c r="F2" s="73">
        <v>490.0</v>
      </c>
      <c r="G2" s="73">
        <v>56.0</v>
      </c>
      <c r="H2" s="72" t="s">
        <v>48</v>
      </c>
      <c r="J2" s="70"/>
    </row>
    <row r="3" ht="15.75" customHeight="1">
      <c r="A3" s="71" t="s">
        <v>164</v>
      </c>
      <c r="B3" s="72" t="s">
        <v>47</v>
      </c>
      <c r="C3" s="73">
        <v>1540.0</v>
      </c>
      <c r="D3" s="73">
        <v>70.0</v>
      </c>
      <c r="E3" s="73">
        <v>91.39</v>
      </c>
      <c r="F3" s="73">
        <v>152.0</v>
      </c>
      <c r="G3" s="73">
        <v>15.0</v>
      </c>
      <c r="H3" s="72" t="s">
        <v>61</v>
      </c>
      <c r="I3" s="74"/>
      <c r="L3" s="70"/>
    </row>
    <row r="4" ht="15.75" customHeight="1">
      <c r="A4" s="71" t="s">
        <v>164</v>
      </c>
      <c r="B4" s="72" t="s">
        <v>47</v>
      </c>
      <c r="C4" s="73">
        <v>3970.0</v>
      </c>
      <c r="D4" s="73">
        <v>42.23</v>
      </c>
      <c r="E4" s="73">
        <v>68.37</v>
      </c>
      <c r="F4" s="73">
        <v>423.0</v>
      </c>
      <c r="G4" s="73">
        <v>32.0</v>
      </c>
      <c r="H4" s="72" t="s">
        <v>58</v>
      </c>
      <c r="I4" s="74"/>
      <c r="L4" s="70"/>
    </row>
    <row r="5" ht="15.75" customHeight="1">
      <c r="A5" s="71" t="s">
        <v>164</v>
      </c>
      <c r="B5" s="72" t="s">
        <v>47</v>
      </c>
      <c r="C5" s="73">
        <v>2705.0</v>
      </c>
      <c r="D5" s="73">
        <v>49.18</v>
      </c>
      <c r="E5" s="73">
        <v>78.72</v>
      </c>
      <c r="F5" s="73">
        <v>271.0</v>
      </c>
      <c r="G5" s="73">
        <v>33.0</v>
      </c>
      <c r="H5" s="72" t="s">
        <v>56</v>
      </c>
      <c r="I5" s="74"/>
      <c r="L5" s="70"/>
    </row>
    <row r="6" ht="15.75" customHeight="1">
      <c r="A6" s="71" t="s">
        <v>164</v>
      </c>
      <c r="B6" s="72" t="s">
        <v>47</v>
      </c>
      <c r="C6" s="73">
        <v>1166.0</v>
      </c>
      <c r="D6" s="73">
        <v>61.36</v>
      </c>
      <c r="E6" s="73">
        <v>108.97</v>
      </c>
      <c r="F6" s="73">
        <v>111.0</v>
      </c>
      <c r="G6" s="73">
        <v>18.0</v>
      </c>
      <c r="H6" s="72" t="s">
        <v>59</v>
      </c>
      <c r="I6" s="74"/>
      <c r="L6" s="75"/>
    </row>
    <row r="7" ht="15.75" customHeight="1">
      <c r="A7" s="71" t="s">
        <v>164</v>
      </c>
      <c r="B7" s="72" t="s">
        <v>47</v>
      </c>
      <c r="C7" s="73">
        <v>2957.0</v>
      </c>
      <c r="D7" s="73">
        <v>54.75</v>
      </c>
      <c r="E7" s="73">
        <v>71.89</v>
      </c>
      <c r="F7" s="73">
        <v>296.0</v>
      </c>
      <c r="G7" s="73">
        <v>31.0</v>
      </c>
      <c r="H7" s="72" t="s">
        <v>54</v>
      </c>
      <c r="I7" s="74"/>
      <c r="J7" s="76"/>
    </row>
    <row r="8" ht="15.75" customHeight="1">
      <c r="A8" s="71" t="s">
        <v>164</v>
      </c>
      <c r="B8" s="72" t="s">
        <v>47</v>
      </c>
      <c r="C8" s="73">
        <v>3930.0</v>
      </c>
      <c r="D8" s="73">
        <v>64.42</v>
      </c>
      <c r="E8" s="73">
        <v>87.29</v>
      </c>
      <c r="F8" s="73">
        <v>371.0</v>
      </c>
      <c r="G8" s="73">
        <v>41.0</v>
      </c>
      <c r="H8" s="72" t="s">
        <v>473</v>
      </c>
      <c r="I8" s="74"/>
    </row>
    <row r="9" ht="15.75" customHeight="1">
      <c r="A9" s="77" t="s">
        <v>474</v>
      </c>
      <c r="B9" s="72" t="s">
        <v>47</v>
      </c>
      <c r="C9" s="73">
        <v>253.0</v>
      </c>
      <c r="D9" s="73">
        <v>28.11</v>
      </c>
      <c r="E9" s="73">
        <v>142.13</v>
      </c>
      <c r="F9" s="73">
        <v>20.0</v>
      </c>
      <c r="G9" s="73">
        <v>16.0</v>
      </c>
      <c r="H9" s="72" t="s">
        <v>48</v>
      </c>
      <c r="I9" s="74"/>
      <c r="J9" s="78"/>
    </row>
    <row r="10" ht="15.75" customHeight="1">
      <c r="A10" s="77" t="s">
        <v>474</v>
      </c>
      <c r="B10" s="72" t="s">
        <v>47</v>
      </c>
      <c r="C10" s="73">
        <v>56.0</v>
      </c>
      <c r="D10" s="73">
        <v>28.0</v>
      </c>
      <c r="E10" s="73">
        <v>112.0</v>
      </c>
      <c r="F10" s="73">
        <v>7.0</v>
      </c>
      <c r="G10" s="73">
        <v>0.0</v>
      </c>
      <c r="H10" s="72" t="s">
        <v>61</v>
      </c>
    </row>
    <row r="11" ht="15.75" customHeight="1">
      <c r="A11" s="77" t="s">
        <v>474</v>
      </c>
      <c r="B11" s="72" t="s">
        <v>47</v>
      </c>
      <c r="C11" s="73">
        <v>317.0</v>
      </c>
      <c r="D11" s="73">
        <v>39.62</v>
      </c>
      <c r="E11" s="73">
        <v>158.5</v>
      </c>
      <c r="F11" s="73">
        <v>32.0</v>
      </c>
      <c r="G11" s="73">
        <v>15.0</v>
      </c>
      <c r="H11" s="72" t="s">
        <v>58</v>
      </c>
    </row>
    <row r="12" ht="15.75" customHeight="1">
      <c r="A12" s="77" t="s">
        <v>474</v>
      </c>
      <c r="B12" s="72" t="s">
        <v>47</v>
      </c>
      <c r="C12" s="73">
        <v>375.0</v>
      </c>
      <c r="D12" s="73">
        <v>34.09</v>
      </c>
      <c r="E12" s="73">
        <v>143.12</v>
      </c>
      <c r="F12" s="73">
        <v>33.0</v>
      </c>
      <c r="G12" s="73">
        <v>20.0</v>
      </c>
      <c r="H12" s="72" t="s">
        <v>56</v>
      </c>
    </row>
    <row r="13" ht="15.75" customHeight="1">
      <c r="A13" s="77" t="s">
        <v>474</v>
      </c>
      <c r="B13" s="72" t="s">
        <v>47</v>
      </c>
      <c r="C13" s="73">
        <v>57.0</v>
      </c>
      <c r="D13" s="73">
        <v>14.25</v>
      </c>
      <c r="E13" s="73">
        <v>123.91</v>
      </c>
      <c r="F13" s="73">
        <v>6.0</v>
      </c>
      <c r="G13" s="73">
        <v>1.0</v>
      </c>
      <c r="H13" s="72" t="s">
        <v>59</v>
      </c>
    </row>
    <row r="14" ht="15.75" customHeight="1">
      <c r="A14" s="77" t="s">
        <v>474</v>
      </c>
      <c r="B14" s="72" t="s">
        <v>47</v>
      </c>
      <c r="C14" s="73">
        <v>226.0</v>
      </c>
      <c r="D14" s="73">
        <v>56.5</v>
      </c>
      <c r="E14" s="73">
        <v>169.92</v>
      </c>
      <c r="F14" s="73">
        <v>20.0</v>
      </c>
      <c r="G14" s="73">
        <v>13.0</v>
      </c>
      <c r="H14" s="72" t="s">
        <v>54</v>
      </c>
      <c r="J14" s="79"/>
    </row>
    <row r="15" ht="15.75" customHeight="1">
      <c r="A15" s="77" t="s">
        <v>474</v>
      </c>
      <c r="B15" s="72" t="s">
        <v>47</v>
      </c>
      <c r="C15" s="73">
        <v>382.0</v>
      </c>
      <c r="D15" s="73">
        <v>54.57</v>
      </c>
      <c r="E15" s="73">
        <v>144.15</v>
      </c>
      <c r="F15" s="73">
        <v>35.0</v>
      </c>
      <c r="G15" s="73">
        <v>15.0</v>
      </c>
      <c r="H15" s="72" t="s">
        <v>473</v>
      </c>
      <c r="J15" s="79"/>
    </row>
    <row r="16" ht="15.75" customHeight="1">
      <c r="A16" s="25" t="s">
        <v>170</v>
      </c>
      <c r="B16" s="25" t="s">
        <v>47</v>
      </c>
      <c r="C16" s="25">
        <v>1514.0</v>
      </c>
      <c r="D16" s="25">
        <v>38.82</v>
      </c>
      <c r="E16" s="25">
        <v>72.16</v>
      </c>
      <c r="F16" s="25">
        <v>140.0</v>
      </c>
      <c r="G16" s="25">
        <v>34.0</v>
      </c>
      <c r="H16" s="25" t="s">
        <v>48</v>
      </c>
      <c r="J16" s="79"/>
    </row>
    <row r="17" ht="15.75" customHeight="1">
      <c r="A17" s="25" t="s">
        <v>170</v>
      </c>
      <c r="B17" s="25" t="s">
        <v>47</v>
      </c>
      <c r="C17" s="25">
        <v>443.0</v>
      </c>
      <c r="D17" s="25">
        <v>29.53</v>
      </c>
      <c r="E17" s="25">
        <v>77.58</v>
      </c>
      <c r="F17" s="25">
        <v>39.0</v>
      </c>
      <c r="G17" s="25">
        <v>11.0</v>
      </c>
      <c r="H17" s="25" t="s">
        <v>61</v>
      </c>
      <c r="J17" s="79"/>
    </row>
    <row r="18" ht="15.75" customHeight="1">
      <c r="A18" s="25" t="s">
        <v>170</v>
      </c>
      <c r="B18" s="25" t="s">
        <v>47</v>
      </c>
      <c r="C18" s="25">
        <v>1304.0</v>
      </c>
      <c r="D18" s="25">
        <v>33.43</v>
      </c>
      <c r="E18" s="25">
        <v>65.42</v>
      </c>
      <c r="F18" s="25">
        <v>142.0</v>
      </c>
      <c r="G18" s="25">
        <v>23.0</v>
      </c>
      <c r="H18" s="25" t="s">
        <v>58</v>
      </c>
      <c r="J18" s="79"/>
    </row>
    <row r="19" ht="15.75" customHeight="1">
      <c r="A19" s="25" t="s">
        <v>170</v>
      </c>
      <c r="B19" s="25" t="s">
        <v>47</v>
      </c>
      <c r="C19" s="25">
        <v>624.0</v>
      </c>
      <c r="D19" s="25">
        <v>48.0</v>
      </c>
      <c r="E19" s="25">
        <v>113.45</v>
      </c>
      <c r="F19" s="25">
        <v>53.0</v>
      </c>
      <c r="G19" s="25">
        <v>22.0</v>
      </c>
      <c r="H19" s="25" t="s">
        <v>56</v>
      </c>
      <c r="J19" s="79"/>
    </row>
    <row r="20" ht="15.75" customHeight="1">
      <c r="A20" s="25" t="s">
        <v>170</v>
      </c>
      <c r="B20" s="25" t="s">
        <v>47</v>
      </c>
      <c r="C20" s="25">
        <v>222.0</v>
      </c>
      <c r="D20" s="25">
        <v>44.4</v>
      </c>
      <c r="E20" s="25">
        <v>88.8</v>
      </c>
      <c r="F20" s="25">
        <v>18.0</v>
      </c>
      <c r="G20" s="25">
        <v>6.0</v>
      </c>
      <c r="H20" s="25" t="s">
        <v>59</v>
      </c>
      <c r="J20" s="79"/>
    </row>
    <row r="21" ht="15.75" customHeight="1">
      <c r="A21" s="25" t="s">
        <v>170</v>
      </c>
      <c r="B21" s="25" t="s">
        <v>47</v>
      </c>
      <c r="C21" s="25">
        <v>475.0</v>
      </c>
      <c r="D21" s="25">
        <v>29.68</v>
      </c>
      <c r="E21" s="25">
        <v>53.25</v>
      </c>
      <c r="F21" s="25">
        <v>53.0</v>
      </c>
      <c r="G21" s="25">
        <v>10.0</v>
      </c>
      <c r="H21" s="25" t="s">
        <v>54</v>
      </c>
    </row>
    <row r="22" ht="15.75" customHeight="1">
      <c r="A22" s="25" t="s">
        <v>170</v>
      </c>
      <c r="B22" s="25" t="s">
        <v>47</v>
      </c>
      <c r="C22" s="25">
        <v>943.0</v>
      </c>
      <c r="D22" s="25">
        <v>36.26</v>
      </c>
      <c r="E22" s="25">
        <v>83.15</v>
      </c>
      <c r="F22" s="25">
        <v>91.0</v>
      </c>
      <c r="G22" s="25">
        <v>13.0</v>
      </c>
      <c r="H22" s="25" t="s">
        <v>473</v>
      </c>
    </row>
    <row r="23" ht="15.75" customHeight="1">
      <c r="A23" s="25" t="s">
        <v>167</v>
      </c>
      <c r="B23" s="25" t="s">
        <v>47</v>
      </c>
      <c r="C23" s="25">
        <v>765.0</v>
      </c>
      <c r="D23" s="25">
        <v>54.64</v>
      </c>
      <c r="E23" s="25">
        <v>122.59</v>
      </c>
      <c r="F23" s="25">
        <v>52.0</v>
      </c>
      <c r="G23" s="25">
        <v>36.0</v>
      </c>
      <c r="H23" s="25" t="s">
        <v>48</v>
      </c>
    </row>
    <row r="24" ht="15.75" customHeight="1">
      <c r="A24" s="25" t="s">
        <v>167</v>
      </c>
      <c r="B24" s="25" t="s">
        <v>47</v>
      </c>
      <c r="C24" s="25">
        <v>51.0</v>
      </c>
      <c r="D24" s="25">
        <v>12.75</v>
      </c>
      <c r="E24" s="25">
        <v>154.54</v>
      </c>
      <c r="F24" s="25">
        <v>6.0</v>
      </c>
      <c r="G24" s="25">
        <v>2.0</v>
      </c>
      <c r="H24" s="25" t="s">
        <v>61</v>
      </c>
    </row>
    <row r="25" ht="15.75" customHeight="1">
      <c r="A25" s="25" t="s">
        <v>167</v>
      </c>
      <c r="B25" s="25" t="s">
        <v>47</v>
      </c>
      <c r="C25" s="25">
        <v>845.0</v>
      </c>
      <c r="D25" s="25">
        <v>33.8</v>
      </c>
      <c r="E25" s="25">
        <v>104.83</v>
      </c>
      <c r="F25" s="25">
        <v>80.0</v>
      </c>
      <c r="G25" s="25">
        <v>29.0</v>
      </c>
      <c r="H25" s="25" t="s">
        <v>58</v>
      </c>
    </row>
    <row r="26" ht="15.75" customHeight="1">
      <c r="A26" s="25" t="s">
        <v>167</v>
      </c>
      <c r="B26" s="25" t="s">
        <v>47</v>
      </c>
      <c r="C26" s="25">
        <v>447.0</v>
      </c>
      <c r="D26" s="25">
        <v>23.52</v>
      </c>
      <c r="E26" s="25">
        <v>104.92</v>
      </c>
      <c r="F26" s="25">
        <v>33.0</v>
      </c>
      <c r="G26" s="25">
        <v>16.0</v>
      </c>
      <c r="H26" s="25" t="s">
        <v>56</v>
      </c>
    </row>
    <row r="27" ht="15.75" customHeight="1">
      <c r="A27" s="25" t="s">
        <v>167</v>
      </c>
      <c r="B27" s="25" t="s">
        <v>47</v>
      </c>
      <c r="C27" s="25">
        <v>293.0</v>
      </c>
      <c r="D27" s="25">
        <v>41.85</v>
      </c>
      <c r="E27" s="25">
        <v>130.8</v>
      </c>
      <c r="F27" s="25">
        <v>20.0</v>
      </c>
      <c r="G27" s="25">
        <v>14.0</v>
      </c>
      <c r="H27" s="25" t="s">
        <v>59</v>
      </c>
    </row>
    <row r="28" ht="15.75" customHeight="1">
      <c r="A28" s="25" t="s">
        <v>167</v>
      </c>
      <c r="B28" s="25" t="s">
        <v>47</v>
      </c>
      <c r="C28" s="25">
        <v>327.0</v>
      </c>
      <c r="D28" s="25">
        <v>23.35</v>
      </c>
      <c r="E28" s="25">
        <v>97.32</v>
      </c>
      <c r="F28" s="25">
        <v>33.0</v>
      </c>
      <c r="G28" s="25">
        <v>9.0</v>
      </c>
      <c r="H28" s="25" t="s">
        <v>54</v>
      </c>
    </row>
    <row r="29" ht="15.75" customHeight="1">
      <c r="A29" s="25" t="s">
        <v>167</v>
      </c>
      <c r="B29" s="25" t="s">
        <v>47</v>
      </c>
      <c r="C29" s="25">
        <v>422.0</v>
      </c>
      <c r="D29" s="25">
        <v>18.34</v>
      </c>
      <c r="E29" s="25">
        <v>102.92</v>
      </c>
      <c r="F29" s="25">
        <v>35.0</v>
      </c>
      <c r="G29" s="25">
        <v>18.0</v>
      </c>
      <c r="H29" s="25" t="s">
        <v>473</v>
      </c>
    </row>
    <row r="30" ht="15.75" customHeight="1">
      <c r="A30" s="25" t="s">
        <v>162</v>
      </c>
      <c r="B30" s="25" t="s">
        <v>47</v>
      </c>
      <c r="C30" s="25">
        <v>3432.0</v>
      </c>
      <c r="D30" s="25">
        <v>44.57</v>
      </c>
      <c r="E30" s="25">
        <v>84.01</v>
      </c>
      <c r="F30" s="25">
        <v>292.0</v>
      </c>
      <c r="G30" s="25">
        <v>121.0</v>
      </c>
      <c r="H30" s="25" t="s">
        <v>48</v>
      </c>
    </row>
    <row r="31" ht="15.75" customHeight="1">
      <c r="A31" s="25" t="s">
        <v>162</v>
      </c>
      <c r="B31" s="25" t="s">
        <v>47</v>
      </c>
      <c r="C31" s="25">
        <v>1273.0</v>
      </c>
      <c r="D31" s="25">
        <v>43.89</v>
      </c>
      <c r="E31" s="25">
        <v>107.24</v>
      </c>
      <c r="F31" s="25">
        <v>108.0</v>
      </c>
      <c r="G31" s="25">
        <v>49.0</v>
      </c>
      <c r="H31" s="25" t="s">
        <v>61</v>
      </c>
    </row>
    <row r="32" ht="15.75" customHeight="1">
      <c r="A32" s="25" t="s">
        <v>162</v>
      </c>
      <c r="B32" s="25" t="s">
        <v>47</v>
      </c>
      <c r="C32" s="25">
        <v>1794.0</v>
      </c>
      <c r="D32" s="25">
        <v>43.75</v>
      </c>
      <c r="E32" s="25">
        <v>69.61</v>
      </c>
      <c r="F32" s="25">
        <v>211.0</v>
      </c>
      <c r="G32" s="25">
        <v>36.0</v>
      </c>
      <c r="H32" s="25" t="s">
        <v>58</v>
      </c>
    </row>
    <row r="33" ht="15.75" customHeight="1">
      <c r="A33" s="25" t="s">
        <v>162</v>
      </c>
      <c r="B33" s="25" t="s">
        <v>47</v>
      </c>
      <c r="C33" s="25">
        <v>1870.0</v>
      </c>
      <c r="D33" s="25">
        <v>38.95</v>
      </c>
      <c r="E33" s="25">
        <v>82.08</v>
      </c>
      <c r="F33" s="25">
        <v>163.0</v>
      </c>
      <c r="G33" s="25">
        <v>72.0</v>
      </c>
      <c r="H33" s="25" t="s">
        <v>56</v>
      </c>
    </row>
    <row r="34" ht="15.75" customHeight="1">
      <c r="A34" s="25" t="s">
        <v>162</v>
      </c>
      <c r="B34" s="25" t="s">
        <v>47</v>
      </c>
      <c r="C34" s="25">
        <v>987.0</v>
      </c>
      <c r="D34" s="25">
        <v>39.48</v>
      </c>
      <c r="E34" s="25">
        <v>94.81</v>
      </c>
      <c r="F34" s="25">
        <v>87.0</v>
      </c>
      <c r="G34" s="25">
        <v>32.0</v>
      </c>
      <c r="H34" s="25" t="s">
        <v>59</v>
      </c>
    </row>
    <row r="35" ht="15.75" customHeight="1">
      <c r="A35" s="25" t="s">
        <v>162</v>
      </c>
      <c r="B35" s="25" t="s">
        <v>47</v>
      </c>
      <c r="C35" s="25">
        <v>1864.0</v>
      </c>
      <c r="D35" s="25">
        <v>34.51</v>
      </c>
      <c r="E35" s="25">
        <v>80.17</v>
      </c>
      <c r="F35" s="25">
        <v>205.0</v>
      </c>
      <c r="G35" s="25">
        <v>56.0</v>
      </c>
      <c r="H35" s="25" t="s">
        <v>54</v>
      </c>
    </row>
    <row r="36" ht="15.75" customHeight="1">
      <c r="A36" s="25" t="s">
        <v>162</v>
      </c>
      <c r="B36" s="25" t="s">
        <v>47</v>
      </c>
      <c r="C36" s="25">
        <v>2780.0</v>
      </c>
      <c r="D36" s="25">
        <v>41.49</v>
      </c>
      <c r="E36" s="25">
        <v>90.76</v>
      </c>
      <c r="F36" s="25">
        <v>257.0</v>
      </c>
      <c r="G36" s="25">
        <v>78.0</v>
      </c>
      <c r="H36" s="25" t="s">
        <v>473</v>
      </c>
    </row>
    <row r="37" ht="15.75" customHeight="1">
      <c r="A37" s="25" t="s">
        <v>475</v>
      </c>
      <c r="B37" s="25" t="s">
        <v>59</v>
      </c>
      <c r="C37" s="25">
        <v>813.0</v>
      </c>
      <c r="D37" s="25">
        <v>37.0</v>
      </c>
      <c r="E37" s="25">
        <v>75.91</v>
      </c>
      <c r="F37" s="25">
        <v>69.0</v>
      </c>
      <c r="G37" s="25">
        <v>8.0</v>
      </c>
      <c r="H37" s="25" t="s">
        <v>48</v>
      </c>
    </row>
    <row r="38" ht="15.75" customHeight="1">
      <c r="A38" s="25" t="s">
        <v>475</v>
      </c>
      <c r="B38" s="25" t="s">
        <v>59</v>
      </c>
      <c r="C38" s="25">
        <v>489.0</v>
      </c>
      <c r="D38" s="25">
        <v>48.9</v>
      </c>
      <c r="E38" s="25">
        <v>87.01</v>
      </c>
      <c r="F38" s="25">
        <v>42.0</v>
      </c>
      <c r="G38" s="25">
        <v>6.0</v>
      </c>
      <c r="H38" s="25" t="s">
        <v>61</v>
      </c>
    </row>
    <row r="39" ht="15.75" customHeight="1">
      <c r="A39" s="25" t="s">
        <v>475</v>
      </c>
      <c r="B39" s="25" t="s">
        <v>59</v>
      </c>
      <c r="C39" s="25">
        <v>1000.0</v>
      </c>
      <c r="D39" s="25">
        <v>37.0</v>
      </c>
      <c r="E39" s="25">
        <v>85.25</v>
      </c>
      <c r="F39" s="25">
        <v>94.0</v>
      </c>
      <c r="G39" s="25">
        <v>20.0</v>
      </c>
      <c r="H39" s="25" t="s">
        <v>58</v>
      </c>
    </row>
    <row r="40" ht="15.75" customHeight="1">
      <c r="A40" s="25" t="s">
        <v>475</v>
      </c>
      <c r="B40" s="25" t="s">
        <v>59</v>
      </c>
      <c r="C40" s="25">
        <v>248.0</v>
      </c>
      <c r="D40" s="25">
        <v>49.6</v>
      </c>
      <c r="E40" s="25">
        <v>106.0</v>
      </c>
      <c r="F40" s="25">
        <v>24.0</v>
      </c>
      <c r="G40" s="25">
        <v>6.0</v>
      </c>
      <c r="H40" s="25" t="s">
        <v>47</v>
      </c>
    </row>
    <row r="41" ht="15.75" customHeight="1">
      <c r="A41" s="25" t="s">
        <v>475</v>
      </c>
      <c r="B41" s="25" t="s">
        <v>59</v>
      </c>
      <c r="C41" s="25">
        <v>1012.0</v>
      </c>
      <c r="D41" s="25">
        <v>44.0</v>
      </c>
      <c r="E41" s="25">
        <v>85.25</v>
      </c>
      <c r="F41" s="25">
        <v>108.0</v>
      </c>
      <c r="G41" s="25">
        <v>11.0</v>
      </c>
      <c r="H41" s="25" t="s">
        <v>56</v>
      </c>
    </row>
    <row r="42" ht="15.75" customHeight="1">
      <c r="A42" s="25" t="s">
        <v>475</v>
      </c>
      <c r="B42" s="25" t="s">
        <v>59</v>
      </c>
      <c r="C42" s="25">
        <v>599.0</v>
      </c>
      <c r="D42" s="25">
        <v>46.1</v>
      </c>
      <c r="E42" s="25">
        <v>87.19</v>
      </c>
      <c r="F42" s="25">
        <v>64.0</v>
      </c>
      <c r="G42" s="25">
        <v>14.0</v>
      </c>
      <c r="H42" s="25" t="s">
        <v>54</v>
      </c>
    </row>
    <row r="43" ht="15.75" customHeight="1">
      <c r="A43" s="25" t="s">
        <v>475</v>
      </c>
      <c r="B43" s="25" t="s">
        <v>59</v>
      </c>
      <c r="C43" s="25">
        <v>634.0</v>
      </c>
      <c r="D43" s="25">
        <v>63.4</v>
      </c>
      <c r="E43" s="25">
        <v>90.05</v>
      </c>
      <c r="F43" s="25">
        <v>53.0</v>
      </c>
      <c r="G43" s="25">
        <v>9.0</v>
      </c>
      <c r="H43" s="25" t="s">
        <v>62</v>
      </c>
    </row>
    <row r="44" ht="15.75" customHeight="1">
      <c r="A44" s="25" t="s">
        <v>476</v>
      </c>
      <c r="B44" s="25" t="s">
        <v>59</v>
      </c>
      <c r="C44" s="25">
        <v>267.0</v>
      </c>
      <c r="D44" s="25">
        <v>29.7</v>
      </c>
      <c r="E44" s="25">
        <v>53.4</v>
      </c>
      <c r="F44" s="25">
        <v>28.0</v>
      </c>
      <c r="G44" s="25">
        <v>1.0</v>
      </c>
      <c r="H44" s="25" t="s">
        <v>48</v>
      </c>
    </row>
    <row r="45" ht="15.75" customHeight="1">
      <c r="A45" s="25" t="s">
        <v>476</v>
      </c>
      <c r="B45" s="25" t="s">
        <v>59</v>
      </c>
      <c r="C45" s="25">
        <v>155.0</v>
      </c>
      <c r="D45" s="25">
        <v>77.5</v>
      </c>
      <c r="E45" s="25">
        <v>79.08</v>
      </c>
      <c r="F45" s="25">
        <v>17.0</v>
      </c>
      <c r="G45" s="25">
        <v>1.0</v>
      </c>
      <c r="H45" s="25" t="s">
        <v>61</v>
      </c>
    </row>
    <row r="46" ht="15.75" customHeight="1">
      <c r="A46" s="25" t="s">
        <v>476</v>
      </c>
      <c r="B46" s="25" t="s">
        <v>59</v>
      </c>
      <c r="C46" s="25">
        <v>556.0</v>
      </c>
      <c r="D46" s="25">
        <v>26.5</v>
      </c>
      <c r="E46" s="25">
        <v>60.56</v>
      </c>
      <c r="F46" s="25">
        <v>56.0</v>
      </c>
      <c r="G46" s="25">
        <v>10.0</v>
      </c>
      <c r="H46" s="25" t="s">
        <v>58</v>
      </c>
    </row>
    <row r="47" ht="15.75" customHeight="1">
      <c r="A47" s="25" t="s">
        <v>476</v>
      </c>
      <c r="B47" s="25" t="s">
        <v>59</v>
      </c>
      <c r="C47" s="25">
        <v>52.0</v>
      </c>
      <c r="D47" s="25">
        <v>28.8</v>
      </c>
      <c r="E47" s="25">
        <v>123.8</v>
      </c>
      <c r="F47" s="25">
        <v>5.0</v>
      </c>
      <c r="G47" s="25">
        <v>0.0</v>
      </c>
      <c r="H47" s="25" t="s">
        <v>47</v>
      </c>
    </row>
    <row r="48" ht="15.75" customHeight="1">
      <c r="A48" s="25" t="s">
        <v>476</v>
      </c>
      <c r="B48" s="25" t="s">
        <v>59</v>
      </c>
      <c r="C48" s="25">
        <v>235.0</v>
      </c>
      <c r="D48" s="25">
        <v>12.4</v>
      </c>
      <c r="E48" s="25">
        <v>44.42</v>
      </c>
      <c r="F48" s="25">
        <v>23.0</v>
      </c>
      <c r="G48" s="25">
        <v>2.0</v>
      </c>
      <c r="H48" s="25" t="s">
        <v>56</v>
      </c>
    </row>
    <row r="49" ht="15.75" customHeight="1">
      <c r="A49" s="25" t="s">
        <v>476</v>
      </c>
      <c r="B49" s="25" t="s">
        <v>59</v>
      </c>
      <c r="C49" s="25">
        <v>326.0</v>
      </c>
      <c r="D49" s="25">
        <v>29.6</v>
      </c>
      <c r="E49" s="25">
        <v>52.58</v>
      </c>
      <c r="F49" s="25">
        <v>36.0</v>
      </c>
      <c r="G49" s="25">
        <v>2.0</v>
      </c>
      <c r="H49" s="25" t="s">
        <v>54</v>
      </c>
    </row>
    <row r="50" ht="15.75" customHeight="1">
      <c r="A50" s="25" t="s">
        <v>476</v>
      </c>
      <c r="B50" s="25" t="s">
        <v>59</v>
      </c>
      <c r="C50" s="25">
        <v>478.0</v>
      </c>
      <c r="D50" s="25">
        <v>39.8</v>
      </c>
      <c r="E50" s="25">
        <v>51.61</v>
      </c>
      <c r="F50" s="25">
        <v>39.0</v>
      </c>
      <c r="G50" s="25">
        <v>6.0</v>
      </c>
      <c r="H50" s="25" t="s">
        <v>62</v>
      </c>
    </row>
    <row r="51" ht="15.75" customHeight="1">
      <c r="A51" s="25" t="s">
        <v>477</v>
      </c>
      <c r="B51" s="25" t="s">
        <v>59</v>
      </c>
      <c r="C51" s="25">
        <v>1788.0</v>
      </c>
      <c r="D51" s="25">
        <v>54.2</v>
      </c>
      <c r="E51" s="25">
        <v>72.18</v>
      </c>
      <c r="F51" s="25">
        <v>176.0</v>
      </c>
      <c r="G51" s="25">
        <v>15.0</v>
      </c>
      <c r="H51" s="25" t="s">
        <v>48</v>
      </c>
    </row>
    <row r="52" ht="15.75" customHeight="1">
      <c r="A52" s="25" t="s">
        <v>477</v>
      </c>
      <c r="B52" s="25" t="s">
        <v>59</v>
      </c>
      <c r="C52" s="25">
        <v>551.0</v>
      </c>
      <c r="D52" s="25">
        <v>42.4</v>
      </c>
      <c r="E52" s="25">
        <v>79.05</v>
      </c>
      <c r="F52" s="25">
        <v>68.0</v>
      </c>
      <c r="G52" s="25">
        <v>3.0</v>
      </c>
      <c r="H52" s="25" t="s">
        <v>61</v>
      </c>
    </row>
    <row r="53" ht="15.75" customHeight="1">
      <c r="A53" s="25" t="s">
        <v>477</v>
      </c>
      <c r="B53" s="25" t="s">
        <v>59</v>
      </c>
      <c r="C53" s="25">
        <v>2019.0</v>
      </c>
      <c r="D53" s="25">
        <v>51.8</v>
      </c>
      <c r="E53" s="25">
        <v>89.57</v>
      </c>
      <c r="F53" s="25">
        <v>213.0</v>
      </c>
      <c r="G53" s="25">
        <v>29.0</v>
      </c>
      <c r="H53" s="25" t="s">
        <v>58</v>
      </c>
      <c r="J53" s="25"/>
    </row>
    <row r="54" ht="15.75" customHeight="1">
      <c r="A54" s="25" t="s">
        <v>477</v>
      </c>
      <c r="B54" s="25" t="s">
        <v>59</v>
      </c>
      <c r="C54" s="25">
        <v>310.0</v>
      </c>
      <c r="D54" s="25">
        <v>31.0</v>
      </c>
      <c r="E54" s="25">
        <v>85.63</v>
      </c>
      <c r="F54" s="25">
        <v>33.0</v>
      </c>
      <c r="G54" s="25">
        <v>3.0</v>
      </c>
      <c r="H54" s="25" t="s">
        <v>47</v>
      </c>
      <c r="J54" s="25"/>
    </row>
    <row r="55" ht="15.75" customHeight="1">
      <c r="A55" s="25" t="s">
        <v>477</v>
      </c>
      <c r="B55" s="25" t="s">
        <v>59</v>
      </c>
      <c r="C55" s="25">
        <v>2017.0</v>
      </c>
      <c r="D55" s="25">
        <v>49.2</v>
      </c>
      <c r="E55" s="25">
        <v>75.77</v>
      </c>
      <c r="F55" s="25">
        <v>202.0</v>
      </c>
      <c r="G55" s="25">
        <v>18.0</v>
      </c>
      <c r="H55" s="25" t="s">
        <v>56</v>
      </c>
      <c r="J55" s="25"/>
    </row>
    <row r="56" ht="15.75" customHeight="1">
      <c r="A56" s="25" t="s">
        <v>477</v>
      </c>
      <c r="B56" s="25" t="s">
        <v>59</v>
      </c>
      <c r="C56" s="25">
        <v>1282.0</v>
      </c>
      <c r="D56" s="25">
        <v>44.2</v>
      </c>
      <c r="E56" s="25">
        <v>93.71</v>
      </c>
      <c r="F56" s="25">
        <v>179.0</v>
      </c>
      <c r="G56" s="25">
        <v>11.0</v>
      </c>
      <c r="H56" s="25" t="s">
        <v>54</v>
      </c>
      <c r="J56" s="25"/>
    </row>
    <row r="57" ht="15.75" customHeight="1">
      <c r="A57" s="25" t="s">
        <v>477</v>
      </c>
      <c r="B57" s="25" t="s">
        <v>59</v>
      </c>
      <c r="C57" s="25">
        <v>1297.0</v>
      </c>
      <c r="D57" s="25">
        <v>44.7</v>
      </c>
      <c r="E57" s="25">
        <v>68.11</v>
      </c>
      <c r="F57" s="25">
        <v>110.0</v>
      </c>
      <c r="G57" s="25">
        <v>11.0</v>
      </c>
      <c r="H57" s="25" t="s">
        <v>62</v>
      </c>
      <c r="J57" s="25"/>
    </row>
    <row r="58" ht="15.75" customHeight="1">
      <c r="A58" s="25" t="s">
        <v>478</v>
      </c>
      <c r="B58" s="25" t="s">
        <v>59</v>
      </c>
      <c r="C58" s="25">
        <v>214.0</v>
      </c>
      <c r="D58" s="25">
        <v>26.8</v>
      </c>
      <c r="E58" s="25">
        <v>82.3</v>
      </c>
      <c r="F58" s="25">
        <v>16.0</v>
      </c>
      <c r="G58" s="25">
        <v>6.0</v>
      </c>
      <c r="H58" s="25" t="s">
        <v>48</v>
      </c>
      <c r="J58" s="25"/>
    </row>
    <row r="59" ht="15.75" customHeight="1">
      <c r="A59" s="25" t="s">
        <v>478</v>
      </c>
      <c r="B59" s="25" t="s">
        <v>59</v>
      </c>
      <c r="C59" s="25">
        <v>36.0</v>
      </c>
      <c r="D59" s="25">
        <v>9.0</v>
      </c>
      <c r="E59" s="25">
        <v>138.5</v>
      </c>
      <c r="F59" s="25">
        <v>4.0</v>
      </c>
      <c r="G59" s="25">
        <v>1.0</v>
      </c>
      <c r="H59" s="25" t="s">
        <v>61</v>
      </c>
      <c r="J59" s="25"/>
    </row>
    <row r="60" ht="15.75" customHeight="1">
      <c r="A60" s="25" t="s">
        <v>478</v>
      </c>
      <c r="B60" s="25" t="s">
        <v>59</v>
      </c>
      <c r="C60" s="25">
        <v>119.0</v>
      </c>
      <c r="D60" s="25">
        <v>13.2</v>
      </c>
      <c r="E60" s="25">
        <v>95.2</v>
      </c>
      <c r="F60" s="25">
        <v>9.0</v>
      </c>
      <c r="G60" s="25">
        <v>5.0</v>
      </c>
      <c r="H60" s="25" t="s">
        <v>58</v>
      </c>
    </row>
    <row r="61" ht="15.75" customHeight="1">
      <c r="A61" s="25" t="s">
        <v>478</v>
      </c>
      <c r="B61" s="25" t="s">
        <v>59</v>
      </c>
      <c r="C61" s="25">
        <v>108.0</v>
      </c>
      <c r="D61" s="25">
        <v>27.0</v>
      </c>
      <c r="E61" s="25">
        <v>112.5</v>
      </c>
      <c r="F61" s="25">
        <v>6.0</v>
      </c>
      <c r="G61" s="25">
        <v>5.0</v>
      </c>
      <c r="H61" s="25" t="s">
        <v>47</v>
      </c>
    </row>
    <row r="62" ht="15.75" customHeight="1">
      <c r="A62" s="25" t="s">
        <v>478</v>
      </c>
      <c r="B62" s="25" t="s">
        <v>59</v>
      </c>
      <c r="C62" s="25">
        <v>317.0</v>
      </c>
      <c r="D62" s="25">
        <v>63.4</v>
      </c>
      <c r="E62" s="25">
        <v>152.4</v>
      </c>
      <c r="F62" s="25">
        <v>25.0</v>
      </c>
      <c r="G62" s="25">
        <v>15.0</v>
      </c>
      <c r="H62" s="25" t="s">
        <v>56</v>
      </c>
    </row>
    <row r="63" ht="15.75" customHeight="1">
      <c r="A63" s="25" t="s">
        <v>478</v>
      </c>
      <c r="B63" s="25" t="s">
        <v>59</v>
      </c>
      <c r="C63" s="25">
        <v>75.0</v>
      </c>
      <c r="D63" s="25">
        <v>25.0</v>
      </c>
      <c r="E63" s="25">
        <v>117.2</v>
      </c>
      <c r="F63" s="25">
        <v>5.0</v>
      </c>
      <c r="G63" s="25">
        <v>2.0</v>
      </c>
      <c r="H63" s="25" t="s">
        <v>54</v>
      </c>
    </row>
    <row r="64" ht="15.75" customHeight="1">
      <c r="A64" s="25" t="s">
        <v>478</v>
      </c>
      <c r="B64" s="25" t="s">
        <v>59</v>
      </c>
      <c r="C64" s="25">
        <v>216.0</v>
      </c>
      <c r="D64" s="25">
        <v>54.0</v>
      </c>
      <c r="E64" s="25">
        <v>125.6</v>
      </c>
      <c r="F64" s="25">
        <v>18.0</v>
      </c>
      <c r="G64" s="25">
        <v>8.0</v>
      </c>
      <c r="H64" s="25" t="s">
        <v>62</v>
      </c>
    </row>
    <row r="65" ht="15.75" customHeight="1">
      <c r="A65" s="25" t="s">
        <v>479</v>
      </c>
      <c r="B65" s="25" t="s">
        <v>59</v>
      </c>
      <c r="C65" s="25">
        <v>38.0</v>
      </c>
      <c r="D65" s="25">
        <v>9.5</v>
      </c>
      <c r="E65" s="25">
        <v>100.0</v>
      </c>
      <c r="F65" s="25">
        <v>1.0</v>
      </c>
      <c r="G65" s="25">
        <v>2.0</v>
      </c>
      <c r="H65" s="25" t="s">
        <v>48</v>
      </c>
    </row>
    <row r="66" ht="15.75" customHeight="1">
      <c r="A66" s="25" t="s">
        <v>479</v>
      </c>
      <c r="B66" s="25" t="s">
        <v>59</v>
      </c>
      <c r="C66" s="25">
        <v>26.0</v>
      </c>
      <c r="D66" s="25">
        <v>13.0</v>
      </c>
      <c r="E66" s="25">
        <v>72.22</v>
      </c>
      <c r="F66" s="25">
        <v>1.0</v>
      </c>
      <c r="G66" s="25">
        <v>2.0</v>
      </c>
      <c r="H66" s="25" t="s">
        <v>61</v>
      </c>
    </row>
    <row r="67" ht="15.75" customHeight="1">
      <c r="A67" s="25" t="s">
        <v>479</v>
      </c>
      <c r="B67" s="25" t="s">
        <v>59</v>
      </c>
      <c r="C67" s="25">
        <v>313.0</v>
      </c>
      <c r="D67" s="25">
        <v>26.1</v>
      </c>
      <c r="E67" s="25">
        <v>85.98</v>
      </c>
      <c r="F67" s="25">
        <v>32.0</v>
      </c>
      <c r="G67" s="25">
        <v>5.0</v>
      </c>
      <c r="H67" s="25" t="s">
        <v>58</v>
      </c>
    </row>
    <row r="68" ht="15.75" customHeight="1">
      <c r="A68" s="25" t="s">
        <v>479</v>
      </c>
      <c r="B68" s="25" t="s">
        <v>59</v>
      </c>
      <c r="C68" s="25">
        <v>75.0</v>
      </c>
      <c r="D68" s="25">
        <v>12.5</v>
      </c>
      <c r="E68" s="25">
        <v>78.94</v>
      </c>
      <c r="F68" s="25">
        <v>4.0</v>
      </c>
      <c r="G68" s="25">
        <v>1.0</v>
      </c>
      <c r="H68" s="25" t="s">
        <v>47</v>
      </c>
    </row>
    <row r="69" ht="15.75" customHeight="1">
      <c r="A69" s="25" t="s">
        <v>479</v>
      </c>
      <c r="B69" s="25" t="s">
        <v>59</v>
      </c>
      <c r="C69" s="25">
        <v>293.0</v>
      </c>
      <c r="D69" s="25">
        <v>20.9</v>
      </c>
      <c r="E69" s="25">
        <v>89.32</v>
      </c>
      <c r="F69" s="25">
        <v>22.0</v>
      </c>
      <c r="G69" s="25">
        <v>9.0</v>
      </c>
      <c r="H69" s="25" t="s">
        <v>56</v>
      </c>
    </row>
    <row r="70" ht="15.75" customHeight="1">
      <c r="A70" s="25" t="s">
        <v>479</v>
      </c>
      <c r="B70" s="25" t="s">
        <v>59</v>
      </c>
      <c r="C70" s="25">
        <v>235.0</v>
      </c>
      <c r="D70" s="25">
        <v>39.2</v>
      </c>
      <c r="E70" s="25">
        <v>89.35</v>
      </c>
      <c r="F70" s="25">
        <v>17.0</v>
      </c>
      <c r="G70" s="25">
        <v>9.0</v>
      </c>
      <c r="H70" s="25" t="s">
        <v>54</v>
      </c>
    </row>
    <row r="71" ht="15.75" customHeight="1">
      <c r="A71" s="25" t="s">
        <v>479</v>
      </c>
      <c r="B71" s="25" t="s">
        <v>59</v>
      </c>
      <c r="C71" s="25">
        <v>85.0</v>
      </c>
      <c r="D71" s="25">
        <v>21.3</v>
      </c>
      <c r="E71" s="25">
        <v>91.39</v>
      </c>
      <c r="F71" s="25">
        <v>4.0</v>
      </c>
      <c r="G71" s="25">
        <v>1.0</v>
      </c>
      <c r="H71" s="25" t="s">
        <v>62</v>
      </c>
    </row>
    <row r="72" ht="15.75" customHeight="1">
      <c r="A72" s="25" t="s">
        <v>480</v>
      </c>
      <c r="B72" s="25" t="s">
        <v>54</v>
      </c>
      <c r="C72" s="25">
        <v>129.0</v>
      </c>
      <c r="D72" s="25">
        <v>25.8</v>
      </c>
      <c r="E72" s="25">
        <v>132.98</v>
      </c>
      <c r="F72" s="25">
        <v>13.0</v>
      </c>
      <c r="G72" s="25">
        <v>3.0</v>
      </c>
      <c r="H72" s="25" t="s">
        <v>48</v>
      </c>
    </row>
    <row r="73" ht="15.75" customHeight="1">
      <c r="A73" s="25" t="s">
        <v>480</v>
      </c>
      <c r="B73" s="25" t="s">
        <v>54</v>
      </c>
      <c r="C73" s="25">
        <v>159.0</v>
      </c>
      <c r="D73" s="25">
        <v>159.0</v>
      </c>
      <c r="E73" s="25">
        <v>191.56</v>
      </c>
      <c r="F73" s="25">
        <v>10.0</v>
      </c>
      <c r="G73" s="25">
        <v>12.0</v>
      </c>
      <c r="H73" s="25" t="s">
        <v>61</v>
      </c>
    </row>
    <row r="74" ht="15.75" customHeight="1">
      <c r="A74" s="25" t="s">
        <v>480</v>
      </c>
      <c r="B74" s="25" t="s">
        <v>54</v>
      </c>
      <c r="C74" s="25">
        <v>149.0</v>
      </c>
      <c r="D74" s="25">
        <v>49.66</v>
      </c>
      <c r="E74" s="25">
        <v>156.84</v>
      </c>
      <c r="F74" s="25">
        <v>17.0</v>
      </c>
      <c r="G74" s="25">
        <v>6.0</v>
      </c>
      <c r="H74" s="25" t="s">
        <v>58</v>
      </c>
    </row>
    <row r="75" ht="15.75" customHeight="1">
      <c r="A75" s="25" t="s">
        <v>480</v>
      </c>
      <c r="B75" s="25" t="s">
        <v>54</v>
      </c>
      <c r="C75" s="25">
        <v>100.0</v>
      </c>
      <c r="D75" s="25">
        <v>33.33</v>
      </c>
      <c r="E75" s="25">
        <v>188.67</v>
      </c>
      <c r="F75" s="25">
        <v>7.0</v>
      </c>
      <c r="G75" s="25">
        <v>8.0</v>
      </c>
      <c r="H75" s="25" t="s">
        <v>47</v>
      </c>
    </row>
    <row r="76" ht="15.75" customHeight="1">
      <c r="A76" s="25" t="s">
        <v>480</v>
      </c>
      <c r="B76" s="25" t="s">
        <v>54</v>
      </c>
      <c r="C76" s="25">
        <v>64.0</v>
      </c>
      <c r="D76" s="25">
        <v>32.0</v>
      </c>
      <c r="E76" s="25">
        <v>148.83</v>
      </c>
      <c r="F76" s="25">
        <v>8.0</v>
      </c>
      <c r="G76" s="25">
        <v>2.0</v>
      </c>
      <c r="H76" s="25" t="s">
        <v>56</v>
      </c>
    </row>
    <row r="77" ht="15.75" customHeight="1">
      <c r="A77" s="25" t="s">
        <v>480</v>
      </c>
      <c r="B77" s="25" t="s">
        <v>54</v>
      </c>
      <c r="C77" s="25">
        <v>7.0</v>
      </c>
      <c r="D77" s="25">
        <v>7.0</v>
      </c>
      <c r="E77" s="25">
        <v>116.66</v>
      </c>
      <c r="F77" s="25">
        <v>0.0</v>
      </c>
      <c r="G77" s="25">
        <v>1.0</v>
      </c>
      <c r="H77" s="25" t="s">
        <v>59</v>
      </c>
    </row>
    <row r="78" ht="15.75" customHeight="1">
      <c r="A78" s="25" t="s">
        <v>481</v>
      </c>
      <c r="B78" s="25" t="s">
        <v>54</v>
      </c>
      <c r="C78" s="25">
        <v>1921.0</v>
      </c>
      <c r="D78" s="25">
        <v>35.57</v>
      </c>
      <c r="E78" s="25">
        <v>89.18</v>
      </c>
      <c r="F78" s="25">
        <v>209.0</v>
      </c>
      <c r="G78" s="25">
        <v>47.0</v>
      </c>
      <c r="H78" s="25" t="s">
        <v>48</v>
      </c>
    </row>
    <row r="79" ht="15.75" customHeight="1">
      <c r="A79" s="25" t="s">
        <v>481</v>
      </c>
      <c r="B79" s="25" t="s">
        <v>54</v>
      </c>
      <c r="C79" s="25">
        <v>832.0</v>
      </c>
      <c r="D79" s="25">
        <v>52.0</v>
      </c>
      <c r="E79" s="25">
        <v>114.12</v>
      </c>
      <c r="F79" s="25">
        <v>89.0</v>
      </c>
      <c r="G79" s="25">
        <v>21.0</v>
      </c>
      <c r="H79" s="25" t="s">
        <v>61</v>
      </c>
    </row>
    <row r="80" ht="15.75" customHeight="1">
      <c r="A80" s="25" t="s">
        <v>481</v>
      </c>
      <c r="B80" s="25" t="s">
        <v>54</v>
      </c>
      <c r="C80" s="25">
        <v>1954.0</v>
      </c>
      <c r="D80" s="25">
        <v>43.42</v>
      </c>
      <c r="E80" s="25">
        <v>90.21</v>
      </c>
      <c r="F80" s="25">
        <v>224.0</v>
      </c>
      <c r="G80" s="25">
        <v>43.0</v>
      </c>
      <c r="H80" s="25" t="s">
        <v>58</v>
      </c>
    </row>
    <row r="81" ht="15.75" customHeight="1">
      <c r="A81" s="25" t="s">
        <v>481</v>
      </c>
      <c r="B81" s="25" t="s">
        <v>54</v>
      </c>
      <c r="C81" s="25">
        <v>1666.0</v>
      </c>
      <c r="D81" s="25">
        <v>41.65</v>
      </c>
      <c r="E81" s="25">
        <v>93.02</v>
      </c>
      <c r="F81" s="25">
        <v>193.0</v>
      </c>
      <c r="G81" s="25">
        <v>29.0</v>
      </c>
      <c r="H81" s="25" t="s">
        <v>47</v>
      </c>
    </row>
    <row r="82" ht="15.75" customHeight="1">
      <c r="A82" s="25" t="s">
        <v>481</v>
      </c>
      <c r="B82" s="25" t="s">
        <v>54</v>
      </c>
      <c r="C82" s="25">
        <v>817.0</v>
      </c>
      <c r="D82" s="25">
        <v>37.13</v>
      </c>
      <c r="E82" s="25">
        <v>81.13</v>
      </c>
      <c r="F82" s="25">
        <v>106.0</v>
      </c>
      <c r="G82" s="25">
        <v>11.0</v>
      </c>
      <c r="H82" s="25" t="s">
        <v>56</v>
      </c>
    </row>
    <row r="83" ht="15.75" customHeight="1">
      <c r="A83" s="25" t="s">
        <v>481</v>
      </c>
      <c r="B83" s="25" t="s">
        <v>54</v>
      </c>
      <c r="C83" s="25">
        <v>1010.0</v>
      </c>
      <c r="D83" s="25">
        <v>37.4</v>
      </c>
      <c r="E83" s="25">
        <v>88.44</v>
      </c>
      <c r="F83" s="25">
        <v>121.0</v>
      </c>
      <c r="G83" s="25">
        <v>12.0</v>
      </c>
      <c r="H83" s="25" t="s">
        <v>59</v>
      </c>
    </row>
    <row r="84" ht="15.75" customHeight="1">
      <c r="A84" s="25" t="s">
        <v>481</v>
      </c>
      <c r="B84" s="25" t="s">
        <v>54</v>
      </c>
      <c r="C84" s="25">
        <v>2188.0</v>
      </c>
      <c r="D84" s="25">
        <v>42.07</v>
      </c>
      <c r="E84" s="25">
        <v>94.22</v>
      </c>
      <c r="F84" s="25">
        <v>279.0</v>
      </c>
      <c r="G84" s="25">
        <v>19.0</v>
      </c>
      <c r="H84" s="25" t="s">
        <v>62</v>
      </c>
    </row>
    <row r="85" ht="15.75" customHeight="1">
      <c r="A85" s="25" t="s">
        <v>470</v>
      </c>
      <c r="B85" s="25" t="s">
        <v>54</v>
      </c>
      <c r="C85" s="25">
        <v>1019.0</v>
      </c>
      <c r="D85" s="25">
        <v>48.52</v>
      </c>
      <c r="E85" s="25">
        <v>83.25</v>
      </c>
      <c r="F85" s="25">
        <v>113.0</v>
      </c>
      <c r="G85" s="25">
        <v>21.0</v>
      </c>
      <c r="H85" s="25" t="s">
        <v>48</v>
      </c>
    </row>
    <row r="86" ht="15.75" customHeight="1">
      <c r="A86" s="25" t="s">
        <v>470</v>
      </c>
      <c r="B86" s="25" t="s">
        <v>54</v>
      </c>
      <c r="C86" s="25">
        <v>436.0</v>
      </c>
      <c r="D86" s="25">
        <v>48.44</v>
      </c>
      <c r="E86" s="25">
        <v>76.89</v>
      </c>
      <c r="F86" s="25">
        <v>53.0</v>
      </c>
      <c r="G86" s="25">
        <v>2.0</v>
      </c>
      <c r="H86" s="25" t="s">
        <v>61</v>
      </c>
    </row>
    <row r="87" ht="15.75" customHeight="1">
      <c r="A87" s="25" t="s">
        <v>470</v>
      </c>
      <c r="B87" s="25" t="s">
        <v>54</v>
      </c>
      <c r="C87" s="25">
        <v>416.0</v>
      </c>
      <c r="D87" s="25">
        <v>34.66</v>
      </c>
      <c r="E87" s="25">
        <v>101.71</v>
      </c>
      <c r="F87" s="25">
        <v>36.0</v>
      </c>
      <c r="G87" s="25">
        <v>8.0</v>
      </c>
      <c r="H87" s="25" t="s">
        <v>58</v>
      </c>
    </row>
    <row r="88" ht="15.75" customHeight="1">
      <c r="A88" s="25" t="s">
        <v>470</v>
      </c>
      <c r="B88" s="25" t="s">
        <v>54</v>
      </c>
      <c r="C88" s="25">
        <v>641.0</v>
      </c>
      <c r="D88" s="25">
        <v>21.36</v>
      </c>
      <c r="E88" s="25">
        <v>72.59</v>
      </c>
      <c r="F88" s="25">
        <v>85.0</v>
      </c>
      <c r="G88" s="25">
        <v>8.0</v>
      </c>
      <c r="H88" s="25" t="s">
        <v>47</v>
      </c>
    </row>
    <row r="89" ht="15.75" customHeight="1">
      <c r="A89" s="25" t="s">
        <v>470</v>
      </c>
      <c r="B89" s="25" t="s">
        <v>54</v>
      </c>
      <c r="C89" s="25">
        <v>111.0</v>
      </c>
      <c r="D89" s="25">
        <v>22.2</v>
      </c>
      <c r="E89" s="25">
        <v>43.35</v>
      </c>
      <c r="F89" s="25">
        <v>17.0</v>
      </c>
      <c r="G89" s="25">
        <v>0.0</v>
      </c>
      <c r="H89" s="25" t="s">
        <v>56</v>
      </c>
    </row>
    <row r="90" ht="15.75" customHeight="1">
      <c r="A90" s="25" t="s">
        <v>470</v>
      </c>
      <c r="B90" s="25" t="s">
        <v>54</v>
      </c>
      <c r="C90" s="25">
        <v>710.0</v>
      </c>
      <c r="D90" s="25">
        <v>39.44</v>
      </c>
      <c r="E90" s="25">
        <v>69.95</v>
      </c>
      <c r="F90" s="25">
        <v>103.0</v>
      </c>
      <c r="G90" s="25">
        <v>17.0</v>
      </c>
      <c r="H90" s="25" t="s">
        <v>59</v>
      </c>
    </row>
    <row r="91" ht="15.75" customHeight="1">
      <c r="A91" s="25" t="s">
        <v>470</v>
      </c>
      <c r="B91" s="25" t="s">
        <v>54</v>
      </c>
      <c r="C91" s="25">
        <v>716.0</v>
      </c>
      <c r="D91" s="25">
        <v>32.54</v>
      </c>
      <c r="E91" s="25">
        <v>82.87</v>
      </c>
      <c r="F91" s="25">
        <v>79.0</v>
      </c>
      <c r="G91" s="25">
        <v>11.0</v>
      </c>
      <c r="H91" s="25" t="s">
        <v>62</v>
      </c>
    </row>
    <row r="92" ht="15.75" customHeight="1">
      <c r="A92" s="25" t="s">
        <v>482</v>
      </c>
      <c r="B92" s="25" t="s">
        <v>54</v>
      </c>
      <c r="C92" s="25">
        <v>257.0</v>
      </c>
      <c r="D92" s="25">
        <v>25.7</v>
      </c>
      <c r="E92" s="25">
        <v>116.81</v>
      </c>
      <c r="F92" s="25">
        <v>16.0</v>
      </c>
      <c r="G92" s="25">
        <v>7.0</v>
      </c>
      <c r="H92" s="25" t="s">
        <v>48</v>
      </c>
    </row>
    <row r="93" ht="15.75" customHeight="1">
      <c r="A93" s="25" t="s">
        <v>482</v>
      </c>
      <c r="B93" s="25" t="s">
        <v>54</v>
      </c>
      <c r="C93" s="25">
        <v>164.0</v>
      </c>
      <c r="D93" s="25">
        <v>60.2</v>
      </c>
      <c r="E93" s="25">
        <v>178.26</v>
      </c>
      <c r="F93" s="25">
        <v>11.0</v>
      </c>
      <c r="G93" s="25">
        <v>10.0</v>
      </c>
      <c r="H93" s="25" t="s">
        <v>61</v>
      </c>
    </row>
    <row r="94" ht="15.75" customHeight="1">
      <c r="A94" s="25" t="s">
        <v>482</v>
      </c>
      <c r="B94" s="25" t="s">
        <v>54</v>
      </c>
      <c r="C94" s="25">
        <v>186.0</v>
      </c>
      <c r="D94" s="25">
        <v>20.66</v>
      </c>
      <c r="E94" s="25">
        <v>143.07</v>
      </c>
      <c r="F94" s="25">
        <v>13.0</v>
      </c>
      <c r="G94" s="25">
        <v>10.0</v>
      </c>
      <c r="H94" s="25" t="s">
        <v>58</v>
      </c>
    </row>
    <row r="95" ht="15.75" customHeight="1">
      <c r="A95" s="25" t="s">
        <v>482</v>
      </c>
      <c r="B95" s="25" t="s">
        <v>54</v>
      </c>
      <c r="C95" s="25">
        <v>379.0</v>
      </c>
      <c r="D95" s="25">
        <v>47.37</v>
      </c>
      <c r="E95" s="25">
        <v>161.96</v>
      </c>
      <c r="F95" s="25">
        <v>21.0</v>
      </c>
      <c r="G95" s="25">
        <v>26.0</v>
      </c>
      <c r="H95" s="25" t="s">
        <v>47</v>
      </c>
    </row>
    <row r="96" ht="15.75" customHeight="1">
      <c r="A96" s="25" t="s">
        <v>482</v>
      </c>
      <c r="B96" s="25" t="s">
        <v>54</v>
      </c>
      <c r="C96" s="25">
        <v>98.0</v>
      </c>
      <c r="D96" s="25">
        <v>24.5</v>
      </c>
      <c r="E96" s="25">
        <v>158.06</v>
      </c>
      <c r="F96" s="25">
        <v>9.0</v>
      </c>
      <c r="G96" s="25">
        <v>3.0</v>
      </c>
      <c r="H96" s="25" t="s">
        <v>56</v>
      </c>
    </row>
    <row r="97" ht="15.75" customHeight="1">
      <c r="A97" s="25" t="s">
        <v>482</v>
      </c>
      <c r="B97" s="25" t="s">
        <v>54</v>
      </c>
      <c r="C97" s="25">
        <v>318.0</v>
      </c>
      <c r="D97" s="25">
        <v>45.42</v>
      </c>
      <c r="E97" s="25">
        <v>147.22</v>
      </c>
      <c r="F97" s="25">
        <v>22.0</v>
      </c>
      <c r="G97" s="25">
        <v>17.0</v>
      </c>
      <c r="H97" s="25" t="s">
        <v>59</v>
      </c>
    </row>
    <row r="98" ht="15.75" customHeight="1">
      <c r="A98" s="25" t="s">
        <v>482</v>
      </c>
      <c r="B98" s="25" t="s">
        <v>54</v>
      </c>
      <c r="C98" s="25">
        <v>245.0</v>
      </c>
      <c r="D98" s="25">
        <v>27.22</v>
      </c>
      <c r="E98" s="25">
        <v>141.61</v>
      </c>
      <c r="F98" s="25">
        <v>16.0</v>
      </c>
      <c r="G98" s="25">
        <v>10.0</v>
      </c>
      <c r="H98" s="25" t="s">
        <v>62</v>
      </c>
    </row>
    <row r="99" ht="15.75" customHeight="1">
      <c r="A99" s="25" t="s">
        <v>178</v>
      </c>
      <c r="B99" s="25" t="s">
        <v>54</v>
      </c>
      <c r="C99" s="25">
        <v>808.0</v>
      </c>
      <c r="D99" s="25">
        <v>38.47</v>
      </c>
      <c r="E99" s="25">
        <v>58.55</v>
      </c>
      <c r="F99" s="25">
        <v>89.0</v>
      </c>
      <c r="G99" s="25">
        <v>7.0</v>
      </c>
      <c r="H99" s="25" t="s">
        <v>48</v>
      </c>
    </row>
    <row r="100" ht="15.75" customHeight="1">
      <c r="A100" s="25" t="s">
        <v>178</v>
      </c>
      <c r="B100" s="25" t="s">
        <v>54</v>
      </c>
      <c r="C100" s="25">
        <v>508.0</v>
      </c>
      <c r="D100" s="25">
        <v>42.33</v>
      </c>
      <c r="E100" s="25">
        <v>53.87</v>
      </c>
      <c r="F100" s="25">
        <v>49.0</v>
      </c>
      <c r="G100" s="25">
        <v>3.0</v>
      </c>
      <c r="H100" s="25" t="s">
        <v>61</v>
      </c>
    </row>
    <row r="101" ht="15.75" customHeight="1">
      <c r="A101" s="25" t="s">
        <v>178</v>
      </c>
      <c r="B101" s="25" t="s">
        <v>54</v>
      </c>
      <c r="C101" s="25">
        <v>1039.0</v>
      </c>
      <c r="D101" s="25">
        <v>38.48</v>
      </c>
      <c r="E101" s="25">
        <v>68.08</v>
      </c>
      <c r="F101" s="25">
        <v>119.0</v>
      </c>
      <c r="G101" s="25">
        <v>12.0</v>
      </c>
      <c r="H101" s="25" t="s">
        <v>58</v>
      </c>
    </row>
    <row r="102" ht="15.75" customHeight="1">
      <c r="A102" s="25" t="s">
        <v>178</v>
      </c>
      <c r="B102" s="25" t="s">
        <v>54</v>
      </c>
      <c r="C102" s="25">
        <v>684.0</v>
      </c>
      <c r="D102" s="25">
        <v>29.73</v>
      </c>
      <c r="E102" s="25">
        <v>61.45</v>
      </c>
      <c r="F102" s="25">
        <v>78.0</v>
      </c>
      <c r="G102" s="25">
        <v>7.0</v>
      </c>
      <c r="H102" s="25" t="s">
        <v>47</v>
      </c>
    </row>
    <row r="103" ht="15.75" customHeight="1">
      <c r="A103" s="25" t="s">
        <v>178</v>
      </c>
      <c r="B103" s="25" t="s">
        <v>54</v>
      </c>
      <c r="C103" s="25">
        <v>383.0</v>
      </c>
      <c r="D103" s="25">
        <v>34.81</v>
      </c>
      <c r="E103" s="25">
        <v>43.42</v>
      </c>
      <c r="F103" s="25">
        <v>51.0</v>
      </c>
      <c r="G103" s="25">
        <v>0.0</v>
      </c>
      <c r="H103" s="25" t="s">
        <v>56</v>
      </c>
    </row>
    <row r="104" ht="15.75" customHeight="1">
      <c r="A104" s="25" t="s">
        <v>178</v>
      </c>
      <c r="B104" s="25" t="s">
        <v>54</v>
      </c>
      <c r="C104" s="25">
        <v>483.0</v>
      </c>
      <c r="D104" s="25">
        <v>43.9</v>
      </c>
      <c r="E104" s="25">
        <v>54.82</v>
      </c>
      <c r="F104" s="25">
        <v>55.0</v>
      </c>
      <c r="G104" s="25">
        <v>1.0</v>
      </c>
      <c r="H104" s="25" t="s">
        <v>59</v>
      </c>
    </row>
    <row r="105" ht="15.75" customHeight="1">
      <c r="A105" s="25" t="s">
        <v>178</v>
      </c>
      <c r="B105" s="25" t="s">
        <v>54</v>
      </c>
      <c r="C105" s="25">
        <v>352.0</v>
      </c>
      <c r="D105" s="25">
        <v>20.7</v>
      </c>
      <c r="E105" s="25">
        <v>58.86</v>
      </c>
      <c r="F105" s="25">
        <v>31.0</v>
      </c>
      <c r="G105" s="25">
        <v>1.0</v>
      </c>
      <c r="H105" s="25" t="s">
        <v>62</v>
      </c>
    </row>
    <row r="106" ht="15.75" customHeight="1">
      <c r="A106" s="25" t="s">
        <v>483</v>
      </c>
      <c r="B106" s="25" t="s">
        <v>48</v>
      </c>
      <c r="C106" s="25">
        <v>17.0</v>
      </c>
      <c r="D106" s="25">
        <v>48.1</v>
      </c>
      <c r="E106" s="25">
        <v>154.54</v>
      </c>
      <c r="F106" s="25">
        <v>2.0</v>
      </c>
      <c r="G106" s="25">
        <v>0.0</v>
      </c>
      <c r="H106" s="25" t="s">
        <v>61</v>
      </c>
    </row>
    <row r="107" ht="15.75" customHeight="1">
      <c r="A107" s="25" t="s">
        <v>483</v>
      </c>
      <c r="B107" s="25" t="s">
        <v>48</v>
      </c>
      <c r="C107" s="25">
        <v>390.0</v>
      </c>
      <c r="D107" s="25">
        <v>21.66</v>
      </c>
      <c r="E107" s="25">
        <v>98.48</v>
      </c>
      <c r="F107" s="25">
        <v>29.0</v>
      </c>
      <c r="G107" s="25">
        <v>12.0</v>
      </c>
      <c r="H107" s="25" t="s">
        <v>58</v>
      </c>
    </row>
    <row r="108" ht="15.75" customHeight="1">
      <c r="A108" s="25" t="s">
        <v>483</v>
      </c>
      <c r="B108" s="25" t="s">
        <v>48</v>
      </c>
      <c r="C108" s="25">
        <v>438.0</v>
      </c>
      <c r="D108" s="25">
        <v>36.5</v>
      </c>
      <c r="E108" s="25">
        <v>87.07</v>
      </c>
      <c r="F108" s="25">
        <v>42.0</v>
      </c>
      <c r="G108" s="25">
        <v>10.0</v>
      </c>
      <c r="H108" s="25" t="s">
        <v>47</v>
      </c>
    </row>
    <row r="109" ht="15.75" customHeight="1">
      <c r="A109" s="25" t="s">
        <v>483</v>
      </c>
      <c r="B109" s="25" t="s">
        <v>48</v>
      </c>
      <c r="C109" s="25">
        <v>214.0</v>
      </c>
      <c r="D109" s="25">
        <v>53.5</v>
      </c>
      <c r="E109" s="25">
        <v>102.88</v>
      </c>
      <c r="F109" s="25">
        <v>16.0</v>
      </c>
      <c r="G109" s="25">
        <v>12.0</v>
      </c>
      <c r="H109" s="25" t="s">
        <v>56</v>
      </c>
    </row>
    <row r="110" ht="15.75" customHeight="1">
      <c r="A110" s="25" t="s">
        <v>483</v>
      </c>
      <c r="B110" s="25" t="s">
        <v>48</v>
      </c>
      <c r="C110" s="25">
        <v>131.0</v>
      </c>
      <c r="D110" s="25">
        <v>18.71</v>
      </c>
      <c r="E110" s="25">
        <v>90.97</v>
      </c>
      <c r="F110" s="25">
        <v>9.0</v>
      </c>
      <c r="G110" s="25">
        <v>4.0</v>
      </c>
      <c r="H110" s="25" t="s">
        <v>59</v>
      </c>
    </row>
    <row r="111" ht="15.75" customHeight="1">
      <c r="A111" s="25" t="s">
        <v>483</v>
      </c>
      <c r="B111" s="25" t="s">
        <v>48</v>
      </c>
      <c r="C111" s="25">
        <v>151.0</v>
      </c>
      <c r="D111" s="25">
        <v>18.87</v>
      </c>
      <c r="E111" s="25">
        <v>87.79</v>
      </c>
      <c r="F111" s="25">
        <v>19.0</v>
      </c>
      <c r="G111" s="25">
        <v>5.0</v>
      </c>
      <c r="H111" s="25" t="s">
        <v>54</v>
      </c>
    </row>
    <row r="112" ht="15.75" customHeight="1">
      <c r="A112" s="25" t="s">
        <v>483</v>
      </c>
      <c r="B112" s="25" t="s">
        <v>48</v>
      </c>
      <c r="C112" s="25">
        <v>64.0</v>
      </c>
      <c r="D112" s="25">
        <v>64.0</v>
      </c>
      <c r="E112" s="25">
        <v>156.09</v>
      </c>
      <c r="F112" s="25">
        <v>6.0</v>
      </c>
      <c r="G112" s="25">
        <v>3.0</v>
      </c>
      <c r="H112" s="25" t="s">
        <v>62</v>
      </c>
    </row>
    <row r="113" ht="15.75" customHeight="1">
      <c r="A113" s="25" t="s">
        <v>484</v>
      </c>
      <c r="B113" s="25" t="s">
        <v>48</v>
      </c>
      <c r="C113" s="25">
        <v>163.0</v>
      </c>
      <c r="D113" s="25">
        <v>27.16</v>
      </c>
      <c r="E113" s="25">
        <v>78.74</v>
      </c>
      <c r="F113" s="25">
        <v>15.0</v>
      </c>
      <c r="G113" s="25">
        <v>7.0</v>
      </c>
      <c r="H113" s="25" t="s">
        <v>61</v>
      </c>
    </row>
    <row r="114" ht="15.75" customHeight="1">
      <c r="A114" s="25" t="s">
        <v>484</v>
      </c>
      <c r="B114" s="25" t="s">
        <v>48</v>
      </c>
      <c r="C114" s="25">
        <v>1175.0</v>
      </c>
      <c r="D114" s="25">
        <v>33.57</v>
      </c>
      <c r="E114" s="25">
        <v>115.08</v>
      </c>
      <c r="F114" s="25">
        <v>109.0</v>
      </c>
      <c r="G114" s="25">
        <v>35.0</v>
      </c>
      <c r="H114" s="25" t="s">
        <v>58</v>
      </c>
    </row>
    <row r="115" ht="15.75" customHeight="1">
      <c r="A115" s="25" t="s">
        <v>484</v>
      </c>
      <c r="B115" s="25" t="s">
        <v>48</v>
      </c>
      <c r="C115" s="25">
        <v>1577.0</v>
      </c>
      <c r="D115" s="25">
        <v>30.92</v>
      </c>
      <c r="E115" s="25">
        <v>115.78</v>
      </c>
      <c r="F115" s="25">
        <v>126.0</v>
      </c>
      <c r="G115" s="25">
        <v>76.0</v>
      </c>
      <c r="H115" s="25" t="s">
        <v>47</v>
      </c>
    </row>
    <row r="116" ht="15.75" customHeight="1">
      <c r="A116" s="25" t="s">
        <v>484</v>
      </c>
      <c r="B116" s="25" t="s">
        <v>48</v>
      </c>
      <c r="C116" s="25">
        <v>360.0</v>
      </c>
      <c r="D116" s="25">
        <v>20.0</v>
      </c>
      <c r="E116" s="25">
        <v>117.26</v>
      </c>
      <c r="F116" s="25">
        <v>33.0</v>
      </c>
      <c r="G116" s="25">
        <v>16.0</v>
      </c>
      <c r="H116" s="25" t="s">
        <v>56</v>
      </c>
    </row>
    <row r="117" ht="15.75" customHeight="1">
      <c r="A117" s="25" t="s">
        <v>484</v>
      </c>
      <c r="B117" s="25" t="s">
        <v>48</v>
      </c>
      <c r="C117" s="25">
        <v>1012.0</v>
      </c>
      <c r="D117" s="25">
        <v>34.89</v>
      </c>
      <c r="E117" s="25">
        <v>127.29</v>
      </c>
      <c r="F117" s="25">
        <v>95.0</v>
      </c>
      <c r="G117" s="25">
        <v>33.0</v>
      </c>
      <c r="H117" s="25" t="s">
        <v>59</v>
      </c>
    </row>
    <row r="118" ht="15.75" customHeight="1">
      <c r="A118" s="25" t="s">
        <v>484</v>
      </c>
      <c r="B118" s="25" t="s">
        <v>48</v>
      </c>
      <c r="C118" s="25">
        <v>334.0</v>
      </c>
      <c r="D118" s="25">
        <v>15.9</v>
      </c>
      <c r="E118" s="25">
        <v>115.57</v>
      </c>
      <c r="F118" s="25">
        <v>32.0</v>
      </c>
      <c r="G118" s="25">
        <v>7.0</v>
      </c>
      <c r="H118" s="25" t="s">
        <v>54</v>
      </c>
    </row>
    <row r="119" ht="15.75" customHeight="1">
      <c r="A119" s="25" t="s">
        <v>484</v>
      </c>
      <c r="B119" s="25" t="s">
        <v>48</v>
      </c>
      <c r="C119" s="25">
        <v>875.0</v>
      </c>
      <c r="D119" s="25">
        <v>46.05</v>
      </c>
      <c r="E119" s="25">
        <v>162.03</v>
      </c>
      <c r="F119" s="25">
        <v>86.0</v>
      </c>
      <c r="G119" s="25">
        <v>38.0</v>
      </c>
      <c r="H119" s="25" t="s">
        <v>62</v>
      </c>
    </row>
    <row r="120" ht="15.75" customHeight="1">
      <c r="A120" s="25" t="s">
        <v>485</v>
      </c>
      <c r="B120" s="25" t="s">
        <v>48</v>
      </c>
      <c r="C120" s="25">
        <v>183.0</v>
      </c>
      <c r="D120" s="25">
        <v>45.75</v>
      </c>
      <c r="E120" s="25">
        <v>127.97</v>
      </c>
      <c r="F120" s="25">
        <v>17.0</v>
      </c>
      <c r="G120" s="25">
        <v>10.0</v>
      </c>
      <c r="H120" s="25" t="s">
        <v>61</v>
      </c>
    </row>
    <row r="121" ht="15.75" customHeight="1">
      <c r="A121" s="25" t="s">
        <v>485</v>
      </c>
      <c r="B121" s="25" t="s">
        <v>48</v>
      </c>
      <c r="C121" s="25">
        <v>1973.0</v>
      </c>
      <c r="D121" s="25">
        <v>48.12</v>
      </c>
      <c r="E121" s="25">
        <v>106.7</v>
      </c>
      <c r="F121" s="25">
        <v>193.0</v>
      </c>
      <c r="G121" s="25">
        <v>60.0</v>
      </c>
      <c r="H121" s="25" t="s">
        <v>58</v>
      </c>
    </row>
    <row r="122" ht="15.75" customHeight="1">
      <c r="A122" s="25" t="s">
        <v>485</v>
      </c>
      <c r="B122" s="25" t="s">
        <v>48</v>
      </c>
      <c r="C122" s="25">
        <v>2057.0</v>
      </c>
      <c r="D122" s="25">
        <v>38.09</v>
      </c>
      <c r="E122" s="25">
        <v>90.61</v>
      </c>
      <c r="F122" s="25">
        <v>224.0</v>
      </c>
      <c r="G122" s="25">
        <v>43.0</v>
      </c>
      <c r="H122" s="25" t="s">
        <v>47</v>
      </c>
    </row>
    <row r="123" ht="15.75" customHeight="1">
      <c r="A123" s="25" t="s">
        <v>485</v>
      </c>
      <c r="B123" s="25" t="s">
        <v>48</v>
      </c>
      <c r="C123" s="25">
        <v>451.0</v>
      </c>
      <c r="D123" s="25">
        <v>23.73</v>
      </c>
      <c r="E123" s="25">
        <v>101.34</v>
      </c>
      <c r="F123" s="25">
        <v>36.0</v>
      </c>
      <c r="G123" s="25">
        <v>17.0</v>
      </c>
      <c r="H123" s="25" t="s">
        <v>56</v>
      </c>
    </row>
    <row r="124" ht="15.75" customHeight="1">
      <c r="A124" s="25" t="s">
        <v>485</v>
      </c>
      <c r="B124" s="25" t="s">
        <v>48</v>
      </c>
      <c r="C124" s="25">
        <v>1152.0</v>
      </c>
      <c r="D124" s="25">
        <v>42.66</v>
      </c>
      <c r="E124" s="25">
        <v>83.29</v>
      </c>
      <c r="F124" s="25">
        <v>96.0</v>
      </c>
      <c r="G124" s="25">
        <v>36.0</v>
      </c>
      <c r="H124" s="25" t="s">
        <v>59</v>
      </c>
    </row>
    <row r="125" ht="15.75" customHeight="1">
      <c r="A125" s="25" t="s">
        <v>485</v>
      </c>
      <c r="B125" s="25" t="s">
        <v>48</v>
      </c>
      <c r="C125" s="25">
        <v>1071.0</v>
      </c>
      <c r="D125" s="25">
        <v>32.45</v>
      </c>
      <c r="E125" s="25">
        <v>87.93</v>
      </c>
      <c r="F125" s="25">
        <v>110.0</v>
      </c>
      <c r="G125" s="25">
        <v>25.0</v>
      </c>
      <c r="H125" s="25" t="s">
        <v>54</v>
      </c>
    </row>
    <row r="126" ht="15.75" customHeight="1">
      <c r="A126" s="25" t="s">
        <v>485</v>
      </c>
      <c r="B126" s="25" t="s">
        <v>48</v>
      </c>
      <c r="C126" s="25">
        <v>939.0</v>
      </c>
      <c r="D126" s="25">
        <v>32.37</v>
      </c>
      <c r="E126" s="25">
        <v>114.79</v>
      </c>
      <c r="F126" s="25">
        <v>90.0</v>
      </c>
      <c r="G126" s="25">
        <v>31.0</v>
      </c>
      <c r="H126" s="25" t="s">
        <v>62</v>
      </c>
    </row>
    <row r="127" ht="15.75" customHeight="1">
      <c r="A127" s="25" t="s">
        <v>486</v>
      </c>
      <c r="B127" s="25" t="s">
        <v>48</v>
      </c>
      <c r="C127" s="25">
        <v>178.0</v>
      </c>
      <c r="D127" s="25">
        <v>29.66</v>
      </c>
      <c r="E127" s="25">
        <v>105.32</v>
      </c>
      <c r="F127" s="25">
        <v>19.0</v>
      </c>
      <c r="G127" s="25">
        <v>3.0</v>
      </c>
      <c r="H127" s="25" t="s">
        <v>61</v>
      </c>
    </row>
    <row r="128" ht="15.75" customHeight="1">
      <c r="A128" s="25" t="s">
        <v>486</v>
      </c>
      <c r="B128" s="25" t="s">
        <v>48</v>
      </c>
      <c r="C128" s="25">
        <v>1356.0</v>
      </c>
      <c r="D128" s="25">
        <v>39.88</v>
      </c>
      <c r="E128" s="25">
        <v>73.41</v>
      </c>
      <c r="F128" s="25">
        <v>145.0</v>
      </c>
      <c r="G128" s="25">
        <v>27.0</v>
      </c>
      <c r="H128" s="25" t="s">
        <v>58</v>
      </c>
    </row>
    <row r="129" ht="15.75" customHeight="1">
      <c r="A129" s="25" t="s">
        <v>486</v>
      </c>
      <c r="B129" s="25" t="s">
        <v>48</v>
      </c>
      <c r="C129" s="25">
        <v>636.0</v>
      </c>
      <c r="D129" s="25">
        <v>37.41</v>
      </c>
      <c r="E129" s="25">
        <v>85.82</v>
      </c>
      <c r="F129" s="25">
        <v>74.0</v>
      </c>
      <c r="G129" s="25">
        <v>22.0</v>
      </c>
      <c r="H129" s="25" t="s">
        <v>47</v>
      </c>
    </row>
    <row r="130" ht="15.75" customHeight="1">
      <c r="A130" s="25" t="s">
        <v>486</v>
      </c>
      <c r="B130" s="25" t="s">
        <v>48</v>
      </c>
      <c r="C130" s="25">
        <v>507.0</v>
      </c>
      <c r="D130" s="25">
        <v>25.35</v>
      </c>
      <c r="E130" s="25">
        <v>93.19</v>
      </c>
      <c r="F130" s="25">
        <v>43.0</v>
      </c>
      <c r="G130" s="25">
        <v>21.0</v>
      </c>
      <c r="H130" s="25" t="s">
        <v>56</v>
      </c>
    </row>
    <row r="131" ht="15.75" customHeight="1">
      <c r="A131" s="25" t="s">
        <v>486</v>
      </c>
      <c r="B131" s="25" t="s">
        <v>48</v>
      </c>
      <c r="C131" s="25">
        <v>389.0</v>
      </c>
      <c r="D131" s="25">
        <v>27.78</v>
      </c>
      <c r="E131" s="25">
        <v>64.4</v>
      </c>
      <c r="F131" s="25">
        <v>39.0</v>
      </c>
      <c r="G131" s="25">
        <v>12.0</v>
      </c>
      <c r="H131" s="25" t="s">
        <v>59</v>
      </c>
    </row>
    <row r="132" ht="15.75" customHeight="1">
      <c r="A132" s="25" t="s">
        <v>486</v>
      </c>
      <c r="B132" s="25" t="s">
        <v>48</v>
      </c>
      <c r="C132" s="25">
        <v>1114.0</v>
      </c>
      <c r="D132" s="25">
        <v>29.31</v>
      </c>
      <c r="E132" s="25">
        <v>86.76</v>
      </c>
      <c r="F132" s="25">
        <v>109.0</v>
      </c>
      <c r="G132" s="25">
        <v>40.0</v>
      </c>
      <c r="H132" s="25" t="s">
        <v>54</v>
      </c>
    </row>
    <row r="133" ht="15.75" customHeight="1">
      <c r="A133" s="25" t="s">
        <v>486</v>
      </c>
      <c r="B133" s="25" t="s">
        <v>48</v>
      </c>
      <c r="C133" s="25">
        <v>307.0</v>
      </c>
      <c r="D133" s="25">
        <v>23.61</v>
      </c>
      <c r="E133" s="25">
        <v>65.87</v>
      </c>
      <c r="F133" s="25">
        <v>39.0</v>
      </c>
      <c r="G133" s="25">
        <v>5.0</v>
      </c>
      <c r="H133" s="25" t="s">
        <v>62</v>
      </c>
    </row>
    <row r="134" ht="15.75" customHeight="1">
      <c r="A134" s="25" t="s">
        <v>487</v>
      </c>
      <c r="B134" s="25" t="s">
        <v>48</v>
      </c>
      <c r="C134" s="25">
        <v>556.0</v>
      </c>
      <c r="D134" s="25">
        <v>61.77</v>
      </c>
      <c r="E134" s="25">
        <v>84.62</v>
      </c>
      <c r="F134" s="25">
        <v>52.0</v>
      </c>
      <c r="G134" s="25">
        <v>11.0</v>
      </c>
      <c r="H134" s="25" t="s">
        <v>61</v>
      </c>
    </row>
    <row r="135" ht="15.75" customHeight="1">
      <c r="A135" s="25" t="s">
        <v>487</v>
      </c>
      <c r="B135" s="25" t="s">
        <v>48</v>
      </c>
      <c r="C135" s="25">
        <v>3352.0</v>
      </c>
      <c r="D135" s="25">
        <v>33.85</v>
      </c>
      <c r="E135" s="25">
        <v>70.22</v>
      </c>
      <c r="F135" s="25">
        <v>404.0</v>
      </c>
      <c r="G135" s="25">
        <v>26.0</v>
      </c>
      <c r="H135" s="25" t="s">
        <v>58</v>
      </c>
    </row>
    <row r="136" ht="15.75" customHeight="1">
      <c r="A136" s="25" t="s">
        <v>487</v>
      </c>
      <c r="B136" s="25" t="s">
        <v>48</v>
      </c>
      <c r="C136" s="25">
        <v>2653.0</v>
      </c>
      <c r="D136" s="25">
        <v>37.36</v>
      </c>
      <c r="E136" s="25">
        <v>83.01</v>
      </c>
      <c r="F136" s="25">
        <v>296.0</v>
      </c>
      <c r="G136" s="25">
        <v>48.0</v>
      </c>
      <c r="H136" s="25" t="s">
        <v>47</v>
      </c>
    </row>
    <row r="137" ht="15.75" customHeight="1">
      <c r="A137" s="25" t="s">
        <v>487</v>
      </c>
      <c r="B137" s="25" t="s">
        <v>48</v>
      </c>
      <c r="C137" s="25">
        <v>1936.0</v>
      </c>
      <c r="D137" s="25">
        <v>48.4</v>
      </c>
      <c r="E137" s="25">
        <v>85.36</v>
      </c>
      <c r="F137" s="25">
        <v>198.0</v>
      </c>
      <c r="G137" s="25">
        <v>27.0</v>
      </c>
      <c r="H137" s="25" t="s">
        <v>56</v>
      </c>
    </row>
    <row r="138" ht="15.75" customHeight="1">
      <c r="A138" s="25" t="s">
        <v>487</v>
      </c>
      <c r="B138" s="25" t="s">
        <v>48</v>
      </c>
      <c r="C138" s="25">
        <v>2489.0</v>
      </c>
      <c r="D138" s="25">
        <v>59.26</v>
      </c>
      <c r="E138" s="25">
        <v>89.62</v>
      </c>
      <c r="F138" s="25">
        <v>263.0</v>
      </c>
      <c r="G138" s="25">
        <v>47.0</v>
      </c>
      <c r="H138" s="25" t="s">
        <v>59</v>
      </c>
    </row>
    <row r="139" ht="15.75" customHeight="1">
      <c r="A139" s="25" t="s">
        <v>487</v>
      </c>
      <c r="B139" s="25" t="s">
        <v>48</v>
      </c>
      <c r="C139" s="25">
        <v>3112.0</v>
      </c>
      <c r="D139" s="25">
        <v>44.45</v>
      </c>
      <c r="E139" s="25">
        <v>94.58</v>
      </c>
      <c r="F139" s="25">
        <v>353.0</v>
      </c>
      <c r="G139" s="25">
        <v>60.0</v>
      </c>
      <c r="H139" s="25" t="s">
        <v>54</v>
      </c>
    </row>
    <row r="140" ht="15.75" customHeight="1">
      <c r="A140" s="25" t="s">
        <v>487</v>
      </c>
      <c r="B140" s="25" t="s">
        <v>48</v>
      </c>
      <c r="C140" s="25">
        <v>1942.0</v>
      </c>
      <c r="D140" s="25">
        <v>39.63</v>
      </c>
      <c r="E140" s="25">
        <v>96.42</v>
      </c>
      <c r="F140" s="25">
        <v>208.0</v>
      </c>
      <c r="G140" s="25">
        <v>22.0</v>
      </c>
      <c r="H140" s="25" t="s">
        <v>62</v>
      </c>
    </row>
    <row r="141" ht="15.75" customHeight="1">
      <c r="A141" s="25" t="s">
        <v>488</v>
      </c>
      <c r="B141" s="25" t="s">
        <v>56</v>
      </c>
      <c r="C141" s="25">
        <v>215.0</v>
      </c>
      <c r="D141" s="25">
        <v>23.88</v>
      </c>
      <c r="E141" s="25">
        <v>84.64</v>
      </c>
      <c r="F141" s="25">
        <v>16.0</v>
      </c>
      <c r="G141" s="25">
        <v>11.0</v>
      </c>
      <c r="H141" s="25" t="s">
        <v>48</v>
      </c>
    </row>
    <row r="142" ht="15.75" customHeight="1">
      <c r="A142" s="25" t="s">
        <v>488</v>
      </c>
      <c r="B142" s="25" t="s">
        <v>56</v>
      </c>
      <c r="C142" s="25">
        <v>195.0</v>
      </c>
      <c r="D142" s="25">
        <v>97.5</v>
      </c>
      <c r="E142" s="25">
        <v>214.28</v>
      </c>
      <c r="F142" s="25">
        <v>13.0</v>
      </c>
      <c r="G142" s="25">
        <v>13.0</v>
      </c>
      <c r="H142" s="25" t="s">
        <v>61</v>
      </c>
    </row>
    <row r="143" ht="15.75" customHeight="1">
      <c r="A143" s="25" t="s">
        <v>488</v>
      </c>
      <c r="B143" s="25" t="s">
        <v>56</v>
      </c>
      <c r="C143" s="25">
        <v>337.0</v>
      </c>
      <c r="D143" s="25">
        <v>37.44</v>
      </c>
      <c r="E143" s="25">
        <v>126.69</v>
      </c>
      <c r="F143" s="25">
        <v>25.0</v>
      </c>
      <c r="G143" s="25">
        <v>13.0</v>
      </c>
      <c r="H143" s="25" t="s">
        <v>58</v>
      </c>
    </row>
    <row r="144" ht="15.75" customHeight="1">
      <c r="A144" s="25" t="s">
        <v>488</v>
      </c>
      <c r="B144" s="25" t="s">
        <v>56</v>
      </c>
      <c r="C144" s="25">
        <v>210.0</v>
      </c>
      <c r="D144" s="25">
        <v>16.15</v>
      </c>
      <c r="E144" s="25">
        <v>95.45</v>
      </c>
      <c r="F144" s="25">
        <v>15.0</v>
      </c>
      <c r="G144" s="25">
        <v>9.0</v>
      </c>
      <c r="H144" s="25" t="s">
        <v>47</v>
      </c>
    </row>
    <row r="145" ht="15.75" customHeight="1">
      <c r="A145" s="25" t="s">
        <v>488</v>
      </c>
      <c r="B145" s="25" t="s">
        <v>56</v>
      </c>
      <c r="C145" s="25">
        <v>274.0</v>
      </c>
      <c r="D145" s="25">
        <v>21.07</v>
      </c>
      <c r="E145" s="25">
        <v>100.0</v>
      </c>
      <c r="F145" s="25">
        <v>18.0</v>
      </c>
      <c r="G145" s="25">
        <v>8.0</v>
      </c>
      <c r="H145" s="25" t="s">
        <v>59</v>
      </c>
    </row>
    <row r="146" ht="15.75" customHeight="1">
      <c r="A146" s="25" t="s">
        <v>488</v>
      </c>
      <c r="B146" s="25" t="s">
        <v>56</v>
      </c>
      <c r="C146" s="25">
        <v>5.0</v>
      </c>
      <c r="D146" s="25">
        <v>5.0</v>
      </c>
      <c r="E146" s="25">
        <v>45.45</v>
      </c>
      <c r="F146" s="25">
        <v>0.0</v>
      </c>
      <c r="G146" s="25">
        <v>0.0</v>
      </c>
      <c r="H146" s="25" t="s">
        <v>54</v>
      </c>
    </row>
    <row r="147" ht="15.75" customHeight="1">
      <c r="A147" s="25" t="s">
        <v>488</v>
      </c>
      <c r="B147" s="25" t="s">
        <v>56</v>
      </c>
      <c r="C147" s="25">
        <v>143.0</v>
      </c>
      <c r="D147" s="25">
        <v>71.5</v>
      </c>
      <c r="E147" s="25">
        <v>134.9</v>
      </c>
      <c r="F147" s="25">
        <v>13.0</v>
      </c>
      <c r="G147" s="25">
        <v>6.0</v>
      </c>
      <c r="H147" s="25" t="s">
        <v>62</v>
      </c>
    </row>
    <row r="148" ht="15.75" customHeight="1">
      <c r="A148" s="25" t="s">
        <v>489</v>
      </c>
      <c r="B148" s="25" t="s">
        <v>56</v>
      </c>
      <c r="C148" s="25">
        <v>1495.0</v>
      </c>
      <c r="D148" s="25">
        <v>34.76</v>
      </c>
      <c r="E148" s="25">
        <v>69.11</v>
      </c>
      <c r="F148" s="25">
        <v>159.0</v>
      </c>
      <c r="G148" s="25">
        <v>17.0</v>
      </c>
      <c r="H148" s="25" t="s">
        <v>48</v>
      </c>
    </row>
    <row r="149" ht="15.75" customHeight="1">
      <c r="A149" s="25" t="s">
        <v>489</v>
      </c>
      <c r="B149" s="25" t="s">
        <v>56</v>
      </c>
      <c r="C149" s="25">
        <v>1400.0</v>
      </c>
      <c r="D149" s="25">
        <v>77.77</v>
      </c>
      <c r="E149" s="25">
        <v>74.11</v>
      </c>
      <c r="F149" s="25">
        <v>132.0</v>
      </c>
      <c r="G149" s="25">
        <v>10.0</v>
      </c>
      <c r="H149" s="25" t="s">
        <v>61</v>
      </c>
    </row>
    <row r="150" ht="15.75" customHeight="1">
      <c r="A150" s="25" t="s">
        <v>489</v>
      </c>
      <c r="B150" s="25" t="s">
        <v>56</v>
      </c>
      <c r="C150" s="25">
        <v>2233.0</v>
      </c>
      <c r="D150" s="25">
        <v>42.94</v>
      </c>
      <c r="E150" s="25">
        <v>60.07</v>
      </c>
      <c r="F150" s="25">
        <v>237.0</v>
      </c>
      <c r="G150" s="25">
        <v>13.0</v>
      </c>
      <c r="H150" s="25" t="s">
        <v>58</v>
      </c>
    </row>
    <row r="151" ht="15.75" customHeight="1">
      <c r="A151" s="25" t="s">
        <v>489</v>
      </c>
      <c r="B151" s="25" t="s">
        <v>56</v>
      </c>
      <c r="C151" s="25">
        <v>2368.0</v>
      </c>
      <c r="D151" s="25">
        <v>39.46</v>
      </c>
      <c r="E151" s="25">
        <v>63.12</v>
      </c>
      <c r="F151" s="25">
        <v>222.0</v>
      </c>
      <c r="G151" s="25">
        <v>27.0</v>
      </c>
      <c r="H151" s="25" t="s">
        <v>47</v>
      </c>
    </row>
    <row r="152" ht="15.75" customHeight="1">
      <c r="A152" s="25" t="s">
        <v>489</v>
      </c>
      <c r="B152" s="25" t="s">
        <v>56</v>
      </c>
      <c r="C152" s="25">
        <v>3206.0</v>
      </c>
      <c r="D152" s="25">
        <v>54.33</v>
      </c>
      <c r="E152" s="25">
        <v>68.24</v>
      </c>
      <c r="F152" s="25">
        <v>310.0</v>
      </c>
      <c r="G152" s="25">
        <v>19.0</v>
      </c>
      <c r="H152" s="25" t="s">
        <v>59</v>
      </c>
    </row>
    <row r="153" ht="15.75" customHeight="1">
      <c r="A153" s="25" t="s">
        <v>489</v>
      </c>
      <c r="B153" s="25" t="s">
        <v>56</v>
      </c>
      <c r="C153" s="25">
        <v>1524.0</v>
      </c>
      <c r="D153" s="25">
        <v>44.82</v>
      </c>
      <c r="E153" s="25">
        <v>65.04</v>
      </c>
      <c r="F153" s="25">
        <v>154.0</v>
      </c>
      <c r="G153" s="25">
        <v>16.0</v>
      </c>
      <c r="H153" s="25" t="s">
        <v>54</v>
      </c>
    </row>
    <row r="154" ht="15.75" customHeight="1">
      <c r="A154" s="25" t="s">
        <v>489</v>
      </c>
      <c r="B154" s="25" t="s">
        <v>56</v>
      </c>
      <c r="C154" s="25">
        <v>2153.0</v>
      </c>
      <c r="D154" s="25">
        <v>55.2</v>
      </c>
      <c r="E154" s="25">
        <v>67.83</v>
      </c>
      <c r="F154" s="25">
        <v>205.0</v>
      </c>
      <c r="G154" s="25">
        <v>10.0</v>
      </c>
      <c r="H154" s="25" t="s">
        <v>62</v>
      </c>
    </row>
    <row r="155" ht="15.75" customHeight="1">
      <c r="A155" s="25" t="s">
        <v>490</v>
      </c>
      <c r="B155" s="25" t="s">
        <v>56</v>
      </c>
      <c r="C155" s="25">
        <v>356.0</v>
      </c>
      <c r="D155" s="25">
        <v>50.85</v>
      </c>
      <c r="E155" s="25">
        <v>115.21</v>
      </c>
      <c r="F155" s="25">
        <v>35.0</v>
      </c>
      <c r="G155" s="25">
        <v>8.0</v>
      </c>
      <c r="H155" s="25" t="s">
        <v>48</v>
      </c>
    </row>
    <row r="156" ht="15.75" customHeight="1">
      <c r="A156" s="25" t="s">
        <v>490</v>
      </c>
      <c r="B156" s="25" t="s">
        <v>56</v>
      </c>
      <c r="C156" s="25">
        <v>755.0</v>
      </c>
      <c r="D156" s="25">
        <v>83.88</v>
      </c>
      <c r="E156" s="25">
        <v>83.98</v>
      </c>
      <c r="F156" s="25">
        <v>83.0</v>
      </c>
      <c r="G156" s="25">
        <v>9.0</v>
      </c>
      <c r="H156" s="25" t="s">
        <v>61</v>
      </c>
    </row>
    <row r="157" ht="15.75" customHeight="1">
      <c r="A157" s="25" t="s">
        <v>490</v>
      </c>
      <c r="B157" s="25" t="s">
        <v>56</v>
      </c>
      <c r="C157" s="25">
        <v>953.0</v>
      </c>
      <c r="D157" s="25">
        <v>43.31</v>
      </c>
      <c r="E157" s="25">
        <v>62.0</v>
      </c>
      <c r="F157" s="25">
        <v>114.0</v>
      </c>
      <c r="G157" s="25">
        <v>8.0</v>
      </c>
      <c r="H157" s="25" t="s">
        <v>58</v>
      </c>
    </row>
    <row r="158" ht="15.75" customHeight="1">
      <c r="A158" s="25" t="s">
        <v>490</v>
      </c>
      <c r="B158" s="25" t="s">
        <v>56</v>
      </c>
      <c r="C158" s="25">
        <v>440.0</v>
      </c>
      <c r="D158" s="25">
        <v>36.66</v>
      </c>
      <c r="E158" s="25">
        <v>78.57</v>
      </c>
      <c r="F158" s="25">
        <v>50.0</v>
      </c>
      <c r="G158" s="25">
        <v>11.0</v>
      </c>
      <c r="H158" s="25" t="s">
        <v>47</v>
      </c>
    </row>
    <row r="159" ht="15.75" customHeight="1">
      <c r="A159" s="25" t="s">
        <v>490</v>
      </c>
      <c r="B159" s="25" t="s">
        <v>56</v>
      </c>
      <c r="C159" s="25">
        <v>600.0</v>
      </c>
      <c r="D159" s="25">
        <v>50.0</v>
      </c>
      <c r="E159" s="25">
        <v>81.85</v>
      </c>
      <c r="F159" s="25">
        <v>73.0</v>
      </c>
      <c r="G159" s="25">
        <v>6.0</v>
      </c>
      <c r="H159" s="25" t="s">
        <v>59</v>
      </c>
    </row>
    <row r="160" ht="15.75" customHeight="1">
      <c r="A160" s="25" t="s">
        <v>490</v>
      </c>
      <c r="B160" s="25" t="s">
        <v>56</v>
      </c>
      <c r="C160" s="25">
        <v>144.0</v>
      </c>
      <c r="D160" s="25">
        <v>48.0</v>
      </c>
      <c r="E160" s="25">
        <v>45.56</v>
      </c>
      <c r="F160" s="25">
        <v>19.0</v>
      </c>
      <c r="G160" s="25">
        <v>0.0</v>
      </c>
      <c r="H160" s="25" t="s">
        <v>54</v>
      </c>
    </row>
    <row r="161" ht="15.75" customHeight="1">
      <c r="A161" s="25" t="s">
        <v>490</v>
      </c>
      <c r="B161" s="25" t="s">
        <v>56</v>
      </c>
      <c r="C161" s="25">
        <v>114.0</v>
      </c>
      <c r="D161" s="25">
        <v>28.5</v>
      </c>
      <c r="E161" s="25">
        <v>52.77</v>
      </c>
      <c r="F161" s="25">
        <v>15.0</v>
      </c>
      <c r="G161" s="25">
        <v>0.0</v>
      </c>
      <c r="H161" s="25" t="s">
        <v>62</v>
      </c>
    </row>
    <row r="162" ht="15.75" customHeight="1">
      <c r="A162" s="25" t="s">
        <v>491</v>
      </c>
      <c r="B162" s="25" t="s">
        <v>56</v>
      </c>
      <c r="C162" s="25">
        <v>63.0</v>
      </c>
      <c r="D162" s="25">
        <v>15.75</v>
      </c>
      <c r="E162" s="25">
        <v>66.31</v>
      </c>
      <c r="F162" s="25">
        <v>5.0</v>
      </c>
      <c r="G162" s="25">
        <v>1.0</v>
      </c>
      <c r="H162" s="25" t="s">
        <v>48</v>
      </c>
    </row>
    <row r="163" ht="15.75" customHeight="1">
      <c r="A163" s="25" t="s">
        <v>491</v>
      </c>
      <c r="B163" s="25" t="s">
        <v>56</v>
      </c>
      <c r="C163" s="25">
        <v>249.0</v>
      </c>
      <c r="D163" s="25">
        <v>124.5</v>
      </c>
      <c r="E163" s="25">
        <v>125.75</v>
      </c>
      <c r="F163" s="25">
        <v>24.0</v>
      </c>
      <c r="G163" s="25">
        <v>6.0</v>
      </c>
      <c r="H163" s="25" t="s">
        <v>61</v>
      </c>
    </row>
    <row r="164" ht="15.75" customHeight="1">
      <c r="A164" s="25" t="s">
        <v>491</v>
      </c>
      <c r="B164" s="25" t="s">
        <v>56</v>
      </c>
      <c r="C164" s="25">
        <v>1078.0</v>
      </c>
      <c r="D164" s="25">
        <v>53.9</v>
      </c>
      <c r="E164" s="25">
        <v>61.7</v>
      </c>
      <c r="F164" s="25">
        <v>100.0</v>
      </c>
      <c r="G164" s="25">
        <v>27.0</v>
      </c>
      <c r="H164" s="25" t="s">
        <v>58</v>
      </c>
    </row>
    <row r="165" ht="15.75" customHeight="1">
      <c r="A165" s="25" t="s">
        <v>491</v>
      </c>
      <c r="B165" s="25" t="s">
        <v>56</v>
      </c>
      <c r="C165" s="25">
        <v>484.0</v>
      </c>
      <c r="D165" s="25">
        <v>25.47</v>
      </c>
      <c r="E165" s="25">
        <v>102.54</v>
      </c>
      <c r="F165" s="25">
        <v>38.0</v>
      </c>
      <c r="G165" s="25">
        <v>19.0</v>
      </c>
      <c r="H165" s="25" t="s">
        <v>47</v>
      </c>
    </row>
    <row r="166" ht="15.75" customHeight="1">
      <c r="A166" s="25" t="s">
        <v>491</v>
      </c>
      <c r="B166" s="25" t="s">
        <v>56</v>
      </c>
      <c r="C166" s="25">
        <v>673.0</v>
      </c>
      <c r="D166" s="25">
        <v>44.86</v>
      </c>
      <c r="E166" s="25">
        <v>95.86</v>
      </c>
      <c r="F166" s="25">
        <v>49.0</v>
      </c>
      <c r="G166" s="25">
        <v>12.0</v>
      </c>
      <c r="H166" s="25" t="s">
        <v>59</v>
      </c>
    </row>
    <row r="167" ht="15.75" customHeight="1">
      <c r="A167" s="25" t="s">
        <v>491</v>
      </c>
      <c r="B167" s="25" t="s">
        <v>56</v>
      </c>
      <c r="C167" s="25">
        <v>100.0</v>
      </c>
      <c r="D167" s="25">
        <v>33.33</v>
      </c>
      <c r="E167" s="25">
        <v>39.68</v>
      </c>
      <c r="F167" s="25">
        <v>12.0</v>
      </c>
      <c r="G167" s="25">
        <v>2.0</v>
      </c>
      <c r="H167" s="25" t="s">
        <v>54</v>
      </c>
    </row>
    <row r="168" ht="15.75" customHeight="1">
      <c r="A168" s="25" t="s">
        <v>491</v>
      </c>
      <c r="B168" s="25" t="s">
        <v>56</v>
      </c>
      <c r="C168" s="25">
        <v>388.0</v>
      </c>
      <c r="D168" s="25">
        <v>38.8</v>
      </c>
      <c r="E168" s="25">
        <v>82.55</v>
      </c>
      <c r="F168" s="25">
        <v>19.0</v>
      </c>
      <c r="G168" s="25">
        <v>14.0</v>
      </c>
      <c r="H168" s="25" t="s">
        <v>62</v>
      </c>
    </row>
    <row r="169" ht="15.75" customHeight="1">
      <c r="A169" s="25" t="s">
        <v>492</v>
      </c>
      <c r="B169" s="25" t="s">
        <v>56</v>
      </c>
      <c r="C169" s="25">
        <v>42.0</v>
      </c>
      <c r="D169" s="25">
        <v>42.0</v>
      </c>
      <c r="E169" s="25">
        <v>262.5</v>
      </c>
      <c r="F169" s="25">
        <v>5.0</v>
      </c>
      <c r="G169" s="25">
        <v>3.0</v>
      </c>
      <c r="H169" s="25" t="s">
        <v>48</v>
      </c>
    </row>
    <row r="170" ht="15.75" customHeight="1">
      <c r="A170" s="25" t="s">
        <v>492</v>
      </c>
      <c r="B170" s="25" t="s">
        <v>56</v>
      </c>
      <c r="C170" s="25">
        <v>204.0</v>
      </c>
      <c r="D170" s="25">
        <v>25.5</v>
      </c>
      <c r="E170" s="25">
        <v>171.42</v>
      </c>
      <c r="F170" s="25">
        <v>23.0</v>
      </c>
      <c r="G170" s="25">
        <v>11.0</v>
      </c>
      <c r="H170" s="25" t="s">
        <v>61</v>
      </c>
    </row>
    <row r="171" ht="15.75" customHeight="1">
      <c r="A171" s="25" t="s">
        <v>492</v>
      </c>
      <c r="B171" s="25" t="s">
        <v>56</v>
      </c>
      <c r="C171" s="25">
        <v>139.0</v>
      </c>
      <c r="D171" s="25">
        <v>27.8</v>
      </c>
      <c r="E171" s="25">
        <v>152.74</v>
      </c>
      <c r="F171" s="25">
        <v>7.0</v>
      </c>
      <c r="G171" s="25">
        <v>10.0</v>
      </c>
      <c r="H171" s="25" t="s">
        <v>58</v>
      </c>
    </row>
    <row r="172" ht="15.75" customHeight="1">
      <c r="A172" s="25" t="s">
        <v>492</v>
      </c>
      <c r="B172" s="25" t="s">
        <v>56</v>
      </c>
      <c r="C172" s="25">
        <v>52.0</v>
      </c>
      <c r="D172" s="25">
        <v>10.4</v>
      </c>
      <c r="E172" s="25">
        <v>120.93</v>
      </c>
      <c r="F172" s="25">
        <v>6.0</v>
      </c>
      <c r="G172" s="25">
        <v>2.0</v>
      </c>
      <c r="H172" s="25" t="s">
        <v>47</v>
      </c>
    </row>
    <row r="173" ht="15.75" customHeight="1">
      <c r="A173" s="25" t="s">
        <v>492</v>
      </c>
      <c r="B173" s="25" t="s">
        <v>56</v>
      </c>
      <c r="C173" s="25">
        <v>91.0</v>
      </c>
      <c r="D173" s="25">
        <v>22.75</v>
      </c>
      <c r="E173" s="25">
        <v>154.23</v>
      </c>
      <c r="F173" s="25">
        <v>8.0</v>
      </c>
      <c r="G173" s="25">
        <v>6.0</v>
      </c>
      <c r="H173" s="25" t="s">
        <v>59</v>
      </c>
    </row>
    <row r="174" ht="15.75" customHeight="1">
      <c r="A174" s="25" t="s">
        <v>492</v>
      </c>
      <c r="B174" s="25" t="s">
        <v>56</v>
      </c>
      <c r="C174" s="25">
        <v>1.0</v>
      </c>
      <c r="D174" s="25">
        <v>1.0</v>
      </c>
      <c r="E174" s="25">
        <v>33.33</v>
      </c>
      <c r="F174" s="25">
        <v>0.0</v>
      </c>
      <c r="G174" s="25">
        <v>0.0</v>
      </c>
      <c r="H174" s="25" t="s">
        <v>62</v>
      </c>
    </row>
    <row r="175" ht="15.75" customHeight="1">
      <c r="A175" s="25" t="s">
        <v>493</v>
      </c>
      <c r="B175" s="25" t="s">
        <v>58</v>
      </c>
      <c r="C175" s="25">
        <v>1986.0</v>
      </c>
      <c r="D175" s="25">
        <v>32.03</v>
      </c>
      <c r="E175" s="25">
        <v>81.02</v>
      </c>
      <c r="F175" s="25">
        <v>189.0</v>
      </c>
      <c r="G175" s="25">
        <v>48.0</v>
      </c>
      <c r="H175" s="25" t="s">
        <v>48</v>
      </c>
    </row>
    <row r="176" ht="15.75" customHeight="1">
      <c r="A176" s="25" t="s">
        <v>493</v>
      </c>
      <c r="B176" s="25" t="s">
        <v>58</v>
      </c>
      <c r="C176" s="25">
        <v>534.0</v>
      </c>
      <c r="D176" s="25">
        <v>41.07</v>
      </c>
      <c r="E176" s="25">
        <v>126.54</v>
      </c>
      <c r="F176" s="25">
        <v>37.0</v>
      </c>
      <c r="G176" s="25">
        <v>18.0</v>
      </c>
      <c r="H176" s="25" t="s">
        <v>61</v>
      </c>
    </row>
    <row r="177" ht="15.75" customHeight="1">
      <c r="A177" s="25" t="s">
        <v>493</v>
      </c>
      <c r="B177" s="25" t="s">
        <v>58</v>
      </c>
      <c r="C177" s="25">
        <v>1729.0</v>
      </c>
      <c r="D177" s="25">
        <v>30.87</v>
      </c>
      <c r="E177" s="25">
        <v>78.05</v>
      </c>
      <c r="F177" s="25">
        <v>179.0</v>
      </c>
      <c r="G177" s="25">
        <v>40.0</v>
      </c>
      <c r="H177" s="25" t="s">
        <v>47</v>
      </c>
    </row>
    <row r="178" ht="15.75" customHeight="1">
      <c r="A178" s="25" t="s">
        <v>493</v>
      </c>
      <c r="B178" s="25" t="s">
        <v>58</v>
      </c>
      <c r="C178" s="25">
        <v>1319.0</v>
      </c>
      <c r="D178" s="25">
        <v>39.96</v>
      </c>
      <c r="E178" s="25">
        <v>106.37</v>
      </c>
      <c r="F178" s="25">
        <v>129.0</v>
      </c>
      <c r="G178" s="25">
        <v>44.0</v>
      </c>
      <c r="H178" s="25" t="s">
        <v>56</v>
      </c>
    </row>
    <row r="179" ht="15.75" customHeight="1">
      <c r="A179" s="25" t="s">
        <v>493</v>
      </c>
      <c r="B179" s="25" t="s">
        <v>58</v>
      </c>
      <c r="C179" s="25">
        <v>1156.0</v>
      </c>
      <c r="D179" s="25">
        <v>44.46</v>
      </c>
      <c r="E179" s="25">
        <v>86.01</v>
      </c>
      <c r="F179" s="25">
        <v>105.0</v>
      </c>
      <c r="G179" s="25">
        <v>40.0</v>
      </c>
      <c r="H179" s="25" t="s">
        <v>59</v>
      </c>
    </row>
    <row r="180" ht="15.75" customHeight="1">
      <c r="A180" s="25" t="s">
        <v>493</v>
      </c>
      <c r="B180" s="25" t="s">
        <v>58</v>
      </c>
      <c r="C180" s="25">
        <v>1151.0</v>
      </c>
      <c r="D180" s="25">
        <v>33.85</v>
      </c>
      <c r="E180" s="25">
        <v>118.17</v>
      </c>
      <c r="F180" s="25">
        <v>99.0</v>
      </c>
      <c r="G180" s="25">
        <v>48.0</v>
      </c>
      <c r="H180" s="25" t="s">
        <v>54</v>
      </c>
    </row>
    <row r="181" ht="15.75" customHeight="1">
      <c r="A181" s="25" t="s">
        <v>493</v>
      </c>
      <c r="B181" s="25" t="s">
        <v>58</v>
      </c>
      <c r="C181" s="25">
        <v>1348.0</v>
      </c>
      <c r="D181" s="25">
        <v>48.14</v>
      </c>
      <c r="E181" s="25">
        <v>104.17</v>
      </c>
      <c r="F181" s="25">
        <v>123.0</v>
      </c>
      <c r="G181" s="25">
        <v>25.0</v>
      </c>
      <c r="H181" s="25" t="s">
        <v>62</v>
      </c>
    </row>
    <row r="182" ht="15.75" customHeight="1">
      <c r="A182" s="25" t="s">
        <v>494</v>
      </c>
      <c r="B182" s="25" t="s">
        <v>58</v>
      </c>
      <c r="C182" s="25">
        <v>696.0</v>
      </c>
      <c r="D182" s="25">
        <v>25.77</v>
      </c>
      <c r="E182" s="25">
        <v>107.73</v>
      </c>
      <c r="F182" s="25">
        <v>89.0</v>
      </c>
      <c r="G182" s="25">
        <v>15.0</v>
      </c>
      <c r="H182" s="25" t="s">
        <v>48</v>
      </c>
    </row>
    <row r="183" ht="15.75" customHeight="1">
      <c r="A183" s="25" t="s">
        <v>494</v>
      </c>
      <c r="B183" s="25" t="s">
        <v>58</v>
      </c>
      <c r="C183" s="25">
        <v>122.0</v>
      </c>
      <c r="D183" s="25">
        <v>61.0</v>
      </c>
      <c r="E183" s="25">
        <v>101.66</v>
      </c>
      <c r="F183" s="25">
        <v>15.0</v>
      </c>
      <c r="G183" s="25">
        <v>2.0</v>
      </c>
      <c r="H183" s="25" t="s">
        <v>61</v>
      </c>
    </row>
    <row r="184" ht="15.75" customHeight="1">
      <c r="A184" s="25" t="s">
        <v>494</v>
      </c>
      <c r="B184" s="25" t="s">
        <v>58</v>
      </c>
      <c r="C184" s="25">
        <v>446.0</v>
      </c>
      <c r="D184" s="25">
        <v>31.85</v>
      </c>
      <c r="E184" s="25">
        <v>108.78</v>
      </c>
      <c r="F184" s="25">
        <v>40.0</v>
      </c>
      <c r="G184" s="25">
        <v>18.0</v>
      </c>
      <c r="H184" s="25" t="s">
        <v>47</v>
      </c>
    </row>
    <row r="185" ht="15.75" customHeight="1">
      <c r="A185" s="25" t="s">
        <v>494</v>
      </c>
      <c r="B185" s="25" t="s">
        <v>58</v>
      </c>
      <c r="C185" s="25">
        <v>596.0</v>
      </c>
      <c r="D185" s="25">
        <v>35.05</v>
      </c>
      <c r="E185" s="25">
        <v>122.88</v>
      </c>
      <c r="F185" s="25">
        <v>68.0</v>
      </c>
      <c r="G185" s="25">
        <v>21.0</v>
      </c>
      <c r="H185" s="25" t="s">
        <v>56</v>
      </c>
    </row>
    <row r="186" ht="15.75" customHeight="1">
      <c r="A186" s="25" t="s">
        <v>494</v>
      </c>
      <c r="B186" s="25" t="s">
        <v>58</v>
      </c>
      <c r="C186" s="25">
        <v>739.0</v>
      </c>
      <c r="D186" s="25">
        <v>26.39</v>
      </c>
      <c r="E186" s="25">
        <v>83.69</v>
      </c>
      <c r="F186" s="25">
        <v>96.0</v>
      </c>
      <c r="G186" s="25">
        <v>10.0</v>
      </c>
      <c r="H186" s="25" t="s">
        <v>59</v>
      </c>
    </row>
    <row r="187" ht="15.75" customHeight="1">
      <c r="A187" s="25" t="s">
        <v>494</v>
      </c>
      <c r="B187" s="25" t="s">
        <v>58</v>
      </c>
      <c r="C187" s="25">
        <v>808.0</v>
      </c>
      <c r="D187" s="25">
        <v>36.72</v>
      </c>
      <c r="E187" s="25">
        <v>79.76</v>
      </c>
      <c r="F187" s="25">
        <v>92.0</v>
      </c>
      <c r="G187" s="25">
        <v>12.0</v>
      </c>
      <c r="H187" s="25" t="s">
        <v>54</v>
      </c>
    </row>
    <row r="188" ht="15.75" customHeight="1">
      <c r="A188" s="25" t="s">
        <v>494</v>
      </c>
      <c r="B188" s="25" t="s">
        <v>58</v>
      </c>
      <c r="C188" s="25">
        <v>711.0</v>
      </c>
      <c r="D188" s="25">
        <v>41.82</v>
      </c>
      <c r="E188" s="25">
        <v>74.68</v>
      </c>
      <c r="F188" s="25">
        <v>76.0</v>
      </c>
      <c r="G188" s="25">
        <v>18.0</v>
      </c>
      <c r="H188" s="25" t="s">
        <v>62</v>
      </c>
    </row>
    <row r="189" ht="15.75" customHeight="1">
      <c r="A189" s="25" t="s">
        <v>495</v>
      </c>
      <c r="B189" s="25" t="s">
        <v>58</v>
      </c>
      <c r="C189" s="25">
        <v>2075.0</v>
      </c>
      <c r="D189" s="25">
        <v>34.58</v>
      </c>
      <c r="E189" s="25">
        <v>60.26</v>
      </c>
      <c r="F189" s="25">
        <v>224.0</v>
      </c>
      <c r="G189" s="25">
        <v>47.0</v>
      </c>
      <c r="H189" s="25" t="s">
        <v>48</v>
      </c>
    </row>
    <row r="190" ht="15.75" customHeight="1">
      <c r="A190" s="25" t="s">
        <v>495</v>
      </c>
      <c r="B190" s="25" t="s">
        <v>58</v>
      </c>
      <c r="C190" s="25">
        <v>282.0</v>
      </c>
      <c r="D190" s="25">
        <v>40.28</v>
      </c>
      <c r="E190" s="25">
        <v>73.24</v>
      </c>
      <c r="F190" s="25">
        <v>17.0</v>
      </c>
      <c r="G190" s="25">
        <v>11.0</v>
      </c>
      <c r="H190" s="25" t="s">
        <v>61</v>
      </c>
    </row>
    <row r="191" ht="15.75" customHeight="1">
      <c r="A191" s="25" t="s">
        <v>495</v>
      </c>
      <c r="B191" s="25" t="s">
        <v>58</v>
      </c>
      <c r="C191" s="25">
        <v>1439.0</v>
      </c>
      <c r="D191" s="25">
        <v>28.78</v>
      </c>
      <c r="E191" s="25">
        <v>61.97</v>
      </c>
      <c r="F191" s="25">
        <v>139.0</v>
      </c>
      <c r="G191" s="25">
        <v>38.0</v>
      </c>
      <c r="H191" s="25" t="s">
        <v>47</v>
      </c>
    </row>
    <row r="192" ht="15.75" customHeight="1">
      <c r="A192" s="25" t="s">
        <v>495</v>
      </c>
      <c r="B192" s="25" t="s">
        <v>58</v>
      </c>
      <c r="C192" s="25">
        <v>1482.0</v>
      </c>
      <c r="D192" s="25">
        <v>46.31</v>
      </c>
      <c r="E192" s="25">
        <v>75.49</v>
      </c>
      <c r="F192" s="25">
        <v>165.0</v>
      </c>
      <c r="G192" s="25">
        <v>38.0</v>
      </c>
      <c r="H192" s="25" t="s">
        <v>56</v>
      </c>
    </row>
    <row r="193" ht="15.75" customHeight="1">
      <c r="A193" s="25" t="s">
        <v>495</v>
      </c>
      <c r="B193" s="25" t="s">
        <v>58</v>
      </c>
      <c r="C193" s="25">
        <v>838.0</v>
      </c>
      <c r="D193" s="25">
        <v>32.23</v>
      </c>
      <c r="E193" s="25">
        <v>79.88</v>
      </c>
      <c r="F193" s="25">
        <v>80.0</v>
      </c>
      <c r="G193" s="25">
        <v>19.0</v>
      </c>
      <c r="H193" s="25" t="s">
        <v>59</v>
      </c>
    </row>
    <row r="194" ht="15.75" customHeight="1">
      <c r="A194" s="25" t="s">
        <v>495</v>
      </c>
      <c r="B194" s="25" t="s">
        <v>58</v>
      </c>
      <c r="C194" s="25">
        <v>1696.0</v>
      </c>
      <c r="D194" s="25">
        <v>39.44</v>
      </c>
      <c r="E194" s="25">
        <v>84.0</v>
      </c>
      <c r="F194" s="25">
        <v>180.0</v>
      </c>
      <c r="G194" s="25">
        <v>50.0</v>
      </c>
      <c r="H194" s="25" t="s">
        <v>54</v>
      </c>
    </row>
    <row r="195" ht="15.75" customHeight="1">
      <c r="A195" s="25" t="s">
        <v>495</v>
      </c>
      <c r="B195" s="25" t="s">
        <v>58</v>
      </c>
      <c r="C195" s="25">
        <v>537.0</v>
      </c>
      <c r="D195" s="25">
        <v>41.3</v>
      </c>
      <c r="E195" s="25">
        <v>80.63</v>
      </c>
      <c r="F195" s="25">
        <v>50.0</v>
      </c>
      <c r="G195" s="25">
        <v>13.0</v>
      </c>
      <c r="H195" s="25" t="s">
        <v>62</v>
      </c>
    </row>
    <row r="196" ht="15.75" customHeight="1">
      <c r="A196" s="25" t="s">
        <v>496</v>
      </c>
      <c r="B196" s="25" t="s">
        <v>58</v>
      </c>
      <c r="C196" s="25">
        <v>1119.0</v>
      </c>
      <c r="D196" s="25">
        <v>22.38</v>
      </c>
      <c r="E196" s="25">
        <v>68.9</v>
      </c>
      <c r="F196" s="25">
        <v>127.0</v>
      </c>
      <c r="G196" s="25">
        <v>23.0</v>
      </c>
      <c r="H196" s="25" t="s">
        <v>48</v>
      </c>
    </row>
    <row r="197" ht="15.75" customHeight="1">
      <c r="A197" s="25" t="s">
        <v>496</v>
      </c>
      <c r="B197" s="25" t="s">
        <v>58</v>
      </c>
      <c r="C197" s="25">
        <v>212.0</v>
      </c>
      <c r="D197" s="25">
        <v>16.3</v>
      </c>
      <c r="E197" s="25">
        <v>54.92</v>
      </c>
      <c r="F197" s="25">
        <v>17.0</v>
      </c>
      <c r="G197" s="25">
        <v>5.0</v>
      </c>
      <c r="H197" s="25" t="s">
        <v>61</v>
      </c>
    </row>
    <row r="198" ht="15.75" customHeight="1">
      <c r="A198" s="25" t="s">
        <v>496</v>
      </c>
      <c r="B198" s="25" t="s">
        <v>58</v>
      </c>
      <c r="C198" s="25">
        <v>1213.0</v>
      </c>
      <c r="D198" s="25">
        <v>26.36</v>
      </c>
      <c r="E198" s="25">
        <v>55.43</v>
      </c>
      <c r="F198" s="25">
        <v>119.0</v>
      </c>
      <c r="G198" s="25">
        <v>26.0</v>
      </c>
      <c r="H198" s="25" t="s">
        <v>47</v>
      </c>
    </row>
    <row r="199" ht="15.75" customHeight="1">
      <c r="A199" s="25" t="s">
        <v>496</v>
      </c>
      <c r="B199" s="25" t="s">
        <v>58</v>
      </c>
      <c r="C199" s="25">
        <v>402.0</v>
      </c>
      <c r="D199" s="25">
        <v>20.1</v>
      </c>
      <c r="E199" s="25">
        <v>80.56</v>
      </c>
      <c r="F199" s="25">
        <v>48.0</v>
      </c>
      <c r="G199" s="25">
        <v>9.0</v>
      </c>
      <c r="H199" s="25" t="s">
        <v>56</v>
      </c>
    </row>
    <row r="200" ht="15.75" customHeight="1">
      <c r="A200" s="25" t="s">
        <v>496</v>
      </c>
      <c r="B200" s="25" t="s">
        <v>58</v>
      </c>
      <c r="C200" s="25">
        <v>837.0</v>
      </c>
      <c r="D200" s="25">
        <v>32.19</v>
      </c>
      <c r="E200" s="25">
        <v>79.41</v>
      </c>
      <c r="F200" s="25">
        <v>77.0</v>
      </c>
      <c r="G200" s="25">
        <v>24.0</v>
      </c>
      <c r="H200" s="25" t="s">
        <v>59</v>
      </c>
    </row>
    <row r="201" ht="15.75" customHeight="1">
      <c r="A201" s="25" t="s">
        <v>496</v>
      </c>
      <c r="B201" s="25" t="s">
        <v>58</v>
      </c>
      <c r="C201" s="25">
        <v>857.0</v>
      </c>
      <c r="D201" s="25">
        <v>27.64</v>
      </c>
      <c r="E201" s="25">
        <v>89.27</v>
      </c>
      <c r="F201" s="25">
        <v>91.0</v>
      </c>
      <c r="G201" s="25">
        <v>26.0</v>
      </c>
      <c r="H201" s="25" t="s">
        <v>54</v>
      </c>
    </row>
    <row r="202" ht="15.75" customHeight="1">
      <c r="A202" s="25" t="s">
        <v>496</v>
      </c>
      <c r="B202" s="25" t="s">
        <v>58</v>
      </c>
      <c r="C202" s="25">
        <v>821.0</v>
      </c>
      <c r="D202" s="25">
        <v>26.48</v>
      </c>
      <c r="E202" s="25">
        <v>66.26</v>
      </c>
      <c r="F202" s="25">
        <v>83.0</v>
      </c>
      <c r="G202" s="25">
        <v>21.0</v>
      </c>
      <c r="H202" s="25" t="s">
        <v>62</v>
      </c>
    </row>
    <row r="203" ht="15.75" customHeight="1">
      <c r="A203" s="25" t="s">
        <v>497</v>
      </c>
      <c r="B203" s="25" t="s">
        <v>58</v>
      </c>
      <c r="C203" s="25">
        <v>1067.0</v>
      </c>
      <c r="D203" s="25">
        <v>35.56</v>
      </c>
      <c r="E203" s="25">
        <v>56.72</v>
      </c>
      <c r="F203" s="25">
        <v>130.0</v>
      </c>
      <c r="G203" s="25">
        <v>14.0</v>
      </c>
      <c r="H203" s="25" t="s">
        <v>48</v>
      </c>
    </row>
    <row r="204" ht="15.75" customHeight="1">
      <c r="A204" s="25" t="s">
        <v>497</v>
      </c>
      <c r="B204" s="25" t="s">
        <v>58</v>
      </c>
      <c r="C204" s="25">
        <v>355.0</v>
      </c>
      <c r="D204" s="25">
        <v>59.16</v>
      </c>
      <c r="E204" s="25">
        <v>98.61</v>
      </c>
      <c r="F204" s="25">
        <v>34.0</v>
      </c>
      <c r="G204" s="25">
        <v>11.0</v>
      </c>
      <c r="H204" s="25" t="s">
        <v>61</v>
      </c>
    </row>
    <row r="205" ht="15.75" customHeight="1">
      <c r="A205" s="25" t="s">
        <v>497</v>
      </c>
      <c r="B205" s="25" t="s">
        <v>58</v>
      </c>
      <c r="C205" s="25">
        <v>465.0</v>
      </c>
      <c r="D205" s="25">
        <v>35.76</v>
      </c>
      <c r="E205" s="25">
        <v>80.17</v>
      </c>
      <c r="F205" s="25">
        <v>53.0</v>
      </c>
      <c r="G205" s="25">
        <v>10.0</v>
      </c>
      <c r="H205" s="25" t="s">
        <v>47</v>
      </c>
    </row>
    <row r="206" ht="15.75" customHeight="1">
      <c r="A206" s="25" t="s">
        <v>497</v>
      </c>
      <c r="B206" s="25" t="s">
        <v>58</v>
      </c>
      <c r="C206" s="25">
        <v>815.0</v>
      </c>
      <c r="D206" s="25">
        <v>45.27</v>
      </c>
      <c r="E206" s="25">
        <v>105.56</v>
      </c>
      <c r="F206" s="25">
        <v>89.0</v>
      </c>
      <c r="G206" s="25">
        <v>23.0</v>
      </c>
      <c r="H206" s="25" t="s">
        <v>56</v>
      </c>
    </row>
    <row r="207" ht="15.75" customHeight="1">
      <c r="A207" s="25" t="s">
        <v>497</v>
      </c>
      <c r="B207" s="25" t="s">
        <v>58</v>
      </c>
      <c r="C207" s="25">
        <v>405.0</v>
      </c>
      <c r="D207" s="25">
        <v>27.0</v>
      </c>
      <c r="E207" s="25">
        <v>91.42</v>
      </c>
      <c r="F207" s="25">
        <v>49.0</v>
      </c>
      <c r="G207" s="25">
        <v>5.0</v>
      </c>
      <c r="H207" s="25" t="s">
        <v>59</v>
      </c>
    </row>
    <row r="208" ht="15.75" customHeight="1">
      <c r="A208" s="25" t="s">
        <v>497</v>
      </c>
      <c r="B208" s="25" t="s">
        <v>58</v>
      </c>
      <c r="C208" s="25">
        <v>580.0</v>
      </c>
      <c r="D208" s="25">
        <v>36.25</v>
      </c>
      <c r="E208" s="25">
        <v>112.4</v>
      </c>
      <c r="F208" s="25">
        <v>61.0</v>
      </c>
      <c r="G208" s="25">
        <v>20.0</v>
      </c>
      <c r="H208" s="25" t="s">
        <v>54</v>
      </c>
    </row>
    <row r="209" ht="15.75" customHeight="1">
      <c r="A209" s="25" t="s">
        <v>497</v>
      </c>
      <c r="B209" s="25" t="s">
        <v>58</v>
      </c>
      <c r="C209" s="25">
        <v>121.0</v>
      </c>
      <c r="D209" s="25">
        <v>24.2</v>
      </c>
      <c r="E209" s="25">
        <v>121.0</v>
      </c>
      <c r="F209" s="25">
        <v>13.0</v>
      </c>
      <c r="G209" s="25">
        <v>4.0</v>
      </c>
      <c r="H209" s="25" t="s">
        <v>62</v>
      </c>
    </row>
    <row r="210" ht="15.75" customHeight="1">
      <c r="A210" s="25" t="s">
        <v>498</v>
      </c>
      <c r="B210" s="25" t="s">
        <v>62</v>
      </c>
      <c r="C210" s="25">
        <v>1125.0</v>
      </c>
      <c r="D210" s="25">
        <v>31.25</v>
      </c>
      <c r="E210" s="25">
        <v>75.3</v>
      </c>
      <c r="F210" s="25">
        <v>108.0</v>
      </c>
      <c r="G210" s="25">
        <v>19.0</v>
      </c>
      <c r="H210" s="25" t="s">
        <v>48</v>
      </c>
    </row>
    <row r="211" ht="15.75" customHeight="1">
      <c r="A211" s="25" t="s">
        <v>498</v>
      </c>
      <c r="B211" s="25" t="s">
        <v>62</v>
      </c>
      <c r="C211" s="25">
        <v>1350.0</v>
      </c>
      <c r="D211" s="25">
        <v>48.21</v>
      </c>
      <c r="E211" s="25">
        <v>72.46</v>
      </c>
      <c r="F211" s="25">
        <v>125.0</v>
      </c>
      <c r="G211" s="25">
        <v>30.0</v>
      </c>
      <c r="H211" s="25" t="s">
        <v>61</v>
      </c>
    </row>
    <row r="212" ht="15.75" customHeight="1">
      <c r="A212" s="25" t="s">
        <v>498</v>
      </c>
      <c r="B212" s="25" t="s">
        <v>62</v>
      </c>
      <c r="C212" s="25">
        <v>731.0</v>
      </c>
      <c r="D212" s="25">
        <v>25.2</v>
      </c>
      <c r="E212" s="25">
        <v>73.61</v>
      </c>
      <c r="F212" s="25">
        <v>74.0</v>
      </c>
      <c r="G212" s="25">
        <v>15.0</v>
      </c>
      <c r="H212" s="25" t="s">
        <v>58</v>
      </c>
    </row>
    <row r="213" ht="15.75" customHeight="1">
      <c r="A213" s="25" t="s">
        <v>498</v>
      </c>
      <c r="B213" s="25" t="s">
        <v>62</v>
      </c>
      <c r="C213" s="25">
        <v>701.0</v>
      </c>
      <c r="D213" s="25">
        <v>28.04</v>
      </c>
      <c r="E213" s="25">
        <v>83.85</v>
      </c>
      <c r="F213" s="25">
        <v>85.0</v>
      </c>
      <c r="G213" s="25">
        <v>14.0</v>
      </c>
      <c r="H213" s="25" t="s">
        <v>47</v>
      </c>
    </row>
    <row r="214" ht="15.75" customHeight="1">
      <c r="A214" s="25" t="s">
        <v>498</v>
      </c>
      <c r="B214" s="25" t="s">
        <v>62</v>
      </c>
      <c r="C214" s="25">
        <v>894.0</v>
      </c>
      <c r="D214" s="25">
        <v>31.92</v>
      </c>
      <c r="E214" s="25">
        <v>58.24</v>
      </c>
      <c r="F214" s="25">
        <v>110.0</v>
      </c>
      <c r="G214" s="25">
        <v>14.0</v>
      </c>
      <c r="H214" s="25" t="s">
        <v>56</v>
      </c>
    </row>
    <row r="215" ht="15.75" customHeight="1">
      <c r="A215" s="25" t="s">
        <v>498</v>
      </c>
      <c r="B215" s="25" t="s">
        <v>62</v>
      </c>
      <c r="C215" s="25">
        <v>498.0</v>
      </c>
      <c r="D215" s="25">
        <v>22.63</v>
      </c>
      <c r="E215" s="25">
        <v>65.61</v>
      </c>
      <c r="F215" s="25">
        <v>56.0</v>
      </c>
      <c r="G215" s="25">
        <v>7.0</v>
      </c>
      <c r="H215" s="25" t="s">
        <v>59</v>
      </c>
    </row>
    <row r="216" ht="15.75" customHeight="1">
      <c r="A216" s="25" t="s">
        <v>498</v>
      </c>
      <c r="B216" s="25" t="s">
        <v>62</v>
      </c>
      <c r="C216" s="25">
        <v>851.0</v>
      </c>
      <c r="D216" s="25">
        <v>20.75</v>
      </c>
      <c r="E216" s="25">
        <v>72.36</v>
      </c>
      <c r="F216" s="25">
        <v>103.0</v>
      </c>
      <c r="G216" s="25">
        <v>14.0</v>
      </c>
      <c r="H216" s="25" t="s">
        <v>54</v>
      </c>
    </row>
    <row r="217" ht="15.75" customHeight="1">
      <c r="A217" s="25" t="s">
        <v>499</v>
      </c>
      <c r="B217" s="25" t="s">
        <v>62</v>
      </c>
      <c r="C217" s="25">
        <v>623.0</v>
      </c>
      <c r="D217" s="25">
        <v>32.78</v>
      </c>
      <c r="E217" s="25">
        <v>90.15</v>
      </c>
      <c r="F217" s="25">
        <v>60.0</v>
      </c>
      <c r="G217" s="25">
        <v>7.0</v>
      </c>
      <c r="H217" s="25" t="s">
        <v>48</v>
      </c>
    </row>
    <row r="218" ht="15.75" customHeight="1">
      <c r="A218" s="25" t="s">
        <v>499</v>
      </c>
      <c r="B218" s="25" t="s">
        <v>62</v>
      </c>
      <c r="C218" s="25">
        <v>192.0</v>
      </c>
      <c r="D218" s="25">
        <v>19.2</v>
      </c>
      <c r="E218" s="25">
        <v>63.15</v>
      </c>
      <c r="F218" s="25">
        <v>18.0</v>
      </c>
      <c r="G218" s="25">
        <v>2.0</v>
      </c>
      <c r="H218" s="25" t="s">
        <v>61</v>
      </c>
    </row>
    <row r="219" ht="15.75" customHeight="1">
      <c r="A219" s="25" t="s">
        <v>499</v>
      </c>
      <c r="B219" s="25" t="s">
        <v>62</v>
      </c>
      <c r="C219" s="25">
        <v>161.0</v>
      </c>
      <c r="D219" s="25">
        <v>32.2</v>
      </c>
      <c r="E219" s="25">
        <v>90.96</v>
      </c>
      <c r="F219" s="25">
        <v>11.0</v>
      </c>
      <c r="G219" s="25">
        <v>7.0</v>
      </c>
      <c r="H219" s="25" t="s">
        <v>58</v>
      </c>
    </row>
    <row r="220" ht="15.75" customHeight="1">
      <c r="A220" s="25" t="s">
        <v>499</v>
      </c>
      <c r="B220" s="25" t="s">
        <v>62</v>
      </c>
      <c r="C220" s="25">
        <v>324.0</v>
      </c>
      <c r="D220" s="25">
        <v>29.45</v>
      </c>
      <c r="E220" s="25">
        <v>81.2</v>
      </c>
      <c r="F220" s="25">
        <v>46.0</v>
      </c>
      <c r="G220" s="25">
        <v>2.0</v>
      </c>
      <c r="H220" s="25" t="s">
        <v>47</v>
      </c>
    </row>
    <row r="221" ht="15.75" customHeight="1">
      <c r="A221" s="25" t="s">
        <v>499</v>
      </c>
      <c r="B221" s="25" t="s">
        <v>62</v>
      </c>
      <c r="C221" s="25">
        <v>100.0</v>
      </c>
      <c r="D221" s="25">
        <v>16.66</v>
      </c>
      <c r="E221" s="25">
        <v>87.71</v>
      </c>
      <c r="F221" s="25">
        <v>16.0</v>
      </c>
      <c r="G221" s="25">
        <v>1.0</v>
      </c>
      <c r="H221" s="25" t="s">
        <v>56</v>
      </c>
    </row>
    <row r="222" ht="15.75" customHeight="1">
      <c r="A222" s="25" t="s">
        <v>499</v>
      </c>
      <c r="B222" s="25" t="s">
        <v>62</v>
      </c>
      <c r="C222" s="25">
        <v>143.0</v>
      </c>
      <c r="D222" s="25">
        <v>47.66</v>
      </c>
      <c r="E222" s="25">
        <v>87.19</v>
      </c>
      <c r="F222" s="25">
        <v>17.0</v>
      </c>
      <c r="G222" s="25">
        <v>2.0</v>
      </c>
      <c r="H222" s="25" t="s">
        <v>59</v>
      </c>
    </row>
    <row r="223" ht="15.75" customHeight="1">
      <c r="A223" s="25" t="s">
        <v>499</v>
      </c>
      <c r="B223" s="25" t="s">
        <v>62</v>
      </c>
      <c r="C223" s="25">
        <v>72.0</v>
      </c>
      <c r="D223" s="25">
        <v>36.0</v>
      </c>
      <c r="E223" s="25">
        <v>118.03</v>
      </c>
      <c r="F223" s="25">
        <v>6.0</v>
      </c>
      <c r="G223" s="25">
        <v>3.0</v>
      </c>
      <c r="H223" s="25" t="s">
        <v>54</v>
      </c>
    </row>
    <row r="224" ht="15.75" customHeight="1">
      <c r="A224" s="25" t="s">
        <v>500</v>
      </c>
      <c r="B224" s="25" t="s">
        <v>62</v>
      </c>
      <c r="C224" s="25">
        <v>780.0</v>
      </c>
      <c r="D224" s="25">
        <v>32.5</v>
      </c>
      <c r="E224" s="25">
        <v>65.76</v>
      </c>
      <c r="F224" s="25">
        <v>90.0</v>
      </c>
      <c r="G224" s="25">
        <v>2.0</v>
      </c>
      <c r="H224" s="25" t="s">
        <v>48</v>
      </c>
    </row>
    <row r="225" ht="15.75" customHeight="1">
      <c r="A225" s="25" t="s">
        <v>500</v>
      </c>
      <c r="B225" s="25" t="s">
        <v>62</v>
      </c>
      <c r="C225" s="25">
        <v>660.0</v>
      </c>
      <c r="D225" s="25">
        <v>38.82</v>
      </c>
      <c r="E225" s="25">
        <v>64.57</v>
      </c>
      <c r="F225" s="25">
        <v>79.0</v>
      </c>
      <c r="G225" s="25">
        <v>4.0</v>
      </c>
      <c r="H225" s="25" t="s">
        <v>61</v>
      </c>
    </row>
    <row r="226" ht="15.75" customHeight="1">
      <c r="A226" s="25" t="s">
        <v>500</v>
      </c>
      <c r="B226" s="25" t="s">
        <v>62</v>
      </c>
      <c r="C226" s="25">
        <v>396.0</v>
      </c>
      <c r="D226" s="25">
        <v>28.28</v>
      </c>
      <c r="E226" s="25">
        <v>63.66</v>
      </c>
      <c r="F226" s="25">
        <v>36.0</v>
      </c>
      <c r="G226" s="25">
        <v>3.0</v>
      </c>
      <c r="H226" s="25" t="s">
        <v>58</v>
      </c>
    </row>
    <row r="227" ht="15.75" customHeight="1">
      <c r="A227" s="25" t="s">
        <v>500</v>
      </c>
      <c r="B227" s="25" t="s">
        <v>62</v>
      </c>
      <c r="C227" s="25">
        <v>530.0</v>
      </c>
      <c r="D227" s="25">
        <v>26.5</v>
      </c>
      <c r="E227" s="25">
        <v>72.9</v>
      </c>
      <c r="F227" s="25">
        <v>61.0</v>
      </c>
      <c r="G227" s="25">
        <v>4.0</v>
      </c>
      <c r="H227" s="25" t="s">
        <v>47</v>
      </c>
    </row>
    <row r="228" ht="15.75" customHeight="1">
      <c r="A228" s="25" t="s">
        <v>500</v>
      </c>
      <c r="B228" s="25" t="s">
        <v>62</v>
      </c>
      <c r="C228" s="25">
        <v>456.0</v>
      </c>
      <c r="D228" s="25">
        <v>28.5</v>
      </c>
      <c r="E228" s="25">
        <v>69.4</v>
      </c>
      <c r="F228" s="25">
        <v>58.0</v>
      </c>
      <c r="G228" s="25">
        <v>10.0</v>
      </c>
      <c r="H228" s="25" t="s">
        <v>56</v>
      </c>
    </row>
    <row r="229" ht="15.75" customHeight="1">
      <c r="A229" s="25" t="s">
        <v>500</v>
      </c>
      <c r="B229" s="25" t="s">
        <v>62</v>
      </c>
      <c r="C229" s="25">
        <v>694.0</v>
      </c>
      <c r="D229" s="25">
        <v>40.82</v>
      </c>
      <c r="E229" s="25">
        <v>64.55</v>
      </c>
      <c r="F229" s="25">
        <v>83.0</v>
      </c>
      <c r="G229" s="25">
        <v>9.0</v>
      </c>
      <c r="H229" s="25" t="s">
        <v>59</v>
      </c>
    </row>
    <row r="230" ht="15.75" customHeight="1">
      <c r="A230" s="25" t="s">
        <v>500</v>
      </c>
      <c r="B230" s="25" t="s">
        <v>62</v>
      </c>
      <c r="C230" s="25">
        <v>886.0</v>
      </c>
      <c r="D230" s="25">
        <v>22.15</v>
      </c>
      <c r="E230" s="25">
        <v>68.15</v>
      </c>
      <c r="F230" s="25">
        <v>89.0</v>
      </c>
      <c r="G230" s="25">
        <v>12.0</v>
      </c>
      <c r="H230" s="25" t="s">
        <v>54</v>
      </c>
    </row>
    <row r="231" ht="15.75" customHeight="1">
      <c r="A231" s="25" t="s">
        <v>501</v>
      </c>
      <c r="B231" s="25" t="s">
        <v>62</v>
      </c>
      <c r="C231" s="25">
        <v>452.0</v>
      </c>
      <c r="D231" s="25">
        <v>32.28</v>
      </c>
      <c r="E231" s="25">
        <v>101.11</v>
      </c>
      <c r="F231" s="25">
        <v>38.0</v>
      </c>
      <c r="G231" s="25">
        <v>12.0</v>
      </c>
      <c r="H231" s="25" t="s">
        <v>48</v>
      </c>
    </row>
    <row r="232" ht="15.75" customHeight="1">
      <c r="A232" s="25" t="s">
        <v>501</v>
      </c>
      <c r="B232" s="25" t="s">
        <v>62</v>
      </c>
      <c r="C232" s="25">
        <v>153.0</v>
      </c>
      <c r="D232" s="25">
        <v>76.5</v>
      </c>
      <c r="E232" s="25">
        <v>91.61</v>
      </c>
      <c r="F232" s="25">
        <v>11.0</v>
      </c>
      <c r="G232" s="25">
        <v>6.0</v>
      </c>
      <c r="H232" s="25" t="s">
        <v>61</v>
      </c>
    </row>
    <row r="233" ht="15.75" customHeight="1">
      <c r="A233" s="25" t="s">
        <v>501</v>
      </c>
      <c r="B233" s="25" t="s">
        <v>62</v>
      </c>
      <c r="C233" s="25">
        <v>32.0</v>
      </c>
      <c r="D233" s="25">
        <v>8.0</v>
      </c>
      <c r="E233" s="25">
        <v>76.19</v>
      </c>
      <c r="F233" s="25">
        <v>3.0</v>
      </c>
      <c r="G233" s="25">
        <v>1.0</v>
      </c>
      <c r="H233" s="25" t="s">
        <v>58</v>
      </c>
    </row>
    <row r="234" ht="15.75" customHeight="1">
      <c r="A234" s="25" t="s">
        <v>501</v>
      </c>
      <c r="B234" s="25" t="s">
        <v>62</v>
      </c>
      <c r="C234" s="25">
        <v>418.0</v>
      </c>
      <c r="D234" s="25">
        <v>22.0</v>
      </c>
      <c r="E234" s="25">
        <v>86.0</v>
      </c>
      <c r="F234" s="25">
        <v>37.0</v>
      </c>
      <c r="G234" s="25">
        <v>11.0</v>
      </c>
      <c r="H234" s="25" t="s">
        <v>47</v>
      </c>
    </row>
    <row r="235" ht="15.75" customHeight="1">
      <c r="A235" s="25" t="s">
        <v>501</v>
      </c>
      <c r="B235" s="25" t="s">
        <v>62</v>
      </c>
      <c r="C235" s="25">
        <v>116.0</v>
      </c>
      <c r="D235" s="25">
        <v>19.33</v>
      </c>
      <c r="E235" s="25">
        <v>108.41</v>
      </c>
      <c r="F235" s="25">
        <v>6.0</v>
      </c>
      <c r="G235" s="25">
        <v>8.0</v>
      </c>
      <c r="H235" s="25" t="s">
        <v>56</v>
      </c>
    </row>
    <row r="236" ht="15.75" customHeight="1">
      <c r="A236" s="25" t="s">
        <v>501</v>
      </c>
      <c r="B236" s="25" t="s">
        <v>62</v>
      </c>
      <c r="C236" s="25">
        <v>50.0</v>
      </c>
      <c r="D236" s="25">
        <v>50.0</v>
      </c>
      <c r="E236" s="25">
        <v>100.0</v>
      </c>
      <c r="F236" s="25">
        <v>3.0</v>
      </c>
      <c r="G236" s="25">
        <v>1.0</v>
      </c>
      <c r="H236" s="25" t="s">
        <v>59</v>
      </c>
    </row>
    <row r="237" ht="15.75" customHeight="1">
      <c r="A237" s="25" t="s">
        <v>501</v>
      </c>
      <c r="B237" s="25" t="s">
        <v>62</v>
      </c>
      <c r="C237" s="25">
        <v>316.0</v>
      </c>
      <c r="D237" s="25">
        <v>45.14</v>
      </c>
      <c r="E237" s="25">
        <v>98.75</v>
      </c>
      <c r="F237" s="25">
        <v>23.0</v>
      </c>
      <c r="G237" s="25">
        <v>9.0</v>
      </c>
      <c r="H237" s="25" t="s">
        <v>54</v>
      </c>
    </row>
    <row r="238" ht="15.75" customHeight="1">
      <c r="A238" s="25" t="s">
        <v>502</v>
      </c>
      <c r="B238" s="25" t="s">
        <v>62</v>
      </c>
      <c r="C238" s="25">
        <v>89.0</v>
      </c>
      <c r="D238" s="25">
        <v>17.8</v>
      </c>
      <c r="E238" s="25">
        <v>121.91</v>
      </c>
      <c r="F238" s="25">
        <v>8.0</v>
      </c>
      <c r="G238" s="25">
        <v>3.0</v>
      </c>
      <c r="H238" s="25" t="s">
        <v>48</v>
      </c>
    </row>
    <row r="239" ht="15.75" customHeight="1">
      <c r="A239" s="25" t="s">
        <v>502</v>
      </c>
      <c r="B239" s="25" t="s">
        <v>62</v>
      </c>
      <c r="C239" s="25">
        <v>55.0</v>
      </c>
      <c r="D239" s="25">
        <v>27.5</v>
      </c>
      <c r="E239" s="25">
        <v>157.14</v>
      </c>
      <c r="F239" s="25">
        <v>3.0</v>
      </c>
      <c r="G239" s="25">
        <v>3.0</v>
      </c>
      <c r="H239" s="25" t="s">
        <v>61</v>
      </c>
    </row>
    <row r="240" ht="15.75" customHeight="1">
      <c r="A240" s="25" t="s">
        <v>502</v>
      </c>
      <c r="B240" s="25" t="s">
        <v>62</v>
      </c>
      <c r="C240" s="25">
        <v>48.0</v>
      </c>
      <c r="D240" s="25">
        <v>24.0</v>
      </c>
      <c r="E240" s="25">
        <v>120.0</v>
      </c>
      <c r="F240" s="25">
        <v>5.0</v>
      </c>
      <c r="G240" s="25">
        <v>2.0</v>
      </c>
      <c r="H240" s="25" t="s">
        <v>58</v>
      </c>
    </row>
    <row r="241" ht="15.75" customHeight="1">
      <c r="A241" s="25" t="s">
        <v>502</v>
      </c>
      <c r="B241" s="25" t="s">
        <v>62</v>
      </c>
      <c r="C241" s="25">
        <v>46.0</v>
      </c>
      <c r="D241" s="25">
        <v>15.33</v>
      </c>
      <c r="E241" s="25">
        <v>106.97</v>
      </c>
      <c r="F241" s="25">
        <v>2.0</v>
      </c>
      <c r="G241" s="25">
        <v>2.0</v>
      </c>
      <c r="H241" s="25" t="s">
        <v>47</v>
      </c>
    </row>
    <row r="242" ht="15.75" customHeight="1">
      <c r="A242" s="25" t="s">
        <v>502</v>
      </c>
      <c r="B242" s="25" t="s">
        <v>62</v>
      </c>
      <c r="C242" s="25">
        <v>34.0</v>
      </c>
      <c r="D242" s="25">
        <v>34.0</v>
      </c>
      <c r="E242" s="25">
        <v>154.54</v>
      </c>
      <c r="F242" s="25">
        <v>3.0</v>
      </c>
      <c r="G242" s="25">
        <v>2.0</v>
      </c>
      <c r="H242" s="25" t="s">
        <v>56</v>
      </c>
    </row>
    <row r="243" ht="15.75" customHeight="1">
      <c r="A243" s="25" t="s">
        <v>502</v>
      </c>
      <c r="B243" s="25" t="s">
        <v>62</v>
      </c>
      <c r="C243" s="25">
        <v>207.0</v>
      </c>
      <c r="D243" s="25">
        <v>51.75</v>
      </c>
      <c r="E243" s="25">
        <v>145.77</v>
      </c>
      <c r="F243" s="25">
        <v>12.0</v>
      </c>
      <c r="G243" s="25">
        <v>13.0</v>
      </c>
      <c r="H243" s="25" t="s">
        <v>59</v>
      </c>
    </row>
    <row r="244" ht="15.75" customHeight="1">
      <c r="A244" s="25" t="s">
        <v>502</v>
      </c>
      <c r="B244" s="25" t="s">
        <v>62</v>
      </c>
      <c r="C244" s="25">
        <v>25.0</v>
      </c>
      <c r="D244" s="25">
        <v>6.25</v>
      </c>
      <c r="E244" s="25">
        <v>108.69</v>
      </c>
      <c r="F244" s="25">
        <v>4.0</v>
      </c>
      <c r="G244" s="25">
        <v>1.0</v>
      </c>
      <c r="H244" s="25" t="s">
        <v>54</v>
      </c>
    </row>
    <row r="245" ht="15.75" customHeight="1">
      <c r="A245" s="25" t="s">
        <v>503</v>
      </c>
      <c r="B245" s="25" t="s">
        <v>61</v>
      </c>
      <c r="C245" s="25">
        <v>255.0</v>
      </c>
      <c r="D245" s="25">
        <v>51.0</v>
      </c>
      <c r="E245" s="25">
        <v>95.14</v>
      </c>
      <c r="F245" s="25">
        <v>23.0</v>
      </c>
      <c r="G245" s="25">
        <v>2.0</v>
      </c>
      <c r="H245" s="25" t="s">
        <v>58</v>
      </c>
    </row>
    <row r="246" ht="15.75" customHeight="1">
      <c r="A246" s="25" t="s">
        <v>503</v>
      </c>
      <c r="B246" s="25" t="s">
        <v>61</v>
      </c>
      <c r="C246" s="25">
        <v>153.0</v>
      </c>
      <c r="D246" s="25">
        <v>17.0</v>
      </c>
      <c r="E246" s="25">
        <v>45.4</v>
      </c>
      <c r="F246" s="25">
        <v>15.0</v>
      </c>
      <c r="G246" s="25">
        <v>1.0</v>
      </c>
      <c r="H246" s="25" t="s">
        <v>47</v>
      </c>
    </row>
    <row r="247" ht="15.75" customHeight="1">
      <c r="A247" s="25" t="s">
        <v>503</v>
      </c>
      <c r="B247" s="25" t="s">
        <v>61</v>
      </c>
      <c r="C247" s="25">
        <v>279.0</v>
      </c>
      <c r="D247" s="25">
        <v>25.36</v>
      </c>
      <c r="E247" s="25">
        <v>61.58</v>
      </c>
      <c r="F247" s="25">
        <v>37.0</v>
      </c>
      <c r="G247" s="25">
        <v>2.0</v>
      </c>
      <c r="H247" s="25" t="s">
        <v>56</v>
      </c>
    </row>
    <row r="248" ht="15.75" customHeight="1">
      <c r="A248" s="25" t="s">
        <v>503</v>
      </c>
      <c r="B248" s="25" t="s">
        <v>61</v>
      </c>
      <c r="C248" s="25">
        <v>254.0</v>
      </c>
      <c r="D248" s="25">
        <v>21.16</v>
      </c>
      <c r="E248" s="25">
        <v>61.05</v>
      </c>
      <c r="F248" s="25">
        <v>31.0</v>
      </c>
      <c r="G248" s="25">
        <v>1.0</v>
      </c>
      <c r="H248" s="25" t="s">
        <v>59</v>
      </c>
    </row>
    <row r="249" ht="15.75" customHeight="1">
      <c r="A249" s="25" t="s">
        <v>503</v>
      </c>
      <c r="B249" s="25" t="s">
        <v>61</v>
      </c>
      <c r="C249" s="25">
        <v>113.0</v>
      </c>
      <c r="D249" s="25">
        <v>18.83</v>
      </c>
      <c r="E249" s="25">
        <v>48.49</v>
      </c>
      <c r="F249" s="25">
        <v>11.0</v>
      </c>
      <c r="G249" s="25">
        <v>3.0</v>
      </c>
      <c r="H249" s="25" t="s">
        <v>54</v>
      </c>
    </row>
    <row r="250" ht="15.75" customHeight="1">
      <c r="A250" s="25" t="s">
        <v>503</v>
      </c>
      <c r="B250" s="25" t="s">
        <v>61</v>
      </c>
      <c r="C250" s="25">
        <v>289.0</v>
      </c>
      <c r="D250" s="25">
        <v>36.12</v>
      </c>
      <c r="E250" s="25">
        <v>47.37</v>
      </c>
      <c r="F250" s="25">
        <v>29.0</v>
      </c>
      <c r="G250" s="25">
        <v>1.0</v>
      </c>
      <c r="H250" s="25" t="s">
        <v>62</v>
      </c>
    </row>
    <row r="251" ht="15.75" customHeight="1">
      <c r="A251" s="25" t="s">
        <v>504</v>
      </c>
      <c r="B251" s="25" t="s">
        <v>61</v>
      </c>
      <c r="C251" s="25">
        <v>20.0</v>
      </c>
      <c r="D251" s="25">
        <v>10.0</v>
      </c>
      <c r="E251" s="25">
        <v>111.11</v>
      </c>
      <c r="F251" s="25">
        <v>3.0</v>
      </c>
      <c r="G251" s="25">
        <v>0.0</v>
      </c>
      <c r="H251" s="25" t="s">
        <v>48</v>
      </c>
    </row>
    <row r="252" ht="15.75" customHeight="1">
      <c r="A252" s="25" t="s">
        <v>504</v>
      </c>
      <c r="B252" s="25" t="s">
        <v>61</v>
      </c>
      <c r="C252" s="25">
        <v>186.0</v>
      </c>
      <c r="D252" s="25">
        <v>23.25</v>
      </c>
      <c r="E252" s="25">
        <v>110.05</v>
      </c>
      <c r="F252" s="25">
        <v>22.0</v>
      </c>
      <c r="G252" s="25">
        <v>4.0</v>
      </c>
      <c r="H252" s="25" t="s">
        <v>58</v>
      </c>
    </row>
    <row r="253" ht="15.75" customHeight="1">
      <c r="A253" s="25" t="s">
        <v>504</v>
      </c>
      <c r="B253" s="25" t="s">
        <v>61</v>
      </c>
      <c r="C253" s="25">
        <v>793.0</v>
      </c>
      <c r="D253" s="25">
        <v>31.72</v>
      </c>
      <c r="E253" s="25">
        <v>86.38</v>
      </c>
      <c r="F253" s="25">
        <v>93.0</v>
      </c>
      <c r="G253" s="25">
        <v>11.0</v>
      </c>
      <c r="H253" s="25" t="s">
        <v>47</v>
      </c>
    </row>
    <row r="254" ht="15.75" customHeight="1">
      <c r="A254" s="25" t="s">
        <v>504</v>
      </c>
      <c r="B254" s="25" t="s">
        <v>61</v>
      </c>
      <c r="C254" s="25">
        <v>422.0</v>
      </c>
      <c r="D254" s="25">
        <v>16.88</v>
      </c>
      <c r="E254" s="25">
        <v>66.24</v>
      </c>
      <c r="F254" s="25">
        <v>54.0</v>
      </c>
      <c r="G254" s="25">
        <v>3.0</v>
      </c>
      <c r="H254" s="25" t="s">
        <v>56</v>
      </c>
    </row>
    <row r="255" ht="15.75" customHeight="1">
      <c r="A255" s="25" t="s">
        <v>504</v>
      </c>
      <c r="B255" s="25" t="s">
        <v>61</v>
      </c>
      <c r="C255" s="25">
        <v>519.0</v>
      </c>
      <c r="D255" s="25">
        <v>34.6</v>
      </c>
      <c r="E255" s="25">
        <v>68.65</v>
      </c>
      <c r="F255" s="25">
        <v>62.0</v>
      </c>
      <c r="G255" s="25">
        <v>6.0</v>
      </c>
      <c r="H255" s="25" t="s">
        <v>59</v>
      </c>
    </row>
    <row r="256" ht="15.75" customHeight="1">
      <c r="A256" s="25" t="s">
        <v>504</v>
      </c>
      <c r="B256" s="25" t="s">
        <v>61</v>
      </c>
      <c r="C256" s="25">
        <v>548.0</v>
      </c>
      <c r="D256" s="25">
        <v>22.83</v>
      </c>
      <c r="E256" s="25">
        <v>71.35</v>
      </c>
      <c r="F256" s="25">
        <v>72.0</v>
      </c>
      <c r="G256" s="25">
        <v>7.0</v>
      </c>
      <c r="H256" s="25" t="s">
        <v>54</v>
      </c>
    </row>
    <row r="257" ht="15.75" customHeight="1">
      <c r="A257" s="25" t="s">
        <v>504</v>
      </c>
      <c r="B257" s="25" t="s">
        <v>61</v>
      </c>
      <c r="C257" s="25">
        <v>626.0</v>
      </c>
      <c r="D257" s="25">
        <v>32.94</v>
      </c>
      <c r="E257" s="25">
        <v>55.05</v>
      </c>
      <c r="F257" s="25">
        <v>61.0</v>
      </c>
      <c r="G257" s="25">
        <v>7.0</v>
      </c>
      <c r="H257" s="25" t="s">
        <v>62</v>
      </c>
    </row>
    <row r="258" ht="15.75" customHeight="1">
      <c r="A258" s="25" t="s">
        <v>505</v>
      </c>
      <c r="B258" s="25" t="s">
        <v>61</v>
      </c>
      <c r="C258" s="25">
        <v>109.0</v>
      </c>
      <c r="D258" s="25">
        <v>21.8</v>
      </c>
      <c r="E258" s="25">
        <v>117.2</v>
      </c>
      <c r="F258" s="25">
        <v>9.0</v>
      </c>
      <c r="G258" s="25">
        <v>4.0</v>
      </c>
      <c r="H258" s="25" t="s">
        <v>48</v>
      </c>
    </row>
    <row r="259" ht="15.75" customHeight="1">
      <c r="A259" s="25" t="s">
        <v>505</v>
      </c>
      <c r="B259" s="25" t="s">
        <v>61</v>
      </c>
      <c r="C259" s="25">
        <v>22.0</v>
      </c>
      <c r="D259" s="25">
        <v>11.0</v>
      </c>
      <c r="E259" s="25">
        <v>100.0</v>
      </c>
      <c r="F259" s="25">
        <v>3.0</v>
      </c>
      <c r="G259" s="25">
        <v>0.0</v>
      </c>
      <c r="H259" s="25" t="s">
        <v>58</v>
      </c>
    </row>
    <row r="260" ht="15.75" customHeight="1">
      <c r="A260" s="25" t="s">
        <v>505</v>
      </c>
      <c r="B260" s="25" t="s">
        <v>61</v>
      </c>
      <c r="C260" s="25">
        <v>16.0</v>
      </c>
      <c r="D260" s="25">
        <v>4.0</v>
      </c>
      <c r="E260" s="25">
        <v>55.17</v>
      </c>
      <c r="F260" s="25">
        <v>0.0</v>
      </c>
      <c r="G260" s="25">
        <v>0.0</v>
      </c>
      <c r="H260" s="25" t="s">
        <v>47</v>
      </c>
    </row>
    <row r="261" ht="15.75" customHeight="1">
      <c r="A261" s="25" t="s">
        <v>505</v>
      </c>
      <c r="B261" s="25" t="s">
        <v>61</v>
      </c>
      <c r="C261" s="25">
        <v>141.0</v>
      </c>
      <c r="D261" s="25">
        <v>20.14</v>
      </c>
      <c r="E261" s="25">
        <v>117.5</v>
      </c>
      <c r="F261" s="25">
        <v>7.0</v>
      </c>
      <c r="G261" s="25">
        <v>5.0</v>
      </c>
      <c r="H261" s="25" t="s">
        <v>56</v>
      </c>
    </row>
    <row r="262" ht="15.75" customHeight="1">
      <c r="A262" s="25" t="s">
        <v>505</v>
      </c>
      <c r="B262" s="25" t="s">
        <v>61</v>
      </c>
      <c r="C262" s="25">
        <v>186.0</v>
      </c>
      <c r="D262" s="25">
        <v>23.25</v>
      </c>
      <c r="E262" s="25">
        <v>109.41</v>
      </c>
      <c r="F262" s="25">
        <v>12.0</v>
      </c>
      <c r="G262" s="25">
        <v>8.0</v>
      </c>
      <c r="H262" s="25" t="s">
        <v>59</v>
      </c>
    </row>
    <row r="263" ht="15.75" customHeight="1">
      <c r="A263" s="25" t="s">
        <v>505</v>
      </c>
      <c r="B263" s="25" t="s">
        <v>61</v>
      </c>
      <c r="C263" s="25">
        <v>1.0</v>
      </c>
      <c r="D263" s="25">
        <v>0.5</v>
      </c>
      <c r="E263" s="25">
        <v>16.66</v>
      </c>
      <c r="F263" s="25">
        <v>0.0</v>
      </c>
      <c r="G263" s="25">
        <v>0.0</v>
      </c>
      <c r="H263" s="25" t="s">
        <v>54</v>
      </c>
    </row>
    <row r="264" ht="15.75" customHeight="1">
      <c r="A264" s="25" t="s">
        <v>505</v>
      </c>
      <c r="B264" s="25" t="s">
        <v>61</v>
      </c>
      <c r="C264" s="25">
        <v>46.0</v>
      </c>
      <c r="D264" s="25">
        <v>15.33</v>
      </c>
      <c r="E264" s="25">
        <v>153.33</v>
      </c>
      <c r="F264" s="25">
        <v>5.0</v>
      </c>
      <c r="G264" s="25">
        <v>2.0</v>
      </c>
      <c r="H264" s="25" t="s">
        <v>62</v>
      </c>
    </row>
    <row r="265" ht="15.75" customHeight="1">
      <c r="A265" s="25" t="s">
        <v>506</v>
      </c>
      <c r="B265" s="25" t="s">
        <v>61</v>
      </c>
      <c r="C265" s="25">
        <v>112.0</v>
      </c>
      <c r="D265" s="25">
        <v>8.61</v>
      </c>
      <c r="E265" s="25">
        <v>46.47</v>
      </c>
      <c r="F265" s="25">
        <v>13.0</v>
      </c>
      <c r="G265" s="25">
        <v>3.0</v>
      </c>
      <c r="H265" s="25" t="s">
        <v>48</v>
      </c>
    </row>
    <row r="266" ht="15.75" customHeight="1">
      <c r="A266" s="25" t="s">
        <v>506</v>
      </c>
      <c r="B266" s="25" t="s">
        <v>61</v>
      </c>
      <c r="C266" s="25">
        <v>70.0</v>
      </c>
      <c r="D266" s="25">
        <v>23.33</v>
      </c>
      <c r="E266" s="25">
        <v>74.46</v>
      </c>
      <c r="F266" s="25">
        <v>9.0</v>
      </c>
      <c r="G266" s="25">
        <v>2.0</v>
      </c>
      <c r="H266" s="25" t="s">
        <v>58</v>
      </c>
    </row>
    <row r="267" ht="15.75" customHeight="1">
      <c r="A267" s="25" t="s">
        <v>506</v>
      </c>
      <c r="B267" s="25" t="s">
        <v>61</v>
      </c>
      <c r="C267" s="25">
        <v>448.0</v>
      </c>
      <c r="D267" s="25">
        <v>23.57</v>
      </c>
      <c r="E267" s="25">
        <v>86.65</v>
      </c>
      <c r="F267" s="25">
        <v>49.0</v>
      </c>
      <c r="G267" s="25">
        <v>11.0</v>
      </c>
      <c r="H267" s="25" t="s">
        <v>47</v>
      </c>
    </row>
    <row r="268" ht="15.75" customHeight="1">
      <c r="A268" s="25" t="s">
        <v>506</v>
      </c>
      <c r="B268" s="25" t="s">
        <v>61</v>
      </c>
      <c r="C268" s="25">
        <v>726.0</v>
      </c>
      <c r="D268" s="25">
        <v>25.92</v>
      </c>
      <c r="E268" s="25">
        <v>87.36</v>
      </c>
      <c r="F268" s="25">
        <v>91.0</v>
      </c>
      <c r="G268" s="25">
        <v>13.0</v>
      </c>
      <c r="H268" s="25" t="s">
        <v>56</v>
      </c>
    </row>
    <row r="269" ht="15.75" customHeight="1">
      <c r="A269" s="25" t="s">
        <v>506</v>
      </c>
      <c r="B269" s="25" t="s">
        <v>61</v>
      </c>
      <c r="C269" s="25">
        <v>340.0</v>
      </c>
      <c r="D269" s="25">
        <v>24.28</v>
      </c>
      <c r="E269" s="25">
        <v>87.85</v>
      </c>
      <c r="F269" s="25">
        <v>40.0</v>
      </c>
      <c r="G269" s="25">
        <v>8.0</v>
      </c>
      <c r="H269" s="25" t="s">
        <v>59</v>
      </c>
    </row>
    <row r="270" ht="15.75" customHeight="1">
      <c r="A270" s="25" t="s">
        <v>506</v>
      </c>
      <c r="B270" s="25" t="s">
        <v>61</v>
      </c>
      <c r="C270" s="25">
        <v>417.0</v>
      </c>
      <c r="D270" s="25">
        <v>34.75</v>
      </c>
      <c r="E270" s="25">
        <v>119.48</v>
      </c>
      <c r="F270" s="25">
        <v>60.0</v>
      </c>
      <c r="G270" s="25">
        <v>8.0</v>
      </c>
      <c r="H270" s="25" t="s">
        <v>54</v>
      </c>
    </row>
    <row r="271" ht="15.75" customHeight="1">
      <c r="A271" s="25" t="s">
        <v>506</v>
      </c>
      <c r="B271" s="25" t="s">
        <v>61</v>
      </c>
      <c r="C271" s="25">
        <v>511.0</v>
      </c>
      <c r="D271" s="25">
        <v>30.05</v>
      </c>
      <c r="E271" s="25">
        <v>80.47</v>
      </c>
      <c r="F271" s="25">
        <v>54.0</v>
      </c>
      <c r="G271" s="25">
        <v>10.0</v>
      </c>
      <c r="H271" s="25" t="s">
        <v>62</v>
      </c>
    </row>
    <row r="272" ht="15.75" customHeight="1">
      <c r="A272" s="25" t="s">
        <v>507</v>
      </c>
      <c r="B272" s="25" t="s">
        <v>61</v>
      </c>
      <c r="C272" s="25">
        <v>589.0</v>
      </c>
      <c r="D272" s="25">
        <v>26.77</v>
      </c>
      <c r="E272" s="25">
        <v>76.89</v>
      </c>
      <c r="F272" s="25">
        <v>55.0</v>
      </c>
      <c r="G272" s="25">
        <v>7.0</v>
      </c>
      <c r="H272" s="25" t="s">
        <v>48</v>
      </c>
    </row>
    <row r="273" ht="15.75" customHeight="1">
      <c r="A273" s="25" t="s">
        <v>507</v>
      </c>
      <c r="B273" s="25" t="s">
        <v>61</v>
      </c>
      <c r="C273" s="25">
        <v>891.0</v>
      </c>
      <c r="D273" s="25">
        <v>28.74</v>
      </c>
      <c r="E273" s="25">
        <v>66.99</v>
      </c>
      <c r="F273" s="25">
        <v>95.0</v>
      </c>
      <c r="G273" s="25">
        <v>4.0</v>
      </c>
      <c r="H273" s="25" t="s">
        <v>58</v>
      </c>
    </row>
    <row r="274" ht="15.75" customHeight="1">
      <c r="A274" s="25" t="s">
        <v>507</v>
      </c>
      <c r="B274" s="25" t="s">
        <v>61</v>
      </c>
      <c r="C274" s="25">
        <v>1202.0</v>
      </c>
      <c r="D274" s="25">
        <v>29.31</v>
      </c>
      <c r="E274" s="25">
        <v>72.98</v>
      </c>
      <c r="F274" s="25">
        <v>119.0</v>
      </c>
      <c r="G274" s="25">
        <v>18.0</v>
      </c>
      <c r="H274" s="25" t="s">
        <v>47</v>
      </c>
    </row>
    <row r="275" ht="15.75" customHeight="1">
      <c r="A275" s="25" t="s">
        <v>507</v>
      </c>
      <c r="B275" s="25" t="s">
        <v>61</v>
      </c>
      <c r="C275" s="25">
        <v>1645.0</v>
      </c>
      <c r="D275" s="25">
        <v>36.55</v>
      </c>
      <c r="E275" s="25">
        <v>76.22</v>
      </c>
      <c r="F275" s="25">
        <v>196.0</v>
      </c>
      <c r="G275" s="25">
        <v>13.0</v>
      </c>
      <c r="H275" s="25" t="s">
        <v>56</v>
      </c>
    </row>
    <row r="276" ht="15.75" customHeight="1">
      <c r="A276" s="25" t="s">
        <v>507</v>
      </c>
      <c r="B276" s="25" t="s">
        <v>61</v>
      </c>
      <c r="C276" s="25">
        <v>1517.0</v>
      </c>
      <c r="D276" s="25">
        <v>47.4</v>
      </c>
      <c r="E276" s="25">
        <v>82.08</v>
      </c>
      <c r="F276" s="25">
        <v>159.0</v>
      </c>
      <c r="G276" s="25">
        <v>16.0</v>
      </c>
      <c r="H276" s="25" t="s">
        <v>59</v>
      </c>
    </row>
    <row r="277" ht="15.75" customHeight="1">
      <c r="A277" s="25" t="s">
        <v>507</v>
      </c>
      <c r="B277" s="25" t="s">
        <v>61</v>
      </c>
      <c r="C277" s="25">
        <v>769.0</v>
      </c>
      <c r="D277" s="25">
        <v>24.03</v>
      </c>
      <c r="E277" s="25">
        <v>65.44</v>
      </c>
      <c r="F277" s="25">
        <v>81.0</v>
      </c>
      <c r="G277" s="25">
        <v>5.0</v>
      </c>
      <c r="H277" s="25" t="s">
        <v>54</v>
      </c>
    </row>
    <row r="278" ht="15.75" customHeight="1">
      <c r="A278" s="25" t="s">
        <v>507</v>
      </c>
      <c r="B278" s="25" t="s">
        <v>61</v>
      </c>
      <c r="C278" s="25">
        <v>1423.0</v>
      </c>
      <c r="D278" s="25">
        <v>29.64</v>
      </c>
      <c r="E278" s="25">
        <v>73.16</v>
      </c>
      <c r="F278" s="25">
        <v>146.0</v>
      </c>
      <c r="G278" s="25">
        <v>9.0</v>
      </c>
      <c r="H278" s="25" t="s">
        <v>62</v>
      </c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2.63"/>
    <col customWidth="1" min="3" max="3" width="16.13"/>
    <col customWidth="1" min="4" max="4" width="16.25"/>
    <col customWidth="1" min="5" max="5" width="21.13"/>
    <col customWidth="1" min="6" max="7" width="16.63"/>
  </cols>
  <sheetData>
    <row r="1" ht="15.75" customHeight="1">
      <c r="A1" s="80" t="s">
        <v>508</v>
      </c>
      <c r="B1" s="80" t="s">
        <v>130</v>
      </c>
      <c r="C1" s="80" t="s">
        <v>509</v>
      </c>
      <c r="D1" s="81" t="s">
        <v>510</v>
      </c>
      <c r="E1" s="81" t="s">
        <v>511</v>
      </c>
      <c r="F1" s="81" t="s">
        <v>512</v>
      </c>
      <c r="G1" s="81" t="s">
        <v>513</v>
      </c>
      <c r="H1" s="81" t="s">
        <v>514</v>
      </c>
      <c r="I1" s="81" t="s">
        <v>515</v>
      </c>
      <c r="J1" s="81" t="s">
        <v>516</v>
      </c>
      <c r="K1" s="81" t="s">
        <v>517</v>
      </c>
      <c r="L1" s="81" t="s">
        <v>518</v>
      </c>
    </row>
    <row r="2" ht="15.75" customHeight="1">
      <c r="A2" s="12" t="s">
        <v>167</v>
      </c>
      <c r="B2" s="12" t="s">
        <v>47</v>
      </c>
      <c r="C2" s="12" t="s">
        <v>62</v>
      </c>
      <c r="D2" s="18">
        <v>3.0</v>
      </c>
      <c r="E2" s="18">
        <v>12.0</v>
      </c>
      <c r="F2" s="18">
        <v>0.0</v>
      </c>
      <c r="G2" s="18">
        <v>4.0</v>
      </c>
      <c r="H2" s="82">
        <v>13.0</v>
      </c>
      <c r="I2" s="18">
        <v>2.0</v>
      </c>
      <c r="J2" s="18">
        <v>0.0</v>
      </c>
      <c r="K2" s="18">
        <v>1.0</v>
      </c>
      <c r="L2" s="18">
        <v>0.0</v>
      </c>
    </row>
    <row r="3" ht="15.75" customHeight="1">
      <c r="A3" s="12" t="s">
        <v>519</v>
      </c>
      <c r="B3" s="12" t="s">
        <v>47</v>
      </c>
      <c r="C3" s="12" t="s">
        <v>62</v>
      </c>
      <c r="D3" s="18">
        <v>4.0</v>
      </c>
      <c r="E3" s="18">
        <v>22.0</v>
      </c>
      <c r="F3" s="18">
        <v>4.0</v>
      </c>
      <c r="G3" s="18">
        <v>5.5</v>
      </c>
      <c r="H3" s="82">
        <v>14.0</v>
      </c>
      <c r="I3" s="18">
        <v>4.0</v>
      </c>
      <c r="J3" s="18">
        <v>0.0</v>
      </c>
      <c r="K3" s="18">
        <v>0.0</v>
      </c>
      <c r="L3" s="18">
        <v>0.0</v>
      </c>
    </row>
    <row r="4" ht="15.75" customHeight="1">
      <c r="A4" s="12" t="s">
        <v>520</v>
      </c>
      <c r="B4" s="12" t="s">
        <v>47</v>
      </c>
      <c r="C4" s="12" t="s">
        <v>62</v>
      </c>
      <c r="D4" s="18">
        <v>4.0</v>
      </c>
      <c r="E4" s="18">
        <v>27.0</v>
      </c>
      <c r="F4" s="18">
        <v>2.0</v>
      </c>
      <c r="G4" s="18">
        <v>6.75</v>
      </c>
      <c r="H4" s="82">
        <v>12.0</v>
      </c>
      <c r="I4" s="18">
        <v>3.0</v>
      </c>
      <c r="J4" s="18">
        <v>1.0</v>
      </c>
      <c r="K4" s="18">
        <v>1.0</v>
      </c>
      <c r="L4" s="18">
        <v>0.0</v>
      </c>
    </row>
    <row r="5" ht="15.75" customHeight="1">
      <c r="A5" s="12" t="s">
        <v>521</v>
      </c>
      <c r="B5" s="12" t="s">
        <v>47</v>
      </c>
      <c r="C5" s="12" t="s">
        <v>62</v>
      </c>
      <c r="D5" s="18">
        <v>2.0</v>
      </c>
      <c r="E5" s="18">
        <v>26.0</v>
      </c>
      <c r="F5" s="18">
        <v>0.0</v>
      </c>
      <c r="G5" s="18">
        <v>13.0</v>
      </c>
      <c r="H5" s="82">
        <v>2.0</v>
      </c>
      <c r="I5" s="18">
        <v>0.0</v>
      </c>
      <c r="J5" s="18">
        <v>3.0</v>
      </c>
      <c r="K5" s="18">
        <v>0.0</v>
      </c>
      <c r="L5" s="18">
        <v>0.0</v>
      </c>
    </row>
    <row r="6" ht="15.75" customHeight="1">
      <c r="A6" s="12" t="s">
        <v>522</v>
      </c>
      <c r="B6" s="12" t="s">
        <v>47</v>
      </c>
      <c r="C6" s="12" t="s">
        <v>62</v>
      </c>
      <c r="D6" s="18">
        <v>4.0</v>
      </c>
      <c r="E6" s="18">
        <v>41.0</v>
      </c>
      <c r="F6" s="18">
        <v>2.0</v>
      </c>
      <c r="G6" s="18">
        <v>10.25</v>
      </c>
      <c r="H6" s="82">
        <v>9.0</v>
      </c>
      <c r="I6" s="18">
        <v>3.0</v>
      </c>
      <c r="J6" s="18">
        <v>2.0</v>
      </c>
      <c r="K6" s="18">
        <v>1.0</v>
      </c>
      <c r="L6" s="18">
        <v>1.0</v>
      </c>
    </row>
    <row r="7" ht="15.75" customHeight="1">
      <c r="A7" s="12" t="s">
        <v>523</v>
      </c>
      <c r="B7" s="12" t="s">
        <v>47</v>
      </c>
      <c r="C7" s="12" t="s">
        <v>62</v>
      </c>
      <c r="D7" s="18">
        <v>3.0</v>
      </c>
      <c r="E7" s="18">
        <v>31.0</v>
      </c>
      <c r="F7" s="18">
        <v>0.0</v>
      </c>
      <c r="G7" s="18">
        <v>10.33</v>
      </c>
      <c r="H7" s="82">
        <v>3.0</v>
      </c>
      <c r="I7" s="18">
        <v>1.0</v>
      </c>
      <c r="J7" s="18">
        <v>2.0</v>
      </c>
      <c r="K7" s="18">
        <v>1.0</v>
      </c>
      <c r="L7" s="18">
        <v>0.0</v>
      </c>
    </row>
    <row r="8" ht="15.75" customHeight="1">
      <c r="A8" s="12" t="s">
        <v>524</v>
      </c>
      <c r="B8" s="12" t="s">
        <v>62</v>
      </c>
      <c r="C8" s="12" t="s">
        <v>47</v>
      </c>
      <c r="D8" s="18">
        <v>4.0</v>
      </c>
      <c r="E8" s="18">
        <v>47.0</v>
      </c>
      <c r="F8" s="18">
        <v>0.0</v>
      </c>
      <c r="G8" s="18">
        <v>11.75</v>
      </c>
      <c r="H8" s="18">
        <v>9.0</v>
      </c>
      <c r="I8" s="18">
        <v>5.0</v>
      </c>
      <c r="J8" s="18">
        <v>3.0</v>
      </c>
      <c r="K8" s="18">
        <v>1.0</v>
      </c>
      <c r="L8" s="18">
        <v>0.0</v>
      </c>
    </row>
    <row r="9" ht="15.75" customHeight="1">
      <c r="A9" s="12" t="s">
        <v>525</v>
      </c>
      <c r="B9" s="12" t="s">
        <v>62</v>
      </c>
      <c r="C9" s="12" t="s">
        <v>47</v>
      </c>
      <c r="D9" s="18">
        <v>4.0</v>
      </c>
      <c r="E9" s="18">
        <v>35.0</v>
      </c>
      <c r="F9" s="18">
        <v>1.0</v>
      </c>
      <c r="G9" s="18">
        <v>8.75</v>
      </c>
      <c r="H9" s="18">
        <v>12.0</v>
      </c>
      <c r="I9" s="18">
        <v>4.0</v>
      </c>
      <c r="J9" s="18">
        <v>1.0</v>
      </c>
      <c r="K9" s="18">
        <v>2.0</v>
      </c>
      <c r="L9" s="18">
        <v>0.0</v>
      </c>
    </row>
    <row r="10" ht="15.75" customHeight="1">
      <c r="A10" s="12" t="s">
        <v>526</v>
      </c>
      <c r="B10" s="12" t="s">
        <v>62</v>
      </c>
      <c r="C10" s="12" t="s">
        <v>47</v>
      </c>
      <c r="D10" s="18">
        <v>4.0</v>
      </c>
      <c r="E10" s="18">
        <v>29.0</v>
      </c>
      <c r="F10" s="18">
        <v>1.0</v>
      </c>
      <c r="G10" s="18">
        <v>7.25</v>
      </c>
      <c r="H10" s="18">
        <v>6.0</v>
      </c>
      <c r="I10" s="18">
        <v>0.0</v>
      </c>
      <c r="J10" s="18">
        <v>2.0</v>
      </c>
      <c r="K10" s="18">
        <v>0.0</v>
      </c>
      <c r="L10" s="18">
        <v>0.0</v>
      </c>
    </row>
    <row r="11" ht="15.75" customHeight="1">
      <c r="A11" s="12" t="s">
        <v>527</v>
      </c>
      <c r="B11" s="12" t="s">
        <v>62</v>
      </c>
      <c r="C11" s="12" t="s">
        <v>47</v>
      </c>
      <c r="D11" s="18">
        <v>3.0</v>
      </c>
      <c r="E11" s="18">
        <v>22.0</v>
      </c>
      <c r="F11" s="18">
        <v>1.0</v>
      </c>
      <c r="G11" s="18">
        <v>7.33</v>
      </c>
      <c r="H11" s="18">
        <v>7.0</v>
      </c>
      <c r="I11" s="18">
        <v>3.0</v>
      </c>
      <c r="J11" s="18">
        <v>0.0</v>
      </c>
      <c r="K11" s="18">
        <v>1.0</v>
      </c>
      <c r="L11" s="18">
        <v>0.0</v>
      </c>
    </row>
    <row r="12" ht="15.75" customHeight="1">
      <c r="A12" s="12" t="s">
        <v>500</v>
      </c>
      <c r="B12" s="12" t="s">
        <v>62</v>
      </c>
      <c r="C12" s="12" t="s">
        <v>47</v>
      </c>
      <c r="D12" s="18">
        <v>1.0</v>
      </c>
      <c r="E12" s="18">
        <v>6.0</v>
      </c>
      <c r="F12" s="18">
        <v>1.0</v>
      </c>
      <c r="G12" s="18">
        <v>6.0</v>
      </c>
      <c r="H12" s="18">
        <v>2.0</v>
      </c>
      <c r="I12" s="18">
        <v>0.0</v>
      </c>
      <c r="J12" s="18">
        <v>0.0</v>
      </c>
      <c r="K12" s="18">
        <v>0.0</v>
      </c>
      <c r="L12" s="18">
        <v>0.0</v>
      </c>
    </row>
    <row r="13" ht="15.75" customHeight="1">
      <c r="A13" s="12" t="s">
        <v>528</v>
      </c>
      <c r="B13" s="12" t="s">
        <v>62</v>
      </c>
      <c r="C13" s="12" t="s">
        <v>47</v>
      </c>
      <c r="D13" s="18">
        <v>4.0</v>
      </c>
      <c r="E13" s="18">
        <v>22.0</v>
      </c>
      <c r="F13" s="18">
        <v>1.0</v>
      </c>
      <c r="G13" s="18">
        <v>5.5</v>
      </c>
      <c r="H13" s="18">
        <v>10.0</v>
      </c>
      <c r="I13" s="18">
        <v>1.0</v>
      </c>
      <c r="J13" s="18">
        <v>1.0</v>
      </c>
      <c r="K13" s="18">
        <v>0.0</v>
      </c>
      <c r="L13" s="18">
        <v>0.0</v>
      </c>
    </row>
    <row r="14" ht="15.75" customHeight="1">
      <c r="A14" s="12" t="s">
        <v>167</v>
      </c>
      <c r="B14" s="12" t="s">
        <v>47</v>
      </c>
      <c r="C14" s="12" t="s">
        <v>62</v>
      </c>
      <c r="D14" s="18">
        <v>2.0</v>
      </c>
      <c r="E14" s="18">
        <v>13.0</v>
      </c>
      <c r="F14" s="18">
        <v>0.0</v>
      </c>
      <c r="G14" s="18">
        <v>6.5</v>
      </c>
      <c r="H14" s="18">
        <v>7.0</v>
      </c>
      <c r="I14" s="18">
        <v>0.0</v>
      </c>
      <c r="J14" s="18">
        <v>1.0</v>
      </c>
      <c r="K14" s="18">
        <v>1.0</v>
      </c>
      <c r="L14" s="18">
        <v>0.0</v>
      </c>
    </row>
    <row r="15" ht="15.75" customHeight="1">
      <c r="A15" s="12" t="s">
        <v>529</v>
      </c>
      <c r="B15" s="12" t="s">
        <v>47</v>
      </c>
      <c r="C15" s="12" t="s">
        <v>62</v>
      </c>
      <c r="D15" s="18">
        <v>2.0</v>
      </c>
      <c r="E15" s="18">
        <v>37.0</v>
      </c>
      <c r="F15" s="18">
        <v>0.0</v>
      </c>
      <c r="G15" s="18">
        <v>18.5</v>
      </c>
      <c r="H15" s="18">
        <v>4.0</v>
      </c>
      <c r="I15" s="18">
        <v>3.0</v>
      </c>
      <c r="J15" s="18">
        <v>2.0</v>
      </c>
      <c r="K15" s="18">
        <v>0.0</v>
      </c>
      <c r="L15" s="18">
        <v>5.0</v>
      </c>
    </row>
    <row r="16" ht="15.75" customHeight="1">
      <c r="A16" s="12" t="s">
        <v>519</v>
      </c>
      <c r="B16" s="12" t="s">
        <v>47</v>
      </c>
      <c r="C16" s="12" t="s">
        <v>62</v>
      </c>
      <c r="D16" s="18">
        <v>4.0</v>
      </c>
      <c r="E16" s="18">
        <v>53.0</v>
      </c>
      <c r="F16" s="18">
        <v>0.0</v>
      </c>
      <c r="G16" s="18">
        <v>13.25</v>
      </c>
      <c r="H16" s="18">
        <v>6.0</v>
      </c>
      <c r="I16" s="18">
        <v>3.0</v>
      </c>
      <c r="J16" s="18">
        <v>4.0</v>
      </c>
      <c r="K16" s="18">
        <v>2.0</v>
      </c>
      <c r="L16" s="18">
        <v>1.0</v>
      </c>
    </row>
    <row r="17" ht="15.75" customHeight="1">
      <c r="A17" s="12" t="s">
        <v>523</v>
      </c>
      <c r="B17" s="12" t="s">
        <v>47</v>
      </c>
      <c r="C17" s="12" t="s">
        <v>62</v>
      </c>
      <c r="D17" s="18">
        <v>4.0</v>
      </c>
      <c r="E17" s="18">
        <v>24.0</v>
      </c>
      <c r="F17" s="18">
        <v>2.0</v>
      </c>
      <c r="G17" s="18">
        <v>6.0</v>
      </c>
      <c r="H17" s="18">
        <v>9.0</v>
      </c>
      <c r="I17" s="18">
        <v>1.0</v>
      </c>
      <c r="J17" s="18">
        <v>1.0</v>
      </c>
      <c r="K17" s="18">
        <v>0.0</v>
      </c>
      <c r="L17" s="18">
        <v>0.0</v>
      </c>
    </row>
    <row r="18" ht="15.75" customHeight="1">
      <c r="A18" s="12" t="s">
        <v>521</v>
      </c>
      <c r="B18" s="12" t="s">
        <v>47</v>
      </c>
      <c r="C18" s="12" t="s">
        <v>62</v>
      </c>
      <c r="D18" s="18">
        <v>4.0</v>
      </c>
      <c r="E18" s="18">
        <v>30.0</v>
      </c>
      <c r="F18" s="18">
        <v>1.0</v>
      </c>
      <c r="G18" s="18">
        <v>7.5</v>
      </c>
      <c r="H18" s="18">
        <v>5.0</v>
      </c>
      <c r="I18" s="18">
        <v>0.0</v>
      </c>
      <c r="J18" s="18">
        <v>2.0</v>
      </c>
      <c r="K18" s="18">
        <v>0.0</v>
      </c>
      <c r="L18" s="18">
        <v>0.0</v>
      </c>
    </row>
    <row r="19" ht="15.75" customHeight="1">
      <c r="A19" s="12" t="s">
        <v>520</v>
      </c>
      <c r="B19" s="12" t="s">
        <v>47</v>
      </c>
      <c r="C19" s="12" t="s">
        <v>62</v>
      </c>
      <c r="D19" s="18">
        <v>4.0</v>
      </c>
      <c r="E19" s="18">
        <v>48.0</v>
      </c>
      <c r="F19" s="18">
        <v>3.0</v>
      </c>
      <c r="G19" s="18">
        <v>12.0</v>
      </c>
      <c r="H19" s="18">
        <v>8.0</v>
      </c>
      <c r="I19" s="18">
        <v>3.0</v>
      </c>
      <c r="J19" s="18">
        <v>4.0</v>
      </c>
      <c r="K19" s="18">
        <v>1.0</v>
      </c>
      <c r="L19" s="18">
        <v>1.0</v>
      </c>
    </row>
    <row r="20" ht="15.75" customHeight="1">
      <c r="A20" s="83" t="s">
        <v>525</v>
      </c>
      <c r="B20" s="12" t="s">
        <v>62</v>
      </c>
      <c r="C20" s="12" t="s">
        <v>47</v>
      </c>
      <c r="D20" s="82">
        <v>4.0</v>
      </c>
      <c r="E20" s="82">
        <v>45.0</v>
      </c>
      <c r="F20" s="82">
        <v>2.0</v>
      </c>
      <c r="G20" s="82">
        <v>11.25</v>
      </c>
      <c r="H20" s="82">
        <v>10.0</v>
      </c>
      <c r="I20" s="82">
        <v>3.0</v>
      </c>
      <c r="J20" s="82">
        <v>3.0</v>
      </c>
      <c r="K20" s="82">
        <v>3.0</v>
      </c>
      <c r="L20" s="82">
        <v>0.0</v>
      </c>
    </row>
    <row r="21" ht="15.75" customHeight="1">
      <c r="A21" s="83" t="s">
        <v>524</v>
      </c>
      <c r="B21" s="12" t="s">
        <v>62</v>
      </c>
      <c r="C21" s="12" t="s">
        <v>47</v>
      </c>
      <c r="D21" s="82">
        <v>4.0</v>
      </c>
      <c r="E21" s="82">
        <v>22.0</v>
      </c>
      <c r="F21" s="82">
        <v>2.0</v>
      </c>
      <c r="G21" s="82">
        <v>5.5</v>
      </c>
      <c r="H21" s="82">
        <v>13.0</v>
      </c>
      <c r="I21" s="82">
        <v>2.0</v>
      </c>
      <c r="J21" s="82">
        <v>0.0</v>
      </c>
      <c r="K21" s="82">
        <v>2.0</v>
      </c>
      <c r="L21" s="82">
        <v>0.0</v>
      </c>
    </row>
    <row r="22" ht="15.75" customHeight="1">
      <c r="A22" s="83" t="s">
        <v>527</v>
      </c>
      <c r="B22" s="12" t="s">
        <v>62</v>
      </c>
      <c r="C22" s="12" t="s">
        <v>47</v>
      </c>
      <c r="D22" s="82">
        <v>4.0</v>
      </c>
      <c r="E22" s="82">
        <v>41.0</v>
      </c>
      <c r="F22" s="82">
        <v>1.0</v>
      </c>
      <c r="G22" s="82">
        <v>10.25</v>
      </c>
      <c r="H22" s="82">
        <v>8.0</v>
      </c>
      <c r="I22" s="82">
        <v>3.0</v>
      </c>
      <c r="J22" s="82">
        <v>3.0</v>
      </c>
      <c r="K22" s="82">
        <v>0.0</v>
      </c>
      <c r="L22" s="82">
        <v>0.0</v>
      </c>
    </row>
    <row r="23" ht="15.75" customHeight="1">
      <c r="A23" s="83" t="s">
        <v>528</v>
      </c>
      <c r="B23" s="12" t="s">
        <v>62</v>
      </c>
      <c r="C23" s="12" t="s">
        <v>47</v>
      </c>
      <c r="D23" s="82">
        <v>3.0</v>
      </c>
      <c r="E23" s="82">
        <v>41.0</v>
      </c>
      <c r="F23" s="82">
        <v>1.0</v>
      </c>
      <c r="G23" s="82">
        <v>13.66</v>
      </c>
      <c r="H23" s="82">
        <v>5.0</v>
      </c>
      <c r="I23" s="82">
        <v>0.0</v>
      </c>
      <c r="J23" s="82">
        <v>5.0</v>
      </c>
      <c r="K23" s="82">
        <v>1.0</v>
      </c>
      <c r="L23" s="82">
        <v>0.0</v>
      </c>
    </row>
    <row r="24" ht="15.75" customHeight="1">
      <c r="A24" s="83" t="s">
        <v>526</v>
      </c>
      <c r="B24" s="12" t="s">
        <v>62</v>
      </c>
      <c r="C24" s="12" t="s">
        <v>47</v>
      </c>
      <c r="D24" s="82">
        <v>4.0</v>
      </c>
      <c r="E24" s="82">
        <v>33.0</v>
      </c>
      <c r="F24" s="82">
        <v>0.0</v>
      </c>
      <c r="G24" s="82">
        <v>8.25</v>
      </c>
      <c r="H24" s="82">
        <v>7.0</v>
      </c>
      <c r="I24" s="82">
        <v>3.0</v>
      </c>
      <c r="J24" s="82">
        <v>1.0</v>
      </c>
      <c r="K24" s="82">
        <v>0.0</v>
      </c>
      <c r="L24" s="82">
        <v>0.0</v>
      </c>
    </row>
    <row r="25" ht="15.75" customHeight="1">
      <c r="A25" s="83" t="s">
        <v>530</v>
      </c>
      <c r="B25" s="12" t="s">
        <v>62</v>
      </c>
      <c r="C25" s="12" t="s">
        <v>47</v>
      </c>
      <c r="D25" s="82">
        <v>1.0</v>
      </c>
      <c r="E25" s="82">
        <v>4.0</v>
      </c>
      <c r="F25" s="82">
        <v>2.0</v>
      </c>
      <c r="G25" s="82">
        <v>4.0</v>
      </c>
      <c r="H25" s="82">
        <v>3.0</v>
      </c>
      <c r="I25" s="82">
        <v>0.0</v>
      </c>
      <c r="J25" s="82">
        <v>0.0</v>
      </c>
      <c r="K25" s="82">
        <v>0.0</v>
      </c>
      <c r="L25" s="82">
        <v>0.0</v>
      </c>
    </row>
    <row r="26" ht="15.75" customHeight="1">
      <c r="A26" s="83" t="s">
        <v>525</v>
      </c>
      <c r="B26" s="12" t="s">
        <v>62</v>
      </c>
      <c r="C26" s="12" t="s">
        <v>47</v>
      </c>
      <c r="D26" s="82">
        <v>4.0</v>
      </c>
      <c r="E26" s="82">
        <v>55.0</v>
      </c>
      <c r="F26" s="82">
        <v>2.0</v>
      </c>
      <c r="G26" s="82">
        <v>13.75</v>
      </c>
      <c r="H26" s="82">
        <v>8.0</v>
      </c>
      <c r="I26" s="82">
        <v>6.0</v>
      </c>
      <c r="J26" s="82">
        <v>4.0</v>
      </c>
      <c r="K26" s="82">
        <v>1.0</v>
      </c>
      <c r="L26" s="82">
        <v>0.0</v>
      </c>
    </row>
    <row r="27" ht="15.75" customHeight="1">
      <c r="A27" s="83" t="s">
        <v>524</v>
      </c>
      <c r="B27" s="12" t="s">
        <v>62</v>
      </c>
      <c r="C27" s="12" t="s">
        <v>47</v>
      </c>
      <c r="D27" s="82">
        <v>4.0</v>
      </c>
      <c r="E27" s="82">
        <v>35.0</v>
      </c>
      <c r="F27" s="82">
        <v>1.0</v>
      </c>
      <c r="G27" s="82">
        <v>8.75</v>
      </c>
      <c r="H27" s="82">
        <v>9.0</v>
      </c>
      <c r="I27" s="82">
        <v>4.0</v>
      </c>
      <c r="J27" s="82">
        <v>1.0</v>
      </c>
      <c r="K27" s="82">
        <v>1.0</v>
      </c>
      <c r="L27" s="82">
        <v>0.0</v>
      </c>
    </row>
    <row r="28" ht="15.75" customHeight="1">
      <c r="A28" s="83" t="s">
        <v>526</v>
      </c>
      <c r="B28" s="12" t="s">
        <v>62</v>
      </c>
      <c r="C28" s="12" t="s">
        <v>47</v>
      </c>
      <c r="D28" s="82">
        <v>4.0</v>
      </c>
      <c r="E28" s="82">
        <v>48.0</v>
      </c>
      <c r="F28" s="82">
        <v>0.0</v>
      </c>
      <c r="G28" s="82">
        <v>12.0</v>
      </c>
      <c r="H28" s="82">
        <v>4.0</v>
      </c>
      <c r="I28" s="82">
        <v>5.0</v>
      </c>
      <c r="J28" s="82">
        <v>2.0</v>
      </c>
      <c r="K28" s="82">
        <v>0.0</v>
      </c>
      <c r="L28" s="82">
        <v>0.0</v>
      </c>
    </row>
    <row r="29" ht="15.75" customHeight="1">
      <c r="A29" s="83" t="s">
        <v>527</v>
      </c>
      <c r="B29" s="12" t="s">
        <v>62</v>
      </c>
      <c r="C29" s="12" t="s">
        <v>47</v>
      </c>
      <c r="D29" s="82">
        <v>4.0</v>
      </c>
      <c r="E29" s="82">
        <v>52.0</v>
      </c>
      <c r="F29" s="82">
        <v>1.0</v>
      </c>
      <c r="G29" s="82">
        <v>13.0</v>
      </c>
      <c r="H29" s="82">
        <v>7.0</v>
      </c>
      <c r="I29" s="82">
        <v>3.0</v>
      </c>
      <c r="J29" s="82">
        <v>5.0</v>
      </c>
      <c r="K29" s="82">
        <v>1.0</v>
      </c>
      <c r="L29" s="82">
        <v>0.0</v>
      </c>
    </row>
    <row r="30" ht="15.75" customHeight="1">
      <c r="A30" s="83" t="s">
        <v>528</v>
      </c>
      <c r="B30" s="12" t="s">
        <v>62</v>
      </c>
      <c r="C30" s="12" t="s">
        <v>47</v>
      </c>
      <c r="D30" s="82">
        <v>4.0</v>
      </c>
      <c r="E30" s="82">
        <v>36.0</v>
      </c>
      <c r="F30" s="82">
        <v>1.0</v>
      </c>
      <c r="G30" s="82">
        <v>9.0</v>
      </c>
      <c r="H30" s="82">
        <v>5.0</v>
      </c>
      <c r="I30" s="82">
        <v>1.0</v>
      </c>
      <c r="J30" s="82">
        <v>2.0</v>
      </c>
      <c r="K30" s="82">
        <v>0.0</v>
      </c>
      <c r="L30" s="82">
        <v>0.0</v>
      </c>
    </row>
    <row r="31" ht="15.75" customHeight="1">
      <c r="A31" s="83" t="s">
        <v>167</v>
      </c>
      <c r="B31" s="12" t="s">
        <v>47</v>
      </c>
      <c r="C31" s="12" t="s">
        <v>62</v>
      </c>
      <c r="D31" s="82">
        <v>4.0</v>
      </c>
      <c r="E31" s="82">
        <v>30.0</v>
      </c>
      <c r="F31" s="82">
        <v>2.0</v>
      </c>
      <c r="G31" s="82">
        <v>7.5</v>
      </c>
      <c r="H31" s="82">
        <v>13.0</v>
      </c>
      <c r="I31" s="82">
        <v>2.0</v>
      </c>
      <c r="J31" s="82">
        <v>2.0</v>
      </c>
      <c r="K31" s="82">
        <v>2.0</v>
      </c>
      <c r="L31" s="82">
        <v>0.0</v>
      </c>
    </row>
    <row r="32" ht="15.75" customHeight="1">
      <c r="A32" s="83" t="s">
        <v>529</v>
      </c>
      <c r="B32" s="12" t="s">
        <v>47</v>
      </c>
      <c r="C32" s="12" t="s">
        <v>62</v>
      </c>
      <c r="D32" s="82">
        <v>2.4</v>
      </c>
      <c r="E32" s="82">
        <v>20.0</v>
      </c>
      <c r="F32" s="82">
        <v>3.0</v>
      </c>
      <c r="G32" s="82">
        <v>7.5</v>
      </c>
      <c r="H32" s="82">
        <v>9.0</v>
      </c>
      <c r="I32" s="82">
        <v>3.0</v>
      </c>
      <c r="J32" s="82">
        <v>0.0</v>
      </c>
      <c r="K32" s="82">
        <v>4.0</v>
      </c>
      <c r="L32" s="82">
        <v>0.0</v>
      </c>
    </row>
    <row r="33" ht="15.75" customHeight="1">
      <c r="A33" s="83" t="s">
        <v>519</v>
      </c>
      <c r="B33" s="12" t="s">
        <v>47</v>
      </c>
      <c r="C33" s="12" t="s">
        <v>62</v>
      </c>
      <c r="D33" s="82">
        <v>1.0</v>
      </c>
      <c r="E33" s="82">
        <v>6.0</v>
      </c>
      <c r="F33" s="82">
        <v>0.0</v>
      </c>
      <c r="G33" s="82">
        <v>6.0</v>
      </c>
      <c r="H33" s="82">
        <v>3.0</v>
      </c>
      <c r="I33" s="82">
        <v>1.0</v>
      </c>
      <c r="J33" s="82">
        <v>0.0</v>
      </c>
      <c r="K33" s="82">
        <v>0.0</v>
      </c>
      <c r="L33" s="82">
        <v>0.0</v>
      </c>
    </row>
    <row r="34" ht="15.75" customHeight="1">
      <c r="A34" s="83" t="s">
        <v>523</v>
      </c>
      <c r="B34" s="12" t="s">
        <v>47</v>
      </c>
      <c r="C34" s="12" t="s">
        <v>62</v>
      </c>
      <c r="D34" s="82">
        <v>3.0</v>
      </c>
      <c r="E34" s="82">
        <v>19.0</v>
      </c>
      <c r="F34" s="82">
        <v>1.0</v>
      </c>
      <c r="G34" s="82">
        <v>6.33</v>
      </c>
      <c r="H34" s="82">
        <v>8.0</v>
      </c>
      <c r="I34" s="82">
        <v>1.0</v>
      </c>
      <c r="J34" s="82">
        <v>1.0</v>
      </c>
      <c r="K34" s="82">
        <v>1.0</v>
      </c>
      <c r="L34" s="82">
        <v>0.0</v>
      </c>
    </row>
    <row r="35" ht="15.75" customHeight="1">
      <c r="A35" s="83" t="s">
        <v>520</v>
      </c>
      <c r="B35" s="12" t="s">
        <v>47</v>
      </c>
      <c r="C35" s="12" t="s">
        <v>62</v>
      </c>
      <c r="D35" s="82">
        <v>3.0</v>
      </c>
      <c r="E35" s="82">
        <v>31.0</v>
      </c>
      <c r="F35" s="82">
        <v>2.0</v>
      </c>
      <c r="G35" s="82">
        <v>10.33</v>
      </c>
      <c r="H35" s="82">
        <v>7.0</v>
      </c>
      <c r="I35" s="82">
        <v>5.0</v>
      </c>
      <c r="J35" s="82">
        <v>0.0</v>
      </c>
      <c r="K35" s="82">
        <v>3.0</v>
      </c>
      <c r="L35" s="82">
        <v>1.0</v>
      </c>
    </row>
    <row r="36" ht="15.75" customHeight="1">
      <c r="A36" s="83" t="s">
        <v>521</v>
      </c>
      <c r="B36" s="12" t="s">
        <v>47</v>
      </c>
      <c r="C36" s="12" t="s">
        <v>62</v>
      </c>
      <c r="D36" s="82">
        <v>3.0</v>
      </c>
      <c r="E36" s="82">
        <v>30.0</v>
      </c>
      <c r="F36" s="82">
        <v>2.0</v>
      </c>
      <c r="G36" s="82">
        <v>10.0</v>
      </c>
      <c r="H36" s="82">
        <v>6.0</v>
      </c>
      <c r="I36" s="82">
        <v>0.0</v>
      </c>
      <c r="J36" s="82">
        <v>3.0</v>
      </c>
      <c r="K36" s="82">
        <v>1.0</v>
      </c>
      <c r="L36" s="82">
        <v>0.0</v>
      </c>
    </row>
    <row r="37" ht="15.75" customHeight="1">
      <c r="A37" s="12" t="s">
        <v>167</v>
      </c>
      <c r="B37" s="12" t="s">
        <v>47</v>
      </c>
      <c r="C37" s="12" t="s">
        <v>56</v>
      </c>
      <c r="D37" s="18">
        <v>3.0</v>
      </c>
      <c r="E37" s="18">
        <v>33.0</v>
      </c>
      <c r="F37" s="18">
        <v>0.0</v>
      </c>
      <c r="G37" s="18">
        <v>11.0</v>
      </c>
      <c r="H37" s="18">
        <v>3.0</v>
      </c>
      <c r="I37" s="18">
        <v>2.0</v>
      </c>
      <c r="J37" s="18">
        <v>2.0</v>
      </c>
      <c r="K37" s="18">
        <v>1.0</v>
      </c>
      <c r="L37" s="18">
        <v>0.0</v>
      </c>
    </row>
    <row r="38" ht="15.75" customHeight="1">
      <c r="A38" s="12" t="s">
        <v>529</v>
      </c>
      <c r="B38" s="12" t="s">
        <v>47</v>
      </c>
      <c r="C38" s="12" t="s">
        <v>56</v>
      </c>
      <c r="D38" s="18">
        <v>4.0</v>
      </c>
      <c r="E38" s="18">
        <v>51.0</v>
      </c>
      <c r="F38" s="18">
        <v>1.0</v>
      </c>
      <c r="G38" s="18">
        <v>12.75</v>
      </c>
      <c r="H38" s="18">
        <v>11.0</v>
      </c>
      <c r="I38" s="18">
        <v>4.0</v>
      </c>
      <c r="J38" s="18">
        <v>4.0</v>
      </c>
      <c r="K38" s="18">
        <v>2.0</v>
      </c>
      <c r="L38" s="18">
        <v>1.0</v>
      </c>
    </row>
    <row r="39" ht="15.75" customHeight="1">
      <c r="A39" s="12" t="s">
        <v>531</v>
      </c>
      <c r="B39" s="12" t="s">
        <v>47</v>
      </c>
      <c r="C39" s="12" t="s">
        <v>56</v>
      </c>
      <c r="D39" s="18">
        <v>4.0</v>
      </c>
      <c r="E39" s="18">
        <v>22.0</v>
      </c>
      <c r="F39" s="18">
        <v>2.0</v>
      </c>
      <c r="G39" s="18">
        <v>5.5</v>
      </c>
      <c r="H39" s="18">
        <v>11.0</v>
      </c>
      <c r="I39" s="18">
        <v>1.0</v>
      </c>
      <c r="J39" s="18">
        <v>1.0</v>
      </c>
      <c r="K39" s="18">
        <v>0.0</v>
      </c>
      <c r="L39" s="18">
        <v>0.0</v>
      </c>
    </row>
    <row r="40" ht="15.75" customHeight="1">
      <c r="A40" s="12" t="s">
        <v>532</v>
      </c>
      <c r="B40" s="12" t="s">
        <v>47</v>
      </c>
      <c r="C40" s="12" t="s">
        <v>56</v>
      </c>
      <c r="D40" s="18">
        <v>2.0</v>
      </c>
      <c r="E40" s="18">
        <v>14.0</v>
      </c>
      <c r="F40" s="18">
        <v>0.0</v>
      </c>
      <c r="G40" s="18">
        <v>7.0</v>
      </c>
      <c r="H40" s="18">
        <v>4.0</v>
      </c>
      <c r="I40" s="18">
        <v>2.0</v>
      </c>
      <c r="J40" s="18">
        <v>0.0</v>
      </c>
      <c r="K40" s="18">
        <v>0.0</v>
      </c>
      <c r="L40" s="18">
        <v>0.0</v>
      </c>
    </row>
    <row r="41" ht="15.75" customHeight="1">
      <c r="A41" s="12" t="s">
        <v>520</v>
      </c>
      <c r="B41" s="12" t="s">
        <v>47</v>
      </c>
      <c r="C41" s="12" t="s">
        <v>56</v>
      </c>
      <c r="D41" s="18">
        <v>1.0</v>
      </c>
      <c r="E41" s="18">
        <v>16.0</v>
      </c>
      <c r="F41" s="18">
        <v>0.0</v>
      </c>
      <c r="G41" s="18">
        <v>16.0</v>
      </c>
      <c r="H41" s="18">
        <v>1.0</v>
      </c>
      <c r="I41" s="18">
        <v>2.0</v>
      </c>
      <c r="J41" s="18">
        <v>1.0</v>
      </c>
      <c r="K41" s="18">
        <v>0.0</v>
      </c>
      <c r="L41" s="18">
        <v>0.0</v>
      </c>
    </row>
    <row r="42" ht="15.75" customHeight="1">
      <c r="A42" s="12" t="s">
        <v>174</v>
      </c>
      <c r="B42" s="12" t="s">
        <v>47</v>
      </c>
      <c r="C42" s="12" t="s">
        <v>56</v>
      </c>
      <c r="D42" s="18">
        <v>4.0</v>
      </c>
      <c r="E42" s="18">
        <v>20.0</v>
      </c>
      <c r="F42" s="18">
        <v>1.0</v>
      </c>
      <c r="G42" s="18">
        <v>5.0</v>
      </c>
      <c r="H42" s="18">
        <v>10.0</v>
      </c>
      <c r="I42" s="18">
        <v>2.0</v>
      </c>
      <c r="J42" s="18">
        <v>0.0</v>
      </c>
      <c r="K42" s="18">
        <v>0.0</v>
      </c>
      <c r="L42" s="18">
        <v>0.0</v>
      </c>
    </row>
    <row r="43" ht="15.75" customHeight="1">
      <c r="A43" s="12" t="s">
        <v>519</v>
      </c>
      <c r="B43" s="12" t="s">
        <v>47</v>
      </c>
      <c r="C43" s="12" t="s">
        <v>56</v>
      </c>
      <c r="D43" s="18">
        <v>2.0</v>
      </c>
      <c r="E43" s="18">
        <v>19.0</v>
      </c>
      <c r="F43" s="18">
        <v>1.0</v>
      </c>
      <c r="G43" s="18">
        <v>9.5</v>
      </c>
      <c r="H43" s="18">
        <v>3.0</v>
      </c>
      <c r="I43" s="18">
        <v>3.0</v>
      </c>
      <c r="J43" s="18">
        <v>0.0</v>
      </c>
      <c r="K43" s="18">
        <v>0.0</v>
      </c>
      <c r="L43" s="18">
        <v>0.0</v>
      </c>
    </row>
    <row r="44" ht="15.75" customHeight="1">
      <c r="A44" s="12" t="s">
        <v>533</v>
      </c>
      <c r="B44" s="12" t="s">
        <v>56</v>
      </c>
      <c r="C44" s="12" t="s">
        <v>47</v>
      </c>
      <c r="D44" s="18">
        <v>3.0</v>
      </c>
      <c r="E44" s="18">
        <v>27.0</v>
      </c>
      <c r="F44" s="18">
        <v>1.0</v>
      </c>
      <c r="G44" s="18">
        <v>9.0</v>
      </c>
      <c r="H44" s="18">
        <v>10.0</v>
      </c>
      <c r="I44" s="18">
        <v>4.0</v>
      </c>
      <c r="J44" s="18">
        <v>1.0</v>
      </c>
      <c r="K44" s="18">
        <v>2.0</v>
      </c>
      <c r="L44" s="18">
        <v>0.0</v>
      </c>
    </row>
    <row r="45" ht="15.75" customHeight="1">
      <c r="A45" s="12" t="s">
        <v>534</v>
      </c>
      <c r="B45" s="12" t="s">
        <v>56</v>
      </c>
      <c r="C45" s="12" t="s">
        <v>47</v>
      </c>
      <c r="D45" s="18">
        <v>4.0</v>
      </c>
      <c r="E45" s="18">
        <v>31.0</v>
      </c>
      <c r="F45" s="18">
        <v>2.0</v>
      </c>
      <c r="G45" s="18">
        <v>7.75</v>
      </c>
      <c r="H45" s="18">
        <v>9.0</v>
      </c>
      <c r="I45" s="18">
        <v>1.0</v>
      </c>
      <c r="J45" s="18">
        <v>2.0</v>
      </c>
      <c r="K45" s="18">
        <v>2.0</v>
      </c>
      <c r="L45" s="18">
        <v>0.0</v>
      </c>
    </row>
    <row r="46" ht="15.75" customHeight="1">
      <c r="A46" s="12" t="s">
        <v>535</v>
      </c>
      <c r="B46" s="12" t="s">
        <v>56</v>
      </c>
      <c r="C46" s="12" t="s">
        <v>47</v>
      </c>
      <c r="D46" s="18">
        <v>4.0</v>
      </c>
      <c r="E46" s="18">
        <v>11.0</v>
      </c>
      <c r="F46" s="18">
        <v>2.0</v>
      </c>
      <c r="G46" s="18">
        <v>2.75</v>
      </c>
      <c r="H46" s="18">
        <v>18.0</v>
      </c>
      <c r="I46" s="18">
        <v>1.0</v>
      </c>
      <c r="J46" s="18">
        <v>0.0</v>
      </c>
      <c r="K46" s="18">
        <v>1.0</v>
      </c>
      <c r="L46" s="18">
        <v>0.0</v>
      </c>
    </row>
    <row r="47" ht="15.75" customHeight="1">
      <c r="A47" s="12" t="s">
        <v>536</v>
      </c>
      <c r="B47" s="12" t="s">
        <v>56</v>
      </c>
      <c r="C47" s="12" t="s">
        <v>47</v>
      </c>
      <c r="D47" s="18">
        <v>4.0</v>
      </c>
      <c r="E47" s="18">
        <v>33.0</v>
      </c>
      <c r="F47" s="18">
        <v>2.0</v>
      </c>
      <c r="G47" s="18">
        <v>8.25</v>
      </c>
      <c r="H47" s="18">
        <v>14.0</v>
      </c>
      <c r="I47" s="18">
        <v>3.0</v>
      </c>
      <c r="J47" s="18">
        <v>2.0</v>
      </c>
      <c r="K47" s="18">
        <v>3.0</v>
      </c>
      <c r="L47" s="18">
        <v>0.0</v>
      </c>
    </row>
    <row r="48" ht="15.75" customHeight="1">
      <c r="A48" s="12" t="s">
        <v>537</v>
      </c>
      <c r="B48" s="12" t="s">
        <v>56</v>
      </c>
      <c r="C48" s="12" t="s">
        <v>47</v>
      </c>
      <c r="D48" s="18">
        <v>3.0</v>
      </c>
      <c r="E48" s="18">
        <v>30.0</v>
      </c>
      <c r="F48" s="18">
        <v>1.0</v>
      </c>
      <c r="G48" s="18">
        <v>10.0</v>
      </c>
      <c r="H48" s="18">
        <v>3.0</v>
      </c>
      <c r="I48" s="18">
        <v>3.0</v>
      </c>
      <c r="J48" s="18">
        <v>1.0</v>
      </c>
      <c r="K48" s="18">
        <v>0.0</v>
      </c>
      <c r="L48" s="18">
        <v>0.0</v>
      </c>
    </row>
    <row r="49" ht="15.75" customHeight="1">
      <c r="A49" s="12" t="s">
        <v>538</v>
      </c>
      <c r="B49" s="12" t="s">
        <v>56</v>
      </c>
      <c r="C49" s="12" t="s">
        <v>47</v>
      </c>
      <c r="D49" s="18">
        <v>2.0</v>
      </c>
      <c r="E49" s="18">
        <v>23.0</v>
      </c>
      <c r="F49" s="18">
        <v>0.0</v>
      </c>
      <c r="G49" s="18">
        <v>11.5</v>
      </c>
      <c r="H49" s="18">
        <v>4.0</v>
      </c>
      <c r="I49" s="18">
        <v>3.0</v>
      </c>
      <c r="J49" s="18">
        <v>1.0</v>
      </c>
      <c r="K49" s="18">
        <v>0.0</v>
      </c>
      <c r="L49" s="18">
        <v>0.0</v>
      </c>
    </row>
    <row r="50" ht="15.75" customHeight="1">
      <c r="A50" s="12" t="s">
        <v>167</v>
      </c>
      <c r="B50" s="12" t="s">
        <v>47</v>
      </c>
      <c r="C50" s="12" t="s">
        <v>56</v>
      </c>
      <c r="D50" s="18">
        <v>4.0</v>
      </c>
      <c r="E50" s="18">
        <v>25.0</v>
      </c>
      <c r="F50" s="18">
        <v>1.0</v>
      </c>
      <c r="G50" s="18">
        <v>6.25</v>
      </c>
      <c r="H50" s="18">
        <v>9.0</v>
      </c>
      <c r="I50" s="18">
        <v>3.0</v>
      </c>
      <c r="J50" s="18">
        <v>0.0</v>
      </c>
      <c r="K50" s="18">
        <v>1.0</v>
      </c>
      <c r="L50" s="18">
        <v>0.0</v>
      </c>
    </row>
    <row r="51" ht="15.75" customHeight="1">
      <c r="A51" s="12" t="s">
        <v>531</v>
      </c>
      <c r="B51" s="12" t="s">
        <v>47</v>
      </c>
      <c r="C51" s="12" t="s">
        <v>56</v>
      </c>
      <c r="D51" s="18">
        <v>3.0</v>
      </c>
      <c r="E51" s="18">
        <v>17.0</v>
      </c>
      <c r="F51" s="18">
        <v>1.0</v>
      </c>
      <c r="G51" s="18">
        <v>5.66</v>
      </c>
      <c r="H51" s="18">
        <v>11.0</v>
      </c>
      <c r="I51" s="18">
        <v>1.0</v>
      </c>
      <c r="J51" s="18">
        <v>0.0</v>
      </c>
      <c r="K51" s="18">
        <v>1.0</v>
      </c>
      <c r="L51" s="18">
        <v>0.0</v>
      </c>
    </row>
    <row r="52" ht="15.75" customHeight="1">
      <c r="A52" s="12" t="s">
        <v>521</v>
      </c>
      <c r="B52" s="12" t="s">
        <v>47</v>
      </c>
      <c r="C52" s="12" t="s">
        <v>56</v>
      </c>
      <c r="D52" s="18">
        <v>2.0</v>
      </c>
      <c r="E52" s="18">
        <v>4.0</v>
      </c>
      <c r="F52" s="18">
        <v>1.0</v>
      </c>
      <c r="G52" s="18">
        <v>2.0</v>
      </c>
      <c r="H52" s="18">
        <v>10.0</v>
      </c>
      <c r="I52" s="18">
        <v>0.0</v>
      </c>
      <c r="J52" s="18">
        <v>0.0</v>
      </c>
      <c r="K52" s="18">
        <v>1.0</v>
      </c>
      <c r="L52" s="18">
        <v>0.0</v>
      </c>
    </row>
    <row r="53" ht="15.75" customHeight="1">
      <c r="A53" s="12" t="s">
        <v>532</v>
      </c>
      <c r="B53" s="12" t="s">
        <v>47</v>
      </c>
      <c r="C53" s="12" t="s">
        <v>56</v>
      </c>
      <c r="D53" s="18">
        <v>4.0</v>
      </c>
      <c r="E53" s="18">
        <v>17.0</v>
      </c>
      <c r="F53" s="18">
        <v>1.0</v>
      </c>
      <c r="G53" s="18">
        <v>4.25</v>
      </c>
      <c r="H53" s="18">
        <v>9.0</v>
      </c>
      <c r="I53" s="18">
        <v>0.0</v>
      </c>
      <c r="J53" s="18">
        <v>0.0</v>
      </c>
      <c r="K53" s="18">
        <v>0.0</v>
      </c>
      <c r="L53" s="18">
        <v>0.0</v>
      </c>
    </row>
    <row r="54" ht="15.75" customHeight="1">
      <c r="A54" s="12" t="s">
        <v>174</v>
      </c>
      <c r="B54" s="12" t="s">
        <v>47</v>
      </c>
      <c r="C54" s="12" t="s">
        <v>56</v>
      </c>
      <c r="D54" s="18">
        <v>4.0</v>
      </c>
      <c r="E54" s="18">
        <v>17.0</v>
      </c>
      <c r="F54" s="18">
        <v>1.0</v>
      </c>
      <c r="G54" s="18">
        <v>4.25</v>
      </c>
      <c r="H54" s="18">
        <v>10.0</v>
      </c>
      <c r="I54" s="18">
        <v>1.0</v>
      </c>
      <c r="J54" s="18">
        <v>0.0</v>
      </c>
      <c r="K54" s="18">
        <v>0.0</v>
      </c>
      <c r="L54" s="18">
        <v>0.0</v>
      </c>
    </row>
    <row r="55" ht="15.75" customHeight="1">
      <c r="A55" s="12" t="s">
        <v>529</v>
      </c>
      <c r="B55" s="12" t="s">
        <v>47</v>
      </c>
      <c r="C55" s="12" t="s">
        <v>56</v>
      </c>
      <c r="D55" s="18">
        <v>2.0</v>
      </c>
      <c r="E55" s="18">
        <v>7.0</v>
      </c>
      <c r="F55" s="18">
        <v>2.0</v>
      </c>
      <c r="G55" s="18">
        <v>3.5</v>
      </c>
      <c r="H55" s="18">
        <v>7.0</v>
      </c>
      <c r="I55" s="18">
        <v>0.0</v>
      </c>
      <c r="J55" s="18">
        <v>0.0</v>
      </c>
      <c r="K55" s="18">
        <v>0.0</v>
      </c>
      <c r="L55" s="18">
        <v>0.0</v>
      </c>
    </row>
    <row r="56" ht="15.75" customHeight="1">
      <c r="A56" s="12" t="s">
        <v>519</v>
      </c>
      <c r="B56" s="12" t="s">
        <v>47</v>
      </c>
      <c r="C56" s="12" t="s">
        <v>56</v>
      </c>
      <c r="D56" s="18">
        <v>1.0</v>
      </c>
      <c r="E56" s="18">
        <v>11.0</v>
      </c>
      <c r="F56" s="18">
        <v>0.0</v>
      </c>
      <c r="G56" s="18">
        <v>11.0</v>
      </c>
      <c r="H56" s="18">
        <v>0.0</v>
      </c>
      <c r="I56" s="18">
        <v>1.0</v>
      </c>
      <c r="J56" s="18">
        <v>0.0</v>
      </c>
      <c r="K56" s="18">
        <v>2.0</v>
      </c>
      <c r="L56" s="18">
        <v>0.0</v>
      </c>
    </row>
    <row r="57" ht="15.75" customHeight="1">
      <c r="A57" s="12" t="s">
        <v>533</v>
      </c>
      <c r="B57" s="12" t="s">
        <v>56</v>
      </c>
      <c r="C57" s="12" t="s">
        <v>47</v>
      </c>
      <c r="D57" s="18">
        <v>1.0</v>
      </c>
      <c r="E57" s="18">
        <v>8.0</v>
      </c>
      <c r="F57" s="18">
        <v>0.0</v>
      </c>
      <c r="G57" s="18">
        <v>8.0</v>
      </c>
      <c r="H57" s="18">
        <v>3.0</v>
      </c>
      <c r="I57" s="18">
        <v>1.0</v>
      </c>
      <c r="J57" s="18">
        <v>0.0</v>
      </c>
      <c r="K57" s="18">
        <v>0.0</v>
      </c>
      <c r="L57" s="18">
        <v>0.0</v>
      </c>
    </row>
    <row r="58" ht="15.75" customHeight="1">
      <c r="A58" s="12" t="s">
        <v>534</v>
      </c>
      <c r="B58" s="12" t="s">
        <v>56</v>
      </c>
      <c r="C58" s="12" t="s">
        <v>47</v>
      </c>
      <c r="D58" s="18">
        <v>4.0</v>
      </c>
      <c r="E58" s="18">
        <v>13.0</v>
      </c>
      <c r="F58" s="18">
        <v>1.0</v>
      </c>
      <c r="G58" s="18">
        <v>3.25</v>
      </c>
      <c r="H58" s="18">
        <v>14.0</v>
      </c>
      <c r="I58" s="18">
        <v>1.0</v>
      </c>
      <c r="J58" s="18">
        <v>0.0</v>
      </c>
      <c r="K58" s="18">
        <v>0.0</v>
      </c>
      <c r="L58" s="18">
        <v>0.0</v>
      </c>
    </row>
    <row r="59" ht="15.75" customHeight="1">
      <c r="A59" s="12" t="s">
        <v>535</v>
      </c>
      <c r="B59" s="12" t="s">
        <v>56</v>
      </c>
      <c r="C59" s="12" t="s">
        <v>47</v>
      </c>
      <c r="D59" s="18">
        <v>4.0</v>
      </c>
      <c r="E59" s="18">
        <v>20.0</v>
      </c>
      <c r="F59" s="18">
        <v>0.0</v>
      </c>
      <c r="G59" s="18">
        <v>5.0</v>
      </c>
      <c r="H59" s="18">
        <v>10.0</v>
      </c>
      <c r="I59" s="18">
        <v>1.0</v>
      </c>
      <c r="J59" s="18">
        <v>0.0</v>
      </c>
      <c r="K59" s="18">
        <v>3.0</v>
      </c>
      <c r="L59" s="18">
        <v>0.0</v>
      </c>
    </row>
    <row r="60" ht="15.75" customHeight="1">
      <c r="A60" s="12" t="s">
        <v>488</v>
      </c>
      <c r="B60" s="12" t="s">
        <v>56</v>
      </c>
      <c r="C60" s="12" t="s">
        <v>47</v>
      </c>
      <c r="D60" s="18">
        <v>4.0</v>
      </c>
      <c r="E60" s="18">
        <v>17.0</v>
      </c>
      <c r="F60" s="18">
        <v>0.0</v>
      </c>
      <c r="G60" s="18">
        <v>4.25</v>
      </c>
      <c r="H60" s="18">
        <v>15.0</v>
      </c>
      <c r="I60" s="18">
        <v>2.0</v>
      </c>
      <c r="J60" s="18">
        <v>0.0</v>
      </c>
      <c r="K60" s="18">
        <v>1.0</v>
      </c>
      <c r="L60" s="18">
        <v>0.0</v>
      </c>
    </row>
    <row r="61" ht="15.75" customHeight="1">
      <c r="A61" s="12" t="s">
        <v>537</v>
      </c>
      <c r="B61" s="12" t="s">
        <v>56</v>
      </c>
      <c r="C61" s="12" t="s">
        <v>47</v>
      </c>
      <c r="D61" s="18">
        <v>4.0</v>
      </c>
      <c r="E61" s="18">
        <v>24.0</v>
      </c>
      <c r="F61" s="18">
        <v>1.0</v>
      </c>
      <c r="G61" s="18">
        <v>6.0</v>
      </c>
      <c r="H61" s="18">
        <v>8.0</v>
      </c>
      <c r="I61" s="18">
        <v>1.0</v>
      </c>
      <c r="J61" s="18">
        <v>0.0</v>
      </c>
      <c r="K61" s="18">
        <v>2.0</v>
      </c>
      <c r="L61" s="18">
        <v>0.0</v>
      </c>
    </row>
    <row r="62" ht="15.75" customHeight="1">
      <c r="A62" s="12" t="s">
        <v>539</v>
      </c>
      <c r="B62" s="12" t="s">
        <v>56</v>
      </c>
      <c r="C62" s="12" t="s">
        <v>47</v>
      </c>
      <c r="D62" s="18">
        <v>1.0</v>
      </c>
      <c r="E62" s="18">
        <v>4.0</v>
      </c>
      <c r="F62" s="18">
        <v>0.0</v>
      </c>
      <c r="G62" s="18">
        <v>4.0</v>
      </c>
      <c r="H62" s="18">
        <v>3.0</v>
      </c>
      <c r="I62" s="18">
        <v>0.0</v>
      </c>
      <c r="J62" s="18">
        <v>0.0</v>
      </c>
      <c r="K62" s="18">
        <v>0.0</v>
      </c>
      <c r="L62" s="18">
        <v>0.0</v>
      </c>
    </row>
    <row r="63" ht="15.75" customHeight="1">
      <c r="A63" s="12" t="s">
        <v>536</v>
      </c>
      <c r="B63" s="12" t="s">
        <v>56</v>
      </c>
      <c r="C63" s="12" t="s">
        <v>47</v>
      </c>
      <c r="D63" s="18">
        <v>1.0</v>
      </c>
      <c r="E63" s="18">
        <v>7.0</v>
      </c>
      <c r="F63" s="18">
        <v>0.0</v>
      </c>
      <c r="G63" s="18">
        <v>7.0</v>
      </c>
      <c r="H63" s="18">
        <v>2.0</v>
      </c>
      <c r="I63" s="18">
        <v>1.0</v>
      </c>
      <c r="J63" s="18">
        <v>0.0</v>
      </c>
      <c r="K63" s="18">
        <v>0.0</v>
      </c>
      <c r="L63" s="18">
        <v>0.0</v>
      </c>
    </row>
    <row r="64" ht="15.75" customHeight="1">
      <c r="A64" s="12" t="s">
        <v>538</v>
      </c>
      <c r="B64" s="12" t="s">
        <v>56</v>
      </c>
      <c r="C64" s="12" t="s">
        <v>47</v>
      </c>
      <c r="D64" s="18">
        <v>0.5</v>
      </c>
      <c r="E64" s="18">
        <v>7.0</v>
      </c>
      <c r="F64" s="18">
        <v>0.0</v>
      </c>
      <c r="G64" s="18">
        <v>8.4</v>
      </c>
      <c r="H64" s="18">
        <v>1.0</v>
      </c>
      <c r="I64" s="18">
        <v>1.0</v>
      </c>
      <c r="J64" s="18">
        <v>0.0</v>
      </c>
      <c r="K64" s="18">
        <v>0.0</v>
      </c>
      <c r="L64" s="18">
        <v>0.0</v>
      </c>
    </row>
    <row r="65" ht="15.75" customHeight="1">
      <c r="A65" s="12" t="s">
        <v>540</v>
      </c>
      <c r="B65" s="12" t="s">
        <v>56</v>
      </c>
      <c r="C65" s="12" t="s">
        <v>47</v>
      </c>
      <c r="D65" s="18">
        <v>4.0</v>
      </c>
      <c r="E65" s="18">
        <v>42.0</v>
      </c>
      <c r="F65" s="18">
        <v>0.0</v>
      </c>
      <c r="G65" s="18">
        <v>10.5</v>
      </c>
      <c r="H65" s="18">
        <v>8.0</v>
      </c>
      <c r="I65" s="18">
        <v>3.0</v>
      </c>
      <c r="J65" s="18">
        <v>3.0</v>
      </c>
      <c r="K65" s="18">
        <v>0.0</v>
      </c>
      <c r="L65" s="18">
        <v>0.0</v>
      </c>
    </row>
    <row r="66" ht="15.75" customHeight="1">
      <c r="A66" s="12" t="s">
        <v>534</v>
      </c>
      <c r="B66" s="12" t="s">
        <v>56</v>
      </c>
      <c r="C66" s="12" t="s">
        <v>47</v>
      </c>
      <c r="D66" s="18">
        <v>1.0</v>
      </c>
      <c r="E66" s="18">
        <v>8.0</v>
      </c>
      <c r="F66" s="18">
        <v>1.0</v>
      </c>
      <c r="G66" s="18">
        <v>8.0</v>
      </c>
      <c r="H66" s="18">
        <v>1.0</v>
      </c>
      <c r="I66" s="18">
        <v>1.0</v>
      </c>
      <c r="J66" s="18">
        <v>0.0</v>
      </c>
      <c r="K66" s="18">
        <v>0.0</v>
      </c>
      <c r="L66" s="18">
        <v>0.0</v>
      </c>
    </row>
    <row r="67" ht="15.75" customHeight="1">
      <c r="A67" s="12" t="s">
        <v>536</v>
      </c>
      <c r="B67" s="12" t="s">
        <v>56</v>
      </c>
      <c r="C67" s="12" t="s">
        <v>47</v>
      </c>
      <c r="D67" s="18">
        <v>4.0</v>
      </c>
      <c r="E67" s="18">
        <v>54.0</v>
      </c>
      <c r="F67" s="18">
        <v>0.0</v>
      </c>
      <c r="G67" s="18">
        <v>13.5</v>
      </c>
      <c r="H67" s="18">
        <v>6.0</v>
      </c>
      <c r="I67" s="18">
        <v>5.0</v>
      </c>
      <c r="J67" s="18">
        <v>4.0</v>
      </c>
      <c r="K67" s="18">
        <v>1.0</v>
      </c>
      <c r="L67" s="18">
        <v>0.0</v>
      </c>
    </row>
    <row r="68" ht="15.75" customHeight="1">
      <c r="A68" s="12" t="s">
        <v>538</v>
      </c>
      <c r="B68" s="12" t="s">
        <v>56</v>
      </c>
      <c r="C68" s="12" t="s">
        <v>47</v>
      </c>
      <c r="D68" s="18">
        <v>3.0</v>
      </c>
      <c r="E68" s="18">
        <v>50.0</v>
      </c>
      <c r="F68" s="18">
        <v>1.0</v>
      </c>
      <c r="G68" s="18">
        <v>16.66</v>
      </c>
      <c r="H68" s="18">
        <v>3.0</v>
      </c>
      <c r="I68" s="18">
        <v>6.0</v>
      </c>
      <c r="J68" s="18">
        <v>3.0</v>
      </c>
      <c r="K68" s="18">
        <v>2.0</v>
      </c>
      <c r="L68" s="18">
        <v>0.0</v>
      </c>
    </row>
    <row r="69" ht="15.75" customHeight="1">
      <c r="A69" s="12" t="s">
        <v>537</v>
      </c>
      <c r="B69" s="12" t="s">
        <v>56</v>
      </c>
      <c r="C69" s="12" t="s">
        <v>47</v>
      </c>
      <c r="D69" s="18">
        <v>3.0</v>
      </c>
      <c r="E69" s="18">
        <v>34.0</v>
      </c>
      <c r="F69" s="18">
        <v>1.0</v>
      </c>
      <c r="G69" s="18">
        <v>11.33</v>
      </c>
      <c r="H69" s="18">
        <v>3.0</v>
      </c>
      <c r="I69" s="18">
        <v>2.0</v>
      </c>
      <c r="J69" s="18">
        <v>2.0</v>
      </c>
      <c r="K69" s="18">
        <v>0.0</v>
      </c>
      <c r="L69" s="18">
        <v>0.0</v>
      </c>
    </row>
    <row r="70" ht="15.75" customHeight="1">
      <c r="A70" s="12" t="s">
        <v>535</v>
      </c>
      <c r="B70" s="12" t="s">
        <v>56</v>
      </c>
      <c r="C70" s="12" t="s">
        <v>47</v>
      </c>
      <c r="D70" s="18">
        <v>4.0</v>
      </c>
      <c r="E70" s="18">
        <v>37.0</v>
      </c>
      <c r="F70" s="18">
        <v>0.0</v>
      </c>
      <c r="G70" s="18">
        <v>9.25</v>
      </c>
      <c r="H70" s="18">
        <v>5.0</v>
      </c>
      <c r="I70" s="18">
        <v>4.0</v>
      </c>
      <c r="J70" s="18">
        <v>1.0</v>
      </c>
      <c r="K70" s="18">
        <v>0.0</v>
      </c>
      <c r="L70" s="18">
        <v>0.0</v>
      </c>
    </row>
    <row r="71" ht="15.75" customHeight="1">
      <c r="A71" s="12" t="s">
        <v>491</v>
      </c>
      <c r="B71" s="12" t="s">
        <v>56</v>
      </c>
      <c r="C71" s="12" t="s">
        <v>47</v>
      </c>
      <c r="D71" s="18">
        <v>1.0</v>
      </c>
      <c r="E71" s="18">
        <v>6.0</v>
      </c>
      <c r="F71" s="18">
        <v>1.0</v>
      </c>
      <c r="G71" s="18">
        <v>6.0</v>
      </c>
      <c r="H71" s="18">
        <v>2.0</v>
      </c>
      <c r="I71" s="18">
        <v>0.0</v>
      </c>
      <c r="J71" s="18">
        <v>0.0</v>
      </c>
      <c r="K71" s="18">
        <v>1.0</v>
      </c>
      <c r="L71" s="18">
        <v>0.0</v>
      </c>
    </row>
    <row r="72" ht="15.75" customHeight="1">
      <c r="A72" s="12" t="s">
        <v>167</v>
      </c>
      <c r="B72" s="12" t="s">
        <v>47</v>
      </c>
      <c r="C72" s="12" t="s">
        <v>56</v>
      </c>
      <c r="D72" s="18">
        <v>4.0</v>
      </c>
      <c r="E72" s="18">
        <v>16.0</v>
      </c>
      <c r="F72" s="18">
        <v>4.0</v>
      </c>
      <c r="G72" s="18">
        <v>4.0</v>
      </c>
      <c r="H72" s="18">
        <v>14.0</v>
      </c>
      <c r="I72" s="18">
        <v>0.0</v>
      </c>
      <c r="J72" s="18">
        <v>1.0</v>
      </c>
      <c r="K72" s="18">
        <v>0.0</v>
      </c>
      <c r="L72" s="18">
        <v>0.0</v>
      </c>
    </row>
    <row r="73" ht="15.75" customHeight="1">
      <c r="A73" s="12" t="s">
        <v>529</v>
      </c>
      <c r="B73" s="12" t="s">
        <v>47</v>
      </c>
      <c r="C73" s="12" t="s">
        <v>56</v>
      </c>
      <c r="D73" s="18">
        <v>3.0</v>
      </c>
      <c r="E73" s="18">
        <v>16.0</v>
      </c>
      <c r="F73" s="18">
        <v>2.0</v>
      </c>
      <c r="G73" s="18">
        <v>5.33</v>
      </c>
      <c r="H73" s="18">
        <v>10.0</v>
      </c>
      <c r="I73" s="18">
        <v>1.0</v>
      </c>
      <c r="J73" s="18">
        <v>1.0</v>
      </c>
      <c r="K73" s="18">
        <v>0.0</v>
      </c>
      <c r="L73" s="18">
        <v>0.0</v>
      </c>
    </row>
    <row r="74" ht="15.75" customHeight="1">
      <c r="A74" s="12" t="s">
        <v>520</v>
      </c>
      <c r="B74" s="12" t="s">
        <v>47</v>
      </c>
      <c r="C74" s="12" t="s">
        <v>56</v>
      </c>
      <c r="D74" s="18">
        <v>2.1</v>
      </c>
      <c r="E74" s="18">
        <v>9.0</v>
      </c>
      <c r="F74" s="18">
        <v>2.0</v>
      </c>
      <c r="G74" s="18">
        <v>4.15</v>
      </c>
      <c r="H74" s="18">
        <v>9.0</v>
      </c>
      <c r="I74" s="18">
        <v>1.0</v>
      </c>
      <c r="J74" s="18">
        <v>0.0</v>
      </c>
      <c r="K74" s="18">
        <v>1.0</v>
      </c>
      <c r="L74" s="18">
        <v>0.0</v>
      </c>
    </row>
    <row r="75" ht="15.75" customHeight="1">
      <c r="A75" s="12" t="s">
        <v>174</v>
      </c>
      <c r="B75" s="12" t="s">
        <v>47</v>
      </c>
      <c r="C75" s="12" t="s">
        <v>56</v>
      </c>
      <c r="D75" s="18">
        <v>1.0</v>
      </c>
      <c r="E75" s="18">
        <v>12.0</v>
      </c>
      <c r="F75" s="18">
        <v>0.0</v>
      </c>
      <c r="G75" s="18">
        <v>12.0</v>
      </c>
      <c r="H75" s="18">
        <v>1.0</v>
      </c>
      <c r="I75" s="18">
        <v>0.0</v>
      </c>
      <c r="J75" s="18">
        <v>1.0</v>
      </c>
      <c r="K75" s="18">
        <v>0.0</v>
      </c>
      <c r="L75" s="18">
        <v>0.0</v>
      </c>
    </row>
    <row r="76" ht="15.75" customHeight="1">
      <c r="A76" s="12" t="s">
        <v>519</v>
      </c>
      <c r="B76" s="12" t="s">
        <v>47</v>
      </c>
      <c r="C76" s="12" t="s">
        <v>56</v>
      </c>
      <c r="D76" s="18">
        <v>2.0</v>
      </c>
      <c r="E76" s="18">
        <v>12.0</v>
      </c>
      <c r="F76" s="18">
        <v>2.0</v>
      </c>
      <c r="G76" s="18">
        <v>6.0</v>
      </c>
      <c r="H76" s="18">
        <v>7.0</v>
      </c>
      <c r="I76" s="18">
        <v>0.0</v>
      </c>
      <c r="J76" s="18">
        <v>1.0</v>
      </c>
      <c r="K76" s="18">
        <v>1.0</v>
      </c>
      <c r="L76" s="18">
        <v>0.0</v>
      </c>
    </row>
    <row r="77" ht="15.75" customHeight="1">
      <c r="A77" s="12" t="s">
        <v>541</v>
      </c>
      <c r="B77" s="12" t="s">
        <v>61</v>
      </c>
      <c r="C77" s="12" t="s">
        <v>58</v>
      </c>
      <c r="D77" s="18">
        <v>4.0</v>
      </c>
      <c r="E77" s="18">
        <v>31.0</v>
      </c>
      <c r="F77" s="18">
        <v>1.0</v>
      </c>
      <c r="G77" s="18">
        <v>7.75</v>
      </c>
      <c r="H77" s="18">
        <v>7.0</v>
      </c>
      <c r="I77" s="18">
        <v>3.0</v>
      </c>
      <c r="J77" s="18">
        <v>1.0</v>
      </c>
      <c r="K77" s="18">
        <v>0.0</v>
      </c>
      <c r="L77" s="18">
        <v>0.0</v>
      </c>
    </row>
    <row r="78" ht="15.75" customHeight="1">
      <c r="A78" s="12" t="s">
        <v>542</v>
      </c>
      <c r="B78" s="12" t="s">
        <v>61</v>
      </c>
      <c r="C78" s="12" t="s">
        <v>58</v>
      </c>
      <c r="D78" s="18">
        <v>4.0</v>
      </c>
      <c r="E78" s="18">
        <v>35.0</v>
      </c>
      <c r="F78" s="18">
        <v>1.0</v>
      </c>
      <c r="G78" s="18">
        <v>8.75</v>
      </c>
      <c r="H78" s="18">
        <v>6.0</v>
      </c>
      <c r="I78" s="18">
        <v>5.0</v>
      </c>
      <c r="J78" s="18">
        <v>0.0</v>
      </c>
      <c r="K78" s="18">
        <v>0.0</v>
      </c>
      <c r="L78" s="18">
        <v>0.0</v>
      </c>
    </row>
    <row r="79" ht="15.75" customHeight="1">
      <c r="A79" s="12" t="s">
        <v>543</v>
      </c>
      <c r="B79" s="12" t="s">
        <v>61</v>
      </c>
      <c r="C79" s="12" t="s">
        <v>58</v>
      </c>
      <c r="D79" s="18">
        <v>4.0</v>
      </c>
      <c r="E79" s="18">
        <v>34.0</v>
      </c>
      <c r="F79" s="18">
        <v>1.0</v>
      </c>
      <c r="G79" s="18">
        <v>8.5</v>
      </c>
      <c r="H79" s="18">
        <v>9.0</v>
      </c>
      <c r="I79" s="18">
        <v>3.0</v>
      </c>
      <c r="J79" s="18">
        <v>1.0</v>
      </c>
      <c r="K79" s="18">
        <v>3.0</v>
      </c>
      <c r="L79" s="18">
        <v>0.0</v>
      </c>
    </row>
    <row r="80" ht="15.75" customHeight="1">
      <c r="A80" s="12" t="s">
        <v>507</v>
      </c>
      <c r="B80" s="12" t="s">
        <v>61</v>
      </c>
      <c r="C80" s="12" t="s">
        <v>58</v>
      </c>
      <c r="D80" s="18">
        <v>4.0</v>
      </c>
      <c r="E80" s="18">
        <v>26.0</v>
      </c>
      <c r="F80" s="18">
        <v>1.0</v>
      </c>
      <c r="G80" s="18">
        <v>6.5</v>
      </c>
      <c r="H80" s="18">
        <v>7.0</v>
      </c>
      <c r="I80" s="18">
        <v>1.0</v>
      </c>
      <c r="J80" s="18">
        <v>1.0</v>
      </c>
      <c r="K80" s="18">
        <v>0.0</v>
      </c>
      <c r="L80" s="18">
        <v>0.0</v>
      </c>
    </row>
    <row r="81" ht="15.75" customHeight="1">
      <c r="A81" s="12" t="s">
        <v>544</v>
      </c>
      <c r="B81" s="12" t="s">
        <v>61</v>
      </c>
      <c r="C81" s="12" t="s">
        <v>58</v>
      </c>
      <c r="D81" s="18">
        <v>4.0</v>
      </c>
      <c r="E81" s="18">
        <v>26.0</v>
      </c>
      <c r="F81" s="18">
        <v>2.0</v>
      </c>
      <c r="G81" s="18">
        <v>6.5</v>
      </c>
      <c r="H81" s="18">
        <v>9.0</v>
      </c>
      <c r="I81" s="18">
        <v>0.0</v>
      </c>
      <c r="J81" s="18">
        <v>2.0</v>
      </c>
      <c r="K81" s="18">
        <v>0.0</v>
      </c>
      <c r="L81" s="18">
        <v>0.0</v>
      </c>
    </row>
    <row r="82" ht="15.75" customHeight="1">
      <c r="A82" s="12" t="s">
        <v>545</v>
      </c>
      <c r="B82" s="12" t="s">
        <v>58</v>
      </c>
      <c r="C82" s="12" t="s">
        <v>61</v>
      </c>
      <c r="D82" s="18">
        <v>2.0</v>
      </c>
      <c r="E82" s="18">
        <v>18.0</v>
      </c>
      <c r="F82" s="18">
        <v>0.0</v>
      </c>
      <c r="G82" s="18">
        <v>9.0</v>
      </c>
      <c r="H82" s="18">
        <v>3.0</v>
      </c>
      <c r="I82" s="18">
        <v>3.0</v>
      </c>
      <c r="J82" s="18">
        <v>0.0</v>
      </c>
      <c r="K82" s="18">
        <v>0.0</v>
      </c>
      <c r="L82" s="18">
        <v>0.0</v>
      </c>
    </row>
    <row r="83" ht="15.75" customHeight="1">
      <c r="A83" s="12" t="s">
        <v>546</v>
      </c>
      <c r="B83" s="12" t="s">
        <v>58</v>
      </c>
      <c r="C83" s="12" t="s">
        <v>61</v>
      </c>
      <c r="D83" s="18">
        <v>2.0</v>
      </c>
      <c r="E83" s="18">
        <v>21.0</v>
      </c>
      <c r="F83" s="18">
        <v>0.0</v>
      </c>
      <c r="G83" s="18">
        <v>10.5</v>
      </c>
      <c r="H83" s="18">
        <v>4.0</v>
      </c>
      <c r="I83" s="18">
        <v>4.0</v>
      </c>
      <c r="J83" s="18">
        <v>0.0</v>
      </c>
      <c r="K83" s="18">
        <v>0.0</v>
      </c>
      <c r="L83" s="18">
        <v>0.0</v>
      </c>
    </row>
    <row r="84" ht="15.75" customHeight="1">
      <c r="A84" s="12" t="s">
        <v>547</v>
      </c>
      <c r="B84" s="12" t="s">
        <v>58</v>
      </c>
      <c r="C84" s="12" t="s">
        <v>61</v>
      </c>
      <c r="D84" s="18">
        <v>3.0</v>
      </c>
      <c r="E84" s="18">
        <v>27.0</v>
      </c>
      <c r="F84" s="18">
        <v>1.0</v>
      </c>
      <c r="G84" s="18">
        <v>9.0</v>
      </c>
      <c r="H84" s="18">
        <v>4.0</v>
      </c>
      <c r="I84" s="18">
        <v>3.0</v>
      </c>
      <c r="J84" s="18">
        <v>0.0</v>
      </c>
      <c r="K84" s="18">
        <v>1.0</v>
      </c>
      <c r="L84" s="18">
        <v>0.0</v>
      </c>
    </row>
    <row r="85" ht="15.75" customHeight="1">
      <c r="A85" s="12" t="s">
        <v>548</v>
      </c>
      <c r="B85" s="12" t="s">
        <v>58</v>
      </c>
      <c r="C85" s="12" t="s">
        <v>61</v>
      </c>
      <c r="D85" s="18">
        <v>3.0</v>
      </c>
      <c r="E85" s="18">
        <v>25.0</v>
      </c>
      <c r="F85" s="18">
        <v>1.0</v>
      </c>
      <c r="G85" s="18">
        <v>8.33</v>
      </c>
      <c r="H85" s="18">
        <v>7.0</v>
      </c>
      <c r="I85" s="18">
        <v>2.0</v>
      </c>
      <c r="J85" s="18">
        <v>1.0</v>
      </c>
      <c r="K85" s="18">
        <v>0.0</v>
      </c>
      <c r="L85" s="18">
        <v>0.0</v>
      </c>
    </row>
    <row r="86" ht="15.75" customHeight="1">
      <c r="A86" s="12" t="s">
        <v>549</v>
      </c>
      <c r="B86" s="12" t="s">
        <v>58</v>
      </c>
      <c r="C86" s="12" t="s">
        <v>61</v>
      </c>
      <c r="D86" s="18">
        <v>2.0</v>
      </c>
      <c r="E86" s="18">
        <v>24.0</v>
      </c>
      <c r="F86" s="18">
        <v>1.0</v>
      </c>
      <c r="G86" s="18">
        <v>12.0</v>
      </c>
      <c r="H86" s="18">
        <v>3.0</v>
      </c>
      <c r="I86" s="18">
        <v>5.0</v>
      </c>
      <c r="J86" s="18">
        <v>0.0</v>
      </c>
      <c r="K86" s="18">
        <v>0.0</v>
      </c>
      <c r="L86" s="18">
        <v>0.0</v>
      </c>
    </row>
    <row r="87" ht="15.75" customHeight="1">
      <c r="A87" s="12" t="s">
        <v>496</v>
      </c>
      <c r="B87" s="12" t="s">
        <v>58</v>
      </c>
      <c r="C87" s="12" t="s">
        <v>61</v>
      </c>
      <c r="D87" s="18">
        <v>4.0</v>
      </c>
      <c r="E87" s="18">
        <v>27.0</v>
      </c>
      <c r="F87" s="18">
        <v>1.0</v>
      </c>
      <c r="G87" s="18">
        <v>6.75</v>
      </c>
      <c r="H87" s="18">
        <v>10.0</v>
      </c>
      <c r="I87" s="18">
        <v>4.0</v>
      </c>
      <c r="J87" s="18">
        <v>0.0</v>
      </c>
      <c r="K87" s="18">
        <v>0.0</v>
      </c>
      <c r="L87" s="18">
        <v>0.0</v>
      </c>
    </row>
    <row r="88" ht="15.75" customHeight="1">
      <c r="A88" s="12" t="s">
        <v>550</v>
      </c>
      <c r="B88" s="12" t="s">
        <v>58</v>
      </c>
      <c r="C88" s="12" t="s">
        <v>61</v>
      </c>
      <c r="D88" s="18">
        <v>2.0</v>
      </c>
      <c r="E88" s="18">
        <v>16.0</v>
      </c>
      <c r="F88" s="18">
        <v>0.0</v>
      </c>
      <c r="G88" s="18">
        <v>8.0</v>
      </c>
      <c r="H88" s="18">
        <v>5.0</v>
      </c>
      <c r="I88" s="18">
        <v>3.0</v>
      </c>
      <c r="J88" s="18">
        <v>0.0</v>
      </c>
      <c r="K88" s="18">
        <v>0.0</v>
      </c>
      <c r="L88" s="18">
        <v>0.0</v>
      </c>
    </row>
    <row r="89" ht="15.75" customHeight="1">
      <c r="A89" s="12" t="s">
        <v>542</v>
      </c>
      <c r="B89" s="12" t="s">
        <v>61</v>
      </c>
      <c r="C89" s="12" t="s">
        <v>58</v>
      </c>
      <c r="D89" s="18">
        <v>4.0</v>
      </c>
      <c r="E89" s="18">
        <v>27.0</v>
      </c>
      <c r="F89" s="18">
        <v>1.0</v>
      </c>
      <c r="G89" s="18">
        <v>6.75</v>
      </c>
      <c r="H89" s="18">
        <v>12.0</v>
      </c>
      <c r="I89" s="18">
        <v>4.0</v>
      </c>
      <c r="J89" s="18">
        <v>0.0</v>
      </c>
      <c r="K89" s="18">
        <v>3.0</v>
      </c>
      <c r="L89" s="18">
        <v>0.0</v>
      </c>
    </row>
    <row r="90" ht="15.75" customHeight="1">
      <c r="A90" s="12" t="s">
        <v>543</v>
      </c>
      <c r="B90" s="12" t="s">
        <v>61</v>
      </c>
      <c r="C90" s="12" t="s">
        <v>58</v>
      </c>
      <c r="D90" s="18">
        <v>4.0</v>
      </c>
      <c r="E90" s="18">
        <v>19.0</v>
      </c>
      <c r="F90" s="18">
        <v>1.0</v>
      </c>
      <c r="G90" s="18">
        <v>4.75</v>
      </c>
      <c r="H90" s="18">
        <v>17.0</v>
      </c>
      <c r="I90" s="18">
        <v>2.0</v>
      </c>
      <c r="J90" s="18">
        <v>1.0</v>
      </c>
      <c r="K90" s="18">
        <v>1.0</v>
      </c>
      <c r="L90" s="18">
        <v>0.0</v>
      </c>
    </row>
    <row r="91" ht="15.75" customHeight="1">
      <c r="A91" s="12" t="s">
        <v>541</v>
      </c>
      <c r="B91" s="12" t="s">
        <v>61</v>
      </c>
      <c r="C91" s="12" t="s">
        <v>58</v>
      </c>
      <c r="D91" s="18">
        <v>1.0</v>
      </c>
      <c r="E91" s="18">
        <v>13.0</v>
      </c>
      <c r="F91" s="18">
        <v>0.0</v>
      </c>
      <c r="G91" s="18">
        <v>13.0</v>
      </c>
      <c r="H91" s="18">
        <v>1.0</v>
      </c>
      <c r="I91" s="18">
        <v>1.0</v>
      </c>
      <c r="J91" s="18">
        <v>1.0</v>
      </c>
      <c r="K91" s="18">
        <v>0.0</v>
      </c>
      <c r="L91" s="18">
        <v>0.0</v>
      </c>
    </row>
    <row r="92" ht="15.75" customHeight="1">
      <c r="A92" s="12" t="s">
        <v>507</v>
      </c>
      <c r="B92" s="12" t="s">
        <v>61</v>
      </c>
      <c r="C92" s="12" t="s">
        <v>58</v>
      </c>
      <c r="D92" s="18">
        <v>3.0</v>
      </c>
      <c r="E92" s="18">
        <v>13.0</v>
      </c>
      <c r="F92" s="18">
        <v>1.0</v>
      </c>
      <c r="G92" s="18">
        <v>4.33</v>
      </c>
      <c r="H92" s="18">
        <v>10.0</v>
      </c>
      <c r="I92" s="18">
        <v>1.0</v>
      </c>
      <c r="J92" s="18">
        <v>0.0</v>
      </c>
      <c r="K92" s="18">
        <v>1.0</v>
      </c>
      <c r="L92" s="18">
        <v>0.0</v>
      </c>
    </row>
    <row r="93" ht="15.75" customHeight="1">
      <c r="A93" s="12" t="s">
        <v>544</v>
      </c>
      <c r="B93" s="12" t="s">
        <v>61</v>
      </c>
      <c r="C93" s="12" t="s">
        <v>58</v>
      </c>
      <c r="D93" s="18">
        <v>2.0</v>
      </c>
      <c r="E93" s="18">
        <v>10.0</v>
      </c>
      <c r="F93" s="18">
        <v>1.0</v>
      </c>
      <c r="G93" s="18">
        <v>5.0</v>
      </c>
      <c r="H93" s="18">
        <v>6.0</v>
      </c>
      <c r="I93" s="18">
        <v>1.0</v>
      </c>
      <c r="J93" s="18">
        <v>0.0</v>
      </c>
      <c r="K93" s="18">
        <v>0.0</v>
      </c>
      <c r="L93" s="18">
        <v>0.0</v>
      </c>
    </row>
    <row r="94" ht="15.75" customHeight="1">
      <c r="A94" s="12" t="s">
        <v>551</v>
      </c>
      <c r="B94" s="12" t="s">
        <v>61</v>
      </c>
      <c r="C94" s="12" t="s">
        <v>58</v>
      </c>
      <c r="D94" s="18">
        <v>4.0</v>
      </c>
      <c r="E94" s="18">
        <v>12.0</v>
      </c>
      <c r="F94" s="18">
        <v>4.0</v>
      </c>
      <c r="G94" s="18">
        <v>3.0</v>
      </c>
      <c r="H94" s="18">
        <v>13.0</v>
      </c>
      <c r="I94" s="18">
        <v>0.0</v>
      </c>
      <c r="J94" s="18">
        <v>0.0</v>
      </c>
      <c r="K94" s="18">
        <v>0.0</v>
      </c>
      <c r="L94" s="18">
        <v>0.0</v>
      </c>
    </row>
    <row r="95" ht="15.75" customHeight="1">
      <c r="A95" s="12" t="s">
        <v>503</v>
      </c>
      <c r="B95" s="12" t="s">
        <v>61</v>
      </c>
      <c r="C95" s="12" t="s">
        <v>58</v>
      </c>
      <c r="D95" s="18">
        <v>1.0</v>
      </c>
      <c r="E95" s="18">
        <v>9.0</v>
      </c>
      <c r="F95" s="18">
        <v>0.0</v>
      </c>
      <c r="G95" s="18">
        <v>9.0</v>
      </c>
      <c r="H95" s="18">
        <v>0.0</v>
      </c>
      <c r="I95" s="18">
        <v>1.0</v>
      </c>
      <c r="J95" s="18">
        <v>0.0</v>
      </c>
      <c r="K95" s="18">
        <v>0.0</v>
      </c>
      <c r="L95" s="18">
        <v>0.0</v>
      </c>
    </row>
    <row r="96" ht="15.75" customHeight="1">
      <c r="A96" s="12" t="s">
        <v>505</v>
      </c>
      <c r="B96" s="12" t="s">
        <v>61</v>
      </c>
      <c r="C96" s="12" t="s">
        <v>58</v>
      </c>
      <c r="D96" s="18">
        <v>1.0</v>
      </c>
      <c r="E96" s="18">
        <v>7.0</v>
      </c>
      <c r="F96" s="18">
        <v>0.0</v>
      </c>
      <c r="G96" s="18">
        <v>7.0</v>
      </c>
      <c r="H96" s="18">
        <v>1.0</v>
      </c>
      <c r="I96" s="18">
        <v>0.0</v>
      </c>
      <c r="J96" s="18">
        <v>0.0</v>
      </c>
      <c r="K96" s="18">
        <v>1.0</v>
      </c>
      <c r="L96" s="18">
        <v>0.0</v>
      </c>
    </row>
    <row r="97" ht="15.75" customHeight="1">
      <c r="A97" s="12" t="s">
        <v>545</v>
      </c>
      <c r="B97" s="12" t="s">
        <v>58</v>
      </c>
      <c r="C97" s="12" t="s">
        <v>61</v>
      </c>
      <c r="D97" s="18">
        <v>3.0</v>
      </c>
      <c r="E97" s="18">
        <v>15.0</v>
      </c>
      <c r="F97" s="18">
        <v>1.0</v>
      </c>
      <c r="G97" s="18">
        <v>5.0</v>
      </c>
      <c r="H97" s="18">
        <v>8.0</v>
      </c>
      <c r="I97" s="18">
        <v>1.0</v>
      </c>
      <c r="J97" s="18">
        <v>0.0</v>
      </c>
      <c r="K97" s="18">
        <v>1.0</v>
      </c>
      <c r="L97" s="18">
        <v>0.0</v>
      </c>
    </row>
    <row r="98" ht="15.75" customHeight="1">
      <c r="A98" s="12" t="s">
        <v>546</v>
      </c>
      <c r="B98" s="12" t="s">
        <v>58</v>
      </c>
      <c r="C98" s="12" t="s">
        <v>61</v>
      </c>
      <c r="D98" s="18">
        <v>1.0</v>
      </c>
      <c r="E98" s="18">
        <v>7.0</v>
      </c>
      <c r="F98" s="18">
        <v>0.0</v>
      </c>
      <c r="G98" s="18">
        <v>7.0</v>
      </c>
      <c r="H98" s="18">
        <v>3.0</v>
      </c>
      <c r="I98" s="18">
        <v>1.0</v>
      </c>
      <c r="J98" s="18">
        <v>0.0</v>
      </c>
      <c r="K98" s="18">
        <v>0.0</v>
      </c>
      <c r="L98" s="18">
        <v>0.0</v>
      </c>
    </row>
    <row r="99" ht="15.75" customHeight="1">
      <c r="A99" s="12" t="s">
        <v>547</v>
      </c>
      <c r="B99" s="12" t="s">
        <v>58</v>
      </c>
      <c r="C99" s="12" t="s">
        <v>61</v>
      </c>
      <c r="D99" s="18">
        <v>4.0</v>
      </c>
      <c r="E99" s="18">
        <v>13.0</v>
      </c>
      <c r="F99" s="18">
        <v>3.0</v>
      </c>
      <c r="G99" s="18">
        <v>3.25</v>
      </c>
      <c r="H99" s="18">
        <v>14.0</v>
      </c>
      <c r="I99" s="18">
        <v>1.0</v>
      </c>
      <c r="J99" s="18">
        <v>0.0</v>
      </c>
      <c r="K99" s="18">
        <v>0.0</v>
      </c>
      <c r="L99" s="18">
        <v>0.0</v>
      </c>
    </row>
    <row r="100" ht="15.75" customHeight="1">
      <c r="A100" s="12" t="s">
        <v>496</v>
      </c>
      <c r="B100" s="12" t="s">
        <v>58</v>
      </c>
      <c r="C100" s="12" t="s">
        <v>61</v>
      </c>
      <c r="D100" s="18">
        <v>4.0</v>
      </c>
      <c r="E100" s="18">
        <v>25.0</v>
      </c>
      <c r="F100" s="18">
        <v>1.0</v>
      </c>
      <c r="G100" s="18">
        <v>6.25</v>
      </c>
      <c r="H100" s="18">
        <v>8.0</v>
      </c>
      <c r="I100" s="18">
        <v>1.0</v>
      </c>
      <c r="J100" s="18">
        <v>1.0</v>
      </c>
      <c r="K100" s="18">
        <v>0.0</v>
      </c>
      <c r="L100" s="18">
        <v>0.0</v>
      </c>
    </row>
    <row r="101" ht="15.75" customHeight="1">
      <c r="A101" s="12" t="s">
        <v>548</v>
      </c>
      <c r="B101" s="12" t="s">
        <v>58</v>
      </c>
      <c r="C101" s="12" t="s">
        <v>61</v>
      </c>
      <c r="D101" s="18">
        <v>4.0</v>
      </c>
      <c r="E101" s="18">
        <v>28.0</v>
      </c>
      <c r="F101" s="18">
        <v>0.0</v>
      </c>
      <c r="G101" s="18">
        <v>7.0</v>
      </c>
      <c r="H101" s="18">
        <v>10.0</v>
      </c>
      <c r="I101" s="18">
        <v>2.0</v>
      </c>
      <c r="J101" s="18">
        <v>1.0</v>
      </c>
      <c r="K101" s="18">
        <v>2.0</v>
      </c>
      <c r="L101" s="18">
        <v>0.0</v>
      </c>
    </row>
    <row r="102" ht="15.75" customHeight="1">
      <c r="A102" s="12" t="s">
        <v>552</v>
      </c>
      <c r="B102" s="12" t="s">
        <v>58</v>
      </c>
      <c r="C102" s="12" t="s">
        <v>61</v>
      </c>
      <c r="D102" s="18">
        <v>2.0</v>
      </c>
      <c r="E102" s="18">
        <v>11.0</v>
      </c>
      <c r="F102" s="18">
        <v>1.0</v>
      </c>
      <c r="G102" s="18">
        <v>5.5</v>
      </c>
      <c r="H102" s="18">
        <v>2.0</v>
      </c>
      <c r="I102" s="18">
        <v>0.0</v>
      </c>
      <c r="J102" s="18">
        <v>0.0</v>
      </c>
      <c r="K102" s="18">
        <v>0.0</v>
      </c>
      <c r="L102" s="18">
        <v>0.0</v>
      </c>
    </row>
    <row r="103" ht="15.75" customHeight="1">
      <c r="A103" s="12" t="s">
        <v>550</v>
      </c>
      <c r="B103" s="12" t="s">
        <v>58</v>
      </c>
      <c r="C103" s="12" t="s">
        <v>61</v>
      </c>
      <c r="D103" s="18">
        <v>0.5</v>
      </c>
      <c r="E103" s="18">
        <v>15.0</v>
      </c>
      <c r="F103" s="18">
        <v>0.0</v>
      </c>
      <c r="G103" s="18">
        <v>18.0</v>
      </c>
      <c r="H103" s="18">
        <v>0.0</v>
      </c>
      <c r="I103" s="18">
        <v>3.0</v>
      </c>
      <c r="J103" s="18">
        <v>0.0</v>
      </c>
      <c r="K103" s="18">
        <v>0.0</v>
      </c>
      <c r="L103" s="18">
        <v>0.0</v>
      </c>
    </row>
    <row r="104" ht="15.75" customHeight="1">
      <c r="A104" s="12" t="s">
        <v>553</v>
      </c>
      <c r="B104" s="12" t="s">
        <v>59</v>
      </c>
      <c r="C104" s="12" t="s">
        <v>56</v>
      </c>
      <c r="D104" s="18">
        <v>4.0</v>
      </c>
      <c r="E104" s="18">
        <v>40.0</v>
      </c>
      <c r="F104" s="18">
        <v>1.0</v>
      </c>
      <c r="G104" s="18">
        <v>10.0</v>
      </c>
      <c r="H104" s="18">
        <v>8.0</v>
      </c>
      <c r="I104" s="18">
        <v>7.0</v>
      </c>
      <c r="J104" s="18">
        <v>0.0</v>
      </c>
      <c r="K104" s="18">
        <v>2.0</v>
      </c>
      <c r="L104" s="18">
        <v>0.0</v>
      </c>
    </row>
    <row r="105" ht="15.75" customHeight="1">
      <c r="A105" s="12" t="s">
        <v>554</v>
      </c>
      <c r="B105" s="12" t="s">
        <v>59</v>
      </c>
      <c r="C105" s="12" t="s">
        <v>56</v>
      </c>
      <c r="D105" s="18">
        <v>3.0</v>
      </c>
      <c r="E105" s="18">
        <v>32.0</v>
      </c>
      <c r="F105" s="18">
        <v>0.0</v>
      </c>
      <c r="G105" s="18">
        <v>10.66</v>
      </c>
      <c r="H105" s="18">
        <v>8.0</v>
      </c>
      <c r="I105" s="18">
        <v>5.0</v>
      </c>
      <c r="J105" s="18">
        <v>0.0</v>
      </c>
      <c r="K105" s="18">
        <v>2.0</v>
      </c>
      <c r="L105" s="18">
        <v>1.0</v>
      </c>
    </row>
    <row r="106" ht="15.75" customHeight="1">
      <c r="A106" s="12" t="s">
        <v>555</v>
      </c>
      <c r="B106" s="12" t="s">
        <v>59</v>
      </c>
      <c r="C106" s="12" t="s">
        <v>56</v>
      </c>
      <c r="D106" s="18">
        <v>4.0</v>
      </c>
      <c r="E106" s="18">
        <v>19.0</v>
      </c>
      <c r="F106" s="18">
        <v>3.0</v>
      </c>
      <c r="G106" s="18">
        <v>4.75</v>
      </c>
      <c r="H106" s="18">
        <v>11.0</v>
      </c>
      <c r="I106" s="18">
        <v>2.0</v>
      </c>
      <c r="J106" s="18">
        <v>0.0</v>
      </c>
      <c r="K106" s="18">
        <v>0.0</v>
      </c>
      <c r="L106" s="18">
        <v>0.0</v>
      </c>
    </row>
    <row r="107" ht="15.75" customHeight="1">
      <c r="A107" s="12" t="s">
        <v>479</v>
      </c>
      <c r="B107" s="12" t="s">
        <v>59</v>
      </c>
      <c r="C107" s="12" t="s">
        <v>56</v>
      </c>
      <c r="D107" s="18">
        <v>3.0</v>
      </c>
      <c r="E107" s="18">
        <v>25.0</v>
      </c>
      <c r="F107" s="18">
        <v>0.0</v>
      </c>
      <c r="G107" s="18">
        <v>8.33</v>
      </c>
      <c r="H107" s="18">
        <v>5.0</v>
      </c>
      <c r="I107" s="18">
        <v>2.0</v>
      </c>
      <c r="J107" s="18">
        <v>1.0</v>
      </c>
      <c r="K107" s="18">
        <v>0.0</v>
      </c>
      <c r="L107" s="18">
        <v>0.0</v>
      </c>
    </row>
    <row r="108" ht="15.75" customHeight="1">
      <c r="A108" s="12" t="s">
        <v>556</v>
      </c>
      <c r="B108" s="12" t="s">
        <v>59</v>
      </c>
      <c r="C108" s="12" t="s">
        <v>56</v>
      </c>
      <c r="D108" s="18">
        <v>3.5</v>
      </c>
      <c r="E108" s="18">
        <v>35.0</v>
      </c>
      <c r="F108" s="18">
        <v>1.0</v>
      </c>
      <c r="G108" s="18">
        <v>9.13</v>
      </c>
      <c r="H108" s="18">
        <v>6.0</v>
      </c>
      <c r="I108" s="18">
        <v>4.0</v>
      </c>
      <c r="J108" s="18">
        <v>1.0</v>
      </c>
      <c r="K108" s="18">
        <v>0.0</v>
      </c>
      <c r="L108" s="18">
        <v>0.0</v>
      </c>
    </row>
    <row r="109" ht="15.75" customHeight="1">
      <c r="A109" s="12" t="s">
        <v>557</v>
      </c>
      <c r="B109" s="12" t="s">
        <v>59</v>
      </c>
      <c r="C109" s="12" t="s">
        <v>56</v>
      </c>
      <c r="D109" s="18">
        <v>1.0</v>
      </c>
      <c r="E109" s="18">
        <v>9.0</v>
      </c>
      <c r="F109" s="18">
        <v>0.0</v>
      </c>
      <c r="G109" s="18">
        <v>9.0</v>
      </c>
      <c r="H109" s="18">
        <v>1.0</v>
      </c>
      <c r="I109" s="18">
        <v>1.0</v>
      </c>
      <c r="J109" s="18">
        <v>0.0</v>
      </c>
      <c r="K109" s="18">
        <v>0.0</v>
      </c>
      <c r="L109" s="18">
        <v>0.0</v>
      </c>
    </row>
    <row r="110" ht="15.75" customHeight="1">
      <c r="A110" s="12" t="s">
        <v>558</v>
      </c>
      <c r="B110" s="12" t="s">
        <v>56</v>
      </c>
      <c r="C110" s="12" t="s">
        <v>59</v>
      </c>
      <c r="D110" s="18">
        <v>4.0</v>
      </c>
      <c r="E110" s="18">
        <v>31.0</v>
      </c>
      <c r="F110" s="18">
        <v>0.0</v>
      </c>
      <c r="G110" s="18">
        <v>7.75</v>
      </c>
      <c r="H110" s="18">
        <v>9.0</v>
      </c>
      <c r="I110" s="18">
        <v>3.0</v>
      </c>
      <c r="J110" s="18">
        <v>1.0</v>
      </c>
      <c r="K110" s="18">
        <v>0.0</v>
      </c>
      <c r="L110" s="18">
        <v>0.0</v>
      </c>
    </row>
    <row r="111" ht="15.75" customHeight="1">
      <c r="A111" s="12" t="s">
        <v>559</v>
      </c>
      <c r="B111" s="12" t="s">
        <v>56</v>
      </c>
      <c r="C111" s="12" t="s">
        <v>59</v>
      </c>
      <c r="D111" s="18">
        <v>2.0</v>
      </c>
      <c r="E111" s="18">
        <v>29.0</v>
      </c>
      <c r="F111" s="18">
        <v>0.0</v>
      </c>
      <c r="G111" s="18">
        <v>14.5</v>
      </c>
      <c r="H111" s="18">
        <v>3.0</v>
      </c>
      <c r="I111" s="18">
        <v>3.0</v>
      </c>
      <c r="J111" s="18">
        <v>2.0</v>
      </c>
      <c r="K111" s="18">
        <v>1.0</v>
      </c>
      <c r="L111" s="18">
        <v>0.0</v>
      </c>
    </row>
    <row r="112" ht="15.75" customHeight="1">
      <c r="A112" s="12" t="s">
        <v>560</v>
      </c>
      <c r="B112" s="12" t="s">
        <v>56</v>
      </c>
      <c r="C112" s="12" t="s">
        <v>59</v>
      </c>
      <c r="D112" s="18">
        <v>3.0</v>
      </c>
      <c r="E112" s="18">
        <v>34.0</v>
      </c>
      <c r="F112" s="18">
        <v>0.0</v>
      </c>
      <c r="G112" s="18">
        <v>11.33</v>
      </c>
      <c r="H112" s="18">
        <v>3.0</v>
      </c>
      <c r="I112" s="18">
        <v>5.0</v>
      </c>
      <c r="J112" s="18">
        <v>0.0</v>
      </c>
      <c r="K112" s="18">
        <v>2.0</v>
      </c>
      <c r="L112" s="18">
        <v>0.0</v>
      </c>
    </row>
    <row r="113" ht="15.75" customHeight="1">
      <c r="A113" s="12" t="s">
        <v>538</v>
      </c>
      <c r="B113" s="12" t="s">
        <v>56</v>
      </c>
      <c r="C113" s="12" t="s">
        <v>59</v>
      </c>
      <c r="D113" s="18">
        <v>4.0</v>
      </c>
      <c r="E113" s="18">
        <v>33.0</v>
      </c>
      <c r="F113" s="18">
        <v>3.0</v>
      </c>
      <c r="G113" s="18">
        <v>8.25</v>
      </c>
      <c r="H113" s="18">
        <v>7.0</v>
      </c>
      <c r="I113" s="18">
        <v>1.0</v>
      </c>
      <c r="J113" s="18">
        <v>2.0</v>
      </c>
      <c r="K113" s="18">
        <v>1.0</v>
      </c>
      <c r="L113" s="18">
        <v>0.0</v>
      </c>
    </row>
    <row r="114" ht="15.75" customHeight="1">
      <c r="A114" s="12" t="s">
        <v>537</v>
      </c>
      <c r="B114" s="12" t="s">
        <v>56</v>
      </c>
      <c r="C114" s="12" t="s">
        <v>59</v>
      </c>
      <c r="D114" s="18">
        <v>4.0</v>
      </c>
      <c r="E114" s="18">
        <v>21.0</v>
      </c>
      <c r="F114" s="18">
        <v>1.0</v>
      </c>
      <c r="G114" s="18">
        <v>5.25</v>
      </c>
      <c r="H114" s="18">
        <v>9.0</v>
      </c>
      <c r="I114" s="18">
        <v>1.0</v>
      </c>
      <c r="J114" s="18">
        <v>0.0</v>
      </c>
      <c r="K114" s="18">
        <v>0.0</v>
      </c>
      <c r="L114" s="18">
        <v>0.0</v>
      </c>
    </row>
    <row r="115" ht="15.75" customHeight="1">
      <c r="A115" s="12" t="s">
        <v>561</v>
      </c>
      <c r="B115" s="12" t="s">
        <v>56</v>
      </c>
      <c r="C115" s="12" t="s">
        <v>59</v>
      </c>
      <c r="D115" s="18">
        <v>3.0</v>
      </c>
      <c r="E115" s="18">
        <v>42.0</v>
      </c>
      <c r="F115" s="18">
        <v>0.0</v>
      </c>
      <c r="G115" s="18">
        <v>14.0</v>
      </c>
      <c r="H115" s="18">
        <v>3.0</v>
      </c>
      <c r="I115" s="18">
        <v>5.0</v>
      </c>
      <c r="J115" s="18">
        <v>2.0</v>
      </c>
      <c r="K115" s="18">
        <v>1.0</v>
      </c>
      <c r="L115" s="18">
        <v>0.0</v>
      </c>
    </row>
    <row r="116" ht="15.75" customHeight="1">
      <c r="A116" s="12" t="s">
        <v>553</v>
      </c>
      <c r="B116" s="12" t="s">
        <v>59</v>
      </c>
      <c r="C116" s="12" t="s">
        <v>56</v>
      </c>
      <c r="D116" s="18">
        <v>4.0</v>
      </c>
      <c r="E116" s="18">
        <v>48.0</v>
      </c>
      <c r="F116" s="18">
        <v>2.0</v>
      </c>
      <c r="G116" s="18">
        <v>12.0</v>
      </c>
      <c r="H116" s="18">
        <v>8.0</v>
      </c>
      <c r="I116" s="18">
        <v>8.0</v>
      </c>
      <c r="J116" s="18">
        <v>1.0</v>
      </c>
      <c r="K116" s="18">
        <v>0.0</v>
      </c>
      <c r="L116" s="18">
        <v>0.0</v>
      </c>
    </row>
    <row r="117" ht="15.75" customHeight="1">
      <c r="A117" s="12" t="s">
        <v>555</v>
      </c>
      <c r="B117" s="12" t="s">
        <v>59</v>
      </c>
      <c r="C117" s="12" t="s">
        <v>56</v>
      </c>
      <c r="D117" s="18">
        <v>4.0</v>
      </c>
      <c r="E117" s="18">
        <v>21.0</v>
      </c>
      <c r="F117" s="18">
        <v>2.0</v>
      </c>
      <c r="G117" s="18">
        <v>5.25</v>
      </c>
      <c r="H117" s="18">
        <v>9.0</v>
      </c>
      <c r="I117" s="18">
        <v>1.0</v>
      </c>
      <c r="J117" s="18">
        <v>0.0</v>
      </c>
      <c r="K117" s="18">
        <v>1.0</v>
      </c>
      <c r="L117" s="18">
        <v>0.0</v>
      </c>
    </row>
    <row r="118" ht="15.75" customHeight="1">
      <c r="A118" s="12" t="s">
        <v>562</v>
      </c>
      <c r="B118" s="12" t="s">
        <v>59</v>
      </c>
      <c r="C118" s="12" t="s">
        <v>56</v>
      </c>
      <c r="D118" s="18">
        <v>4.0</v>
      </c>
      <c r="E118" s="18">
        <v>39.0</v>
      </c>
      <c r="F118" s="18">
        <v>0.0</v>
      </c>
      <c r="G118" s="18">
        <v>9.75</v>
      </c>
      <c r="H118" s="18">
        <v>8.0</v>
      </c>
      <c r="I118" s="18">
        <v>3.0</v>
      </c>
      <c r="J118" s="18">
        <v>1.0</v>
      </c>
      <c r="K118" s="18">
        <v>1.0</v>
      </c>
      <c r="L118" s="18">
        <v>2.0</v>
      </c>
    </row>
    <row r="119" ht="15.75" customHeight="1">
      <c r="A119" s="12" t="s">
        <v>556</v>
      </c>
      <c r="B119" s="12" t="s">
        <v>59</v>
      </c>
      <c r="C119" s="12" t="s">
        <v>56</v>
      </c>
      <c r="D119" s="18">
        <v>4.0</v>
      </c>
      <c r="E119" s="18">
        <v>39.0</v>
      </c>
      <c r="F119" s="18">
        <v>0.0</v>
      </c>
      <c r="G119" s="18">
        <v>9.75</v>
      </c>
      <c r="H119" s="18">
        <v>4.0</v>
      </c>
      <c r="I119" s="18">
        <v>2.0</v>
      </c>
      <c r="J119" s="18">
        <v>2.0</v>
      </c>
      <c r="K119" s="18">
        <v>2.0</v>
      </c>
      <c r="L119" s="18">
        <v>0.0</v>
      </c>
    </row>
    <row r="120" ht="15.75" customHeight="1">
      <c r="A120" s="12" t="s">
        <v>479</v>
      </c>
      <c r="B120" s="12" t="s">
        <v>59</v>
      </c>
      <c r="C120" s="12" t="s">
        <v>56</v>
      </c>
      <c r="D120" s="18">
        <v>2.0</v>
      </c>
      <c r="E120" s="18">
        <v>29.0</v>
      </c>
      <c r="F120" s="18">
        <v>0.0</v>
      </c>
      <c r="G120" s="18">
        <v>14.5</v>
      </c>
      <c r="H120" s="18">
        <v>2.0</v>
      </c>
      <c r="I120" s="18">
        <v>3.0</v>
      </c>
      <c r="J120" s="18">
        <v>2.0</v>
      </c>
      <c r="K120" s="18">
        <v>0.0</v>
      </c>
      <c r="L120" s="18">
        <v>0.0</v>
      </c>
    </row>
    <row r="121" ht="15.75" customHeight="1">
      <c r="A121" s="12" t="s">
        <v>557</v>
      </c>
      <c r="B121" s="12" t="s">
        <v>59</v>
      </c>
      <c r="C121" s="12" t="s">
        <v>56</v>
      </c>
      <c r="D121" s="18">
        <v>1.2</v>
      </c>
      <c r="E121" s="18">
        <v>17.0</v>
      </c>
      <c r="F121" s="18">
        <v>0.0</v>
      </c>
      <c r="G121" s="18">
        <v>12.75</v>
      </c>
      <c r="H121" s="18">
        <v>1.0</v>
      </c>
      <c r="I121" s="18">
        <v>3.0</v>
      </c>
      <c r="J121" s="18">
        <v>0.0</v>
      </c>
      <c r="K121" s="18">
        <v>0.0</v>
      </c>
      <c r="L121" s="18">
        <v>0.0</v>
      </c>
    </row>
    <row r="122" ht="15.75" customHeight="1">
      <c r="A122" s="12" t="s">
        <v>563</v>
      </c>
      <c r="B122" s="12" t="s">
        <v>58</v>
      </c>
      <c r="C122" s="12" t="s">
        <v>56</v>
      </c>
      <c r="D122" s="18">
        <v>4.0</v>
      </c>
      <c r="E122" s="18">
        <v>37.0</v>
      </c>
      <c r="F122" s="18">
        <v>3.0</v>
      </c>
      <c r="G122" s="18">
        <v>9.25</v>
      </c>
      <c r="H122" s="18">
        <v>16.0</v>
      </c>
      <c r="I122" s="18">
        <v>4.0</v>
      </c>
      <c r="J122" s="18">
        <v>3.0</v>
      </c>
      <c r="K122" s="18">
        <v>0.0</v>
      </c>
      <c r="L122" s="18">
        <v>0.0</v>
      </c>
    </row>
    <row r="123" ht="15.75" customHeight="1">
      <c r="A123" s="12" t="s">
        <v>545</v>
      </c>
      <c r="B123" s="12" t="s">
        <v>58</v>
      </c>
      <c r="C123" s="12" t="s">
        <v>56</v>
      </c>
      <c r="D123" s="18">
        <v>3.0</v>
      </c>
      <c r="E123" s="18">
        <v>23.0</v>
      </c>
      <c r="F123" s="18">
        <v>0.0</v>
      </c>
      <c r="G123" s="18">
        <v>7.66</v>
      </c>
      <c r="H123" s="18">
        <v>7.0</v>
      </c>
      <c r="I123" s="18">
        <v>1.0</v>
      </c>
      <c r="J123" s="18">
        <v>1.0</v>
      </c>
      <c r="K123" s="18">
        <v>1.0</v>
      </c>
      <c r="L123" s="18">
        <v>0.0</v>
      </c>
    </row>
    <row r="124" ht="15.75" customHeight="1">
      <c r="A124" s="12" t="s">
        <v>564</v>
      </c>
      <c r="B124" s="12" t="s">
        <v>58</v>
      </c>
      <c r="C124" s="12" t="s">
        <v>56</v>
      </c>
      <c r="D124" s="18">
        <v>4.0</v>
      </c>
      <c r="E124" s="18">
        <v>23.0</v>
      </c>
      <c r="F124" s="18">
        <v>3.0</v>
      </c>
      <c r="G124" s="18">
        <v>5.75</v>
      </c>
      <c r="H124" s="18">
        <v>11.0</v>
      </c>
      <c r="I124" s="18">
        <v>2.0</v>
      </c>
      <c r="J124" s="18">
        <v>0.0</v>
      </c>
      <c r="K124" s="18">
        <v>1.0</v>
      </c>
      <c r="L124" s="18">
        <v>0.0</v>
      </c>
    </row>
    <row r="125" ht="15.75" customHeight="1">
      <c r="A125" s="12" t="s">
        <v>548</v>
      </c>
      <c r="B125" s="12" t="s">
        <v>58</v>
      </c>
      <c r="C125" s="12" t="s">
        <v>56</v>
      </c>
      <c r="D125" s="18">
        <v>3.0</v>
      </c>
      <c r="E125" s="18">
        <v>18.0</v>
      </c>
      <c r="F125" s="18">
        <v>1.0</v>
      </c>
      <c r="G125" s="18">
        <v>6.0</v>
      </c>
      <c r="H125" s="18">
        <v>9.0</v>
      </c>
      <c r="I125" s="18">
        <v>1.0</v>
      </c>
      <c r="J125" s="18">
        <v>1.0</v>
      </c>
      <c r="K125" s="18">
        <v>0.0</v>
      </c>
      <c r="L125" s="18">
        <v>0.0</v>
      </c>
    </row>
    <row r="126" ht="15.75" customHeight="1">
      <c r="A126" s="12" t="s">
        <v>496</v>
      </c>
      <c r="B126" s="12" t="s">
        <v>58</v>
      </c>
      <c r="C126" s="12" t="s">
        <v>56</v>
      </c>
      <c r="D126" s="18">
        <v>2.0</v>
      </c>
      <c r="E126" s="18">
        <v>11.0</v>
      </c>
      <c r="F126" s="18">
        <v>1.0</v>
      </c>
      <c r="G126" s="18">
        <v>5.5</v>
      </c>
      <c r="H126" s="18">
        <v>3.0</v>
      </c>
      <c r="I126" s="18">
        <v>0.0</v>
      </c>
      <c r="J126" s="18">
        <v>0.0</v>
      </c>
      <c r="K126" s="18">
        <v>0.0</v>
      </c>
      <c r="L126" s="18">
        <v>0.0</v>
      </c>
    </row>
    <row r="127" ht="15.75" customHeight="1">
      <c r="A127" s="12" t="s">
        <v>565</v>
      </c>
      <c r="B127" s="12" t="s">
        <v>58</v>
      </c>
      <c r="C127" s="12" t="s">
        <v>56</v>
      </c>
      <c r="D127" s="18">
        <v>4.0</v>
      </c>
      <c r="E127" s="18">
        <v>25.0</v>
      </c>
      <c r="F127" s="18">
        <v>1.0</v>
      </c>
      <c r="G127" s="18">
        <v>6.25</v>
      </c>
      <c r="H127" s="18">
        <v>9.0</v>
      </c>
      <c r="I127" s="18">
        <v>1.0</v>
      </c>
      <c r="J127" s="18">
        <v>1.0</v>
      </c>
      <c r="K127" s="18">
        <v>0.0</v>
      </c>
      <c r="L127" s="18">
        <v>0.0</v>
      </c>
    </row>
    <row r="128" ht="15.75" customHeight="1">
      <c r="A128" s="83" t="s">
        <v>566</v>
      </c>
      <c r="B128" s="12" t="s">
        <v>56</v>
      </c>
      <c r="C128" s="12" t="s">
        <v>58</v>
      </c>
      <c r="D128" s="82">
        <v>3.0</v>
      </c>
      <c r="E128" s="82">
        <v>25.0</v>
      </c>
      <c r="F128" s="82">
        <v>1.0</v>
      </c>
      <c r="G128" s="82">
        <v>8.33</v>
      </c>
      <c r="H128" s="82">
        <v>7.0</v>
      </c>
      <c r="I128" s="82">
        <v>2.0</v>
      </c>
      <c r="J128" s="82">
        <v>1.0</v>
      </c>
      <c r="K128" s="82">
        <v>2.0</v>
      </c>
      <c r="L128" s="82">
        <v>0.0</v>
      </c>
    </row>
    <row r="129" ht="15.75" customHeight="1">
      <c r="A129" s="83" t="s">
        <v>558</v>
      </c>
      <c r="B129" s="12" t="s">
        <v>56</v>
      </c>
      <c r="C129" s="12" t="s">
        <v>58</v>
      </c>
      <c r="D129" s="82">
        <v>3.0</v>
      </c>
      <c r="E129" s="82">
        <v>30.0</v>
      </c>
      <c r="F129" s="82">
        <v>0.0</v>
      </c>
      <c r="G129" s="82">
        <v>10.0</v>
      </c>
      <c r="H129" s="82">
        <v>8.0</v>
      </c>
      <c r="I129" s="82">
        <v>3.0</v>
      </c>
      <c r="J129" s="82">
        <v>1.0</v>
      </c>
      <c r="K129" s="82">
        <v>2.0</v>
      </c>
      <c r="L129" s="82">
        <v>1.0</v>
      </c>
    </row>
    <row r="130" ht="15.75" customHeight="1">
      <c r="A130" s="83" t="s">
        <v>536</v>
      </c>
      <c r="B130" s="12" t="s">
        <v>56</v>
      </c>
      <c r="C130" s="12" t="s">
        <v>58</v>
      </c>
      <c r="D130" s="82">
        <v>3.0</v>
      </c>
      <c r="E130" s="82">
        <v>34.0</v>
      </c>
      <c r="F130" s="82">
        <v>1.0</v>
      </c>
      <c r="G130" s="82">
        <v>11.33</v>
      </c>
      <c r="H130" s="82">
        <v>5.0</v>
      </c>
      <c r="I130" s="82">
        <v>2.0</v>
      </c>
      <c r="J130" s="82">
        <v>1.0</v>
      </c>
      <c r="K130" s="82">
        <v>0.0</v>
      </c>
      <c r="L130" s="82">
        <v>2.0</v>
      </c>
    </row>
    <row r="131" ht="15.75" customHeight="1">
      <c r="A131" s="83" t="s">
        <v>535</v>
      </c>
      <c r="B131" s="12" t="s">
        <v>56</v>
      </c>
      <c r="C131" s="12" t="s">
        <v>58</v>
      </c>
      <c r="D131" s="82">
        <v>3.0</v>
      </c>
      <c r="E131" s="82">
        <v>30.0</v>
      </c>
      <c r="F131" s="82">
        <v>0.0</v>
      </c>
      <c r="G131" s="82">
        <v>10.0</v>
      </c>
      <c r="H131" s="82">
        <v>5.0</v>
      </c>
      <c r="I131" s="82">
        <v>3.0</v>
      </c>
      <c r="J131" s="82">
        <v>1.0</v>
      </c>
      <c r="K131" s="82">
        <v>1.0</v>
      </c>
      <c r="L131" s="82">
        <v>0.0</v>
      </c>
    </row>
    <row r="132" ht="15.75" customHeight="1">
      <c r="A132" s="83" t="s">
        <v>537</v>
      </c>
      <c r="B132" s="12" t="s">
        <v>56</v>
      </c>
      <c r="C132" s="12" t="s">
        <v>58</v>
      </c>
      <c r="D132" s="82">
        <v>2.0</v>
      </c>
      <c r="E132" s="82">
        <v>23.0</v>
      </c>
      <c r="F132" s="82">
        <v>1.0</v>
      </c>
      <c r="G132" s="82">
        <v>11.5</v>
      </c>
      <c r="H132" s="82">
        <v>5.0</v>
      </c>
      <c r="I132" s="82">
        <v>0.0</v>
      </c>
      <c r="J132" s="82">
        <v>3.0</v>
      </c>
      <c r="K132" s="82">
        <v>0.0</v>
      </c>
      <c r="L132" s="82">
        <v>0.0</v>
      </c>
    </row>
    <row r="133" ht="15.75" customHeight="1">
      <c r="A133" s="12" t="s">
        <v>545</v>
      </c>
      <c r="B133" s="12" t="s">
        <v>58</v>
      </c>
      <c r="C133" s="12" t="s">
        <v>56</v>
      </c>
      <c r="D133" s="18">
        <v>3.0</v>
      </c>
      <c r="E133" s="18">
        <v>18.0</v>
      </c>
      <c r="F133" s="18">
        <v>1.0</v>
      </c>
      <c r="G133" s="18">
        <v>6.0</v>
      </c>
      <c r="H133" s="18">
        <v>8.0</v>
      </c>
      <c r="I133" s="18">
        <v>2.0</v>
      </c>
      <c r="J133" s="18">
        <v>0.0</v>
      </c>
      <c r="K133" s="18">
        <v>1.0</v>
      </c>
      <c r="L133" s="18">
        <v>1.0</v>
      </c>
    </row>
    <row r="134" ht="15.75" customHeight="1">
      <c r="A134" s="12" t="s">
        <v>567</v>
      </c>
      <c r="B134" s="12" t="s">
        <v>58</v>
      </c>
      <c r="C134" s="12" t="s">
        <v>56</v>
      </c>
      <c r="D134" s="18">
        <v>2.5</v>
      </c>
      <c r="E134" s="18">
        <v>20.0</v>
      </c>
      <c r="F134" s="18">
        <v>4.0</v>
      </c>
      <c r="G134" s="18">
        <v>7.05</v>
      </c>
      <c r="H134" s="18">
        <v>8.0</v>
      </c>
      <c r="I134" s="18">
        <v>1.0</v>
      </c>
      <c r="J134" s="18">
        <v>1.0</v>
      </c>
      <c r="K134" s="18">
        <v>0.0</v>
      </c>
      <c r="L134" s="18">
        <v>0.0</v>
      </c>
    </row>
    <row r="135" ht="15.75" customHeight="1">
      <c r="A135" s="12" t="s">
        <v>564</v>
      </c>
      <c r="B135" s="12" t="s">
        <v>58</v>
      </c>
      <c r="C135" s="12" t="s">
        <v>56</v>
      </c>
      <c r="D135" s="18">
        <v>2.0</v>
      </c>
      <c r="E135" s="18">
        <v>16.0</v>
      </c>
      <c r="F135" s="18">
        <v>1.0</v>
      </c>
      <c r="G135" s="18">
        <v>8.0</v>
      </c>
      <c r="H135" s="18">
        <v>4.0</v>
      </c>
      <c r="I135" s="18">
        <v>2.0</v>
      </c>
      <c r="J135" s="18">
        <v>0.0</v>
      </c>
      <c r="K135" s="18">
        <v>1.0</v>
      </c>
      <c r="L135" s="18">
        <v>0.0</v>
      </c>
    </row>
    <row r="136" ht="15.75" customHeight="1">
      <c r="A136" s="12" t="s">
        <v>548</v>
      </c>
      <c r="B136" s="12" t="s">
        <v>58</v>
      </c>
      <c r="C136" s="12" t="s">
        <v>56</v>
      </c>
      <c r="D136" s="18">
        <v>3.0</v>
      </c>
      <c r="E136" s="18">
        <v>18.0</v>
      </c>
      <c r="F136" s="18">
        <v>2.0</v>
      </c>
      <c r="G136" s="18">
        <v>6.0</v>
      </c>
      <c r="H136" s="18">
        <v>6.0</v>
      </c>
      <c r="I136" s="18">
        <v>1.0</v>
      </c>
      <c r="J136" s="18">
        <v>0.0</v>
      </c>
      <c r="K136" s="18">
        <v>0.0</v>
      </c>
      <c r="L136" s="18">
        <v>0.0</v>
      </c>
    </row>
    <row r="137" ht="15.75" customHeight="1">
      <c r="A137" s="12" t="s">
        <v>496</v>
      </c>
      <c r="B137" s="12" t="s">
        <v>58</v>
      </c>
      <c r="C137" s="12" t="s">
        <v>56</v>
      </c>
      <c r="D137" s="18">
        <v>1.0</v>
      </c>
      <c r="E137" s="18">
        <v>9.0</v>
      </c>
      <c r="F137" s="18">
        <v>0.0</v>
      </c>
      <c r="G137" s="18">
        <v>9.0</v>
      </c>
      <c r="H137" s="18">
        <v>1.0</v>
      </c>
      <c r="I137" s="18">
        <v>1.0</v>
      </c>
      <c r="J137" s="18">
        <v>0.0</v>
      </c>
      <c r="K137" s="18">
        <v>0.0</v>
      </c>
      <c r="L137" s="18">
        <v>0.0</v>
      </c>
    </row>
    <row r="138" ht="15.75" customHeight="1">
      <c r="A138" s="12" t="s">
        <v>565</v>
      </c>
      <c r="B138" s="12" t="s">
        <v>58</v>
      </c>
      <c r="C138" s="12" t="s">
        <v>56</v>
      </c>
      <c r="D138" s="18">
        <v>1.0</v>
      </c>
      <c r="E138" s="18">
        <v>16.0</v>
      </c>
      <c r="F138" s="18">
        <v>1.0</v>
      </c>
      <c r="G138" s="18">
        <v>16.0</v>
      </c>
      <c r="H138" s="18">
        <v>1.0</v>
      </c>
      <c r="I138" s="18">
        <v>2.0</v>
      </c>
      <c r="J138" s="18">
        <v>1.0</v>
      </c>
      <c r="K138" s="18">
        <v>0.0</v>
      </c>
      <c r="L138" s="18">
        <v>0.0</v>
      </c>
    </row>
    <row r="139" ht="15.75" customHeight="1">
      <c r="A139" s="12" t="s">
        <v>568</v>
      </c>
      <c r="B139" s="12" t="s">
        <v>58</v>
      </c>
      <c r="C139" s="12" t="s">
        <v>56</v>
      </c>
      <c r="D139" s="18">
        <v>1.0</v>
      </c>
      <c r="E139" s="18">
        <v>5.0</v>
      </c>
      <c r="F139" s="18">
        <v>1.0</v>
      </c>
      <c r="G139" s="18">
        <v>5.0</v>
      </c>
      <c r="H139" s="18">
        <v>1.0</v>
      </c>
      <c r="I139" s="18">
        <v>0.0</v>
      </c>
      <c r="J139" s="18">
        <v>0.0</v>
      </c>
      <c r="K139" s="18">
        <v>0.0</v>
      </c>
      <c r="L139" s="18">
        <v>0.0</v>
      </c>
    </row>
    <row r="140" ht="15.75" customHeight="1">
      <c r="A140" s="12" t="s">
        <v>558</v>
      </c>
      <c r="B140" s="12" t="s">
        <v>56</v>
      </c>
      <c r="C140" s="12" t="s">
        <v>58</v>
      </c>
      <c r="D140" s="18">
        <v>4.0</v>
      </c>
      <c r="E140" s="18">
        <v>23.0</v>
      </c>
      <c r="F140" s="18">
        <v>0.0</v>
      </c>
      <c r="G140" s="18">
        <v>5.75</v>
      </c>
      <c r="H140" s="18">
        <v>10.0</v>
      </c>
      <c r="I140" s="18">
        <v>2.0</v>
      </c>
      <c r="J140" s="18">
        <v>0.0</v>
      </c>
      <c r="K140" s="18">
        <v>0.0</v>
      </c>
      <c r="L140" s="18">
        <v>0.0</v>
      </c>
    </row>
    <row r="141" ht="15.75" customHeight="1">
      <c r="A141" s="12" t="s">
        <v>566</v>
      </c>
      <c r="B141" s="12" t="s">
        <v>56</v>
      </c>
      <c r="C141" s="12" t="s">
        <v>58</v>
      </c>
      <c r="D141" s="18">
        <v>4.0</v>
      </c>
      <c r="E141" s="18">
        <v>48.0</v>
      </c>
      <c r="F141" s="18">
        <v>1.0</v>
      </c>
      <c r="G141" s="18">
        <v>12.0</v>
      </c>
      <c r="H141" s="18">
        <v>11.0</v>
      </c>
      <c r="I141" s="18">
        <v>3.0</v>
      </c>
      <c r="J141" s="18">
        <v>5.0</v>
      </c>
      <c r="K141" s="18">
        <v>0.0</v>
      </c>
      <c r="L141" s="18">
        <v>0.0</v>
      </c>
    </row>
    <row r="142" ht="15.75" customHeight="1">
      <c r="A142" s="12" t="s">
        <v>535</v>
      </c>
      <c r="B142" s="12" t="s">
        <v>56</v>
      </c>
      <c r="C142" s="12" t="s">
        <v>58</v>
      </c>
      <c r="D142" s="18">
        <v>4.0</v>
      </c>
      <c r="E142" s="18">
        <v>36.0</v>
      </c>
      <c r="F142" s="18">
        <v>1.0</v>
      </c>
      <c r="G142" s="18">
        <v>9.0</v>
      </c>
      <c r="H142" s="18">
        <v>8.0</v>
      </c>
      <c r="I142" s="18">
        <v>4.0</v>
      </c>
      <c r="J142" s="18">
        <v>1.0</v>
      </c>
      <c r="K142" s="18">
        <v>1.0</v>
      </c>
      <c r="L142" s="18">
        <v>0.0</v>
      </c>
    </row>
    <row r="143" ht="15.75" customHeight="1">
      <c r="A143" s="12" t="s">
        <v>536</v>
      </c>
      <c r="B143" s="12" t="s">
        <v>56</v>
      </c>
      <c r="C143" s="12" t="s">
        <v>58</v>
      </c>
      <c r="D143" s="18">
        <v>4.0</v>
      </c>
      <c r="E143" s="18">
        <v>43.0</v>
      </c>
      <c r="F143" s="18">
        <v>0.0</v>
      </c>
      <c r="G143" s="18">
        <v>10.75</v>
      </c>
      <c r="H143" s="18">
        <v>12.0</v>
      </c>
      <c r="I143" s="18">
        <v>5.0</v>
      </c>
      <c r="J143" s="18">
        <v>2.0</v>
      </c>
      <c r="K143" s="18">
        <v>1.0</v>
      </c>
      <c r="L143" s="18">
        <v>1.0</v>
      </c>
    </row>
    <row r="144" ht="15.75" customHeight="1">
      <c r="A144" s="12" t="s">
        <v>537</v>
      </c>
      <c r="B144" s="12" t="s">
        <v>56</v>
      </c>
      <c r="C144" s="12" t="s">
        <v>58</v>
      </c>
      <c r="D144" s="18">
        <v>4.0</v>
      </c>
      <c r="E144" s="18">
        <v>44.0</v>
      </c>
      <c r="F144" s="18">
        <v>2.0</v>
      </c>
      <c r="G144" s="18">
        <v>11.0</v>
      </c>
      <c r="H144" s="18">
        <v>6.0</v>
      </c>
      <c r="I144" s="18">
        <v>2.0</v>
      </c>
      <c r="J144" s="18">
        <v>4.0</v>
      </c>
      <c r="K144" s="18">
        <v>0.0</v>
      </c>
      <c r="L144" s="18">
        <v>0.0</v>
      </c>
    </row>
    <row r="145" ht="15.75" customHeight="1">
      <c r="A145" s="12" t="s">
        <v>563</v>
      </c>
      <c r="B145" s="12" t="s">
        <v>58</v>
      </c>
      <c r="C145" s="12" t="s">
        <v>56</v>
      </c>
      <c r="D145" s="18">
        <v>4.0</v>
      </c>
      <c r="E145" s="18">
        <v>36.0</v>
      </c>
      <c r="F145" s="18">
        <v>1.0</v>
      </c>
      <c r="G145" s="18">
        <v>9.0</v>
      </c>
      <c r="H145" s="18">
        <v>7.0</v>
      </c>
      <c r="I145" s="18">
        <v>4.0</v>
      </c>
      <c r="J145" s="18">
        <v>1.0</v>
      </c>
      <c r="K145" s="18">
        <v>0.0</v>
      </c>
      <c r="L145" s="18">
        <v>0.0</v>
      </c>
    </row>
    <row r="146" ht="15.75" customHeight="1">
      <c r="A146" s="12" t="s">
        <v>567</v>
      </c>
      <c r="B146" s="12" t="s">
        <v>58</v>
      </c>
      <c r="C146" s="12" t="s">
        <v>56</v>
      </c>
      <c r="D146" s="18">
        <v>4.0</v>
      </c>
      <c r="E146" s="18">
        <v>31.0</v>
      </c>
      <c r="F146" s="18">
        <v>2.0</v>
      </c>
      <c r="G146" s="18">
        <v>7.75</v>
      </c>
      <c r="H146" s="18">
        <v>10.0</v>
      </c>
      <c r="I146" s="18">
        <v>3.0</v>
      </c>
      <c r="J146" s="18">
        <v>0.0</v>
      </c>
      <c r="K146" s="18">
        <v>1.0</v>
      </c>
      <c r="L146" s="18">
        <v>1.0</v>
      </c>
    </row>
    <row r="147" ht="15.75" customHeight="1">
      <c r="A147" s="12" t="s">
        <v>550</v>
      </c>
      <c r="B147" s="12" t="s">
        <v>58</v>
      </c>
      <c r="C147" s="12" t="s">
        <v>56</v>
      </c>
      <c r="D147" s="18">
        <v>4.0</v>
      </c>
      <c r="E147" s="18">
        <v>35.0</v>
      </c>
      <c r="F147" s="18">
        <v>0.0</v>
      </c>
      <c r="G147" s="18">
        <v>8.75</v>
      </c>
      <c r="H147" s="18">
        <v>9.0</v>
      </c>
      <c r="I147" s="18">
        <v>4.0</v>
      </c>
      <c r="J147" s="18">
        <v>1.0</v>
      </c>
      <c r="K147" s="18">
        <v>0.0</v>
      </c>
      <c r="L147" s="18">
        <v>1.0</v>
      </c>
    </row>
    <row r="148" ht="15.75" customHeight="1">
      <c r="A148" s="12" t="s">
        <v>548</v>
      </c>
      <c r="B148" s="12" t="s">
        <v>58</v>
      </c>
      <c r="C148" s="12" t="s">
        <v>56</v>
      </c>
      <c r="D148" s="18">
        <v>4.0</v>
      </c>
      <c r="E148" s="18">
        <v>43.0</v>
      </c>
      <c r="F148" s="18">
        <v>0.0</v>
      </c>
      <c r="G148" s="18">
        <v>10.75</v>
      </c>
      <c r="H148" s="18">
        <v>4.0</v>
      </c>
      <c r="I148" s="18">
        <v>0.0</v>
      </c>
      <c r="J148" s="18">
        <v>4.0</v>
      </c>
      <c r="K148" s="18">
        <v>0.0</v>
      </c>
      <c r="L148" s="18">
        <v>0.0</v>
      </c>
    </row>
    <row r="149" ht="15.75" customHeight="1">
      <c r="A149" s="12" t="s">
        <v>565</v>
      </c>
      <c r="B149" s="12" t="s">
        <v>58</v>
      </c>
      <c r="C149" s="12" t="s">
        <v>56</v>
      </c>
      <c r="D149" s="18">
        <v>4.0</v>
      </c>
      <c r="E149" s="18">
        <v>55.0</v>
      </c>
      <c r="F149" s="18">
        <v>1.0</v>
      </c>
      <c r="G149" s="18">
        <v>13.75</v>
      </c>
      <c r="H149" s="18">
        <v>6.0</v>
      </c>
      <c r="I149" s="18">
        <v>2.0</v>
      </c>
      <c r="J149" s="18">
        <v>5.0</v>
      </c>
      <c r="K149" s="18">
        <v>1.0</v>
      </c>
      <c r="L149" s="18">
        <v>0.0</v>
      </c>
    </row>
    <row r="150" ht="15.75" customHeight="1">
      <c r="A150" s="12" t="s">
        <v>566</v>
      </c>
      <c r="B150" s="12" t="s">
        <v>56</v>
      </c>
      <c r="C150" s="12" t="s">
        <v>58</v>
      </c>
      <c r="D150" s="18">
        <v>3.3</v>
      </c>
      <c r="E150" s="18">
        <v>30.0</v>
      </c>
      <c r="F150" s="18">
        <v>2.0</v>
      </c>
      <c r="G150" s="18">
        <v>8.57</v>
      </c>
      <c r="H150" s="18">
        <v>6.0</v>
      </c>
      <c r="I150" s="18">
        <v>3.0</v>
      </c>
      <c r="J150" s="18">
        <v>1.0</v>
      </c>
      <c r="K150" s="18">
        <v>0.0</v>
      </c>
      <c r="L150" s="18">
        <v>0.0</v>
      </c>
    </row>
    <row r="151" ht="15.75" customHeight="1">
      <c r="A151" s="12" t="s">
        <v>569</v>
      </c>
      <c r="B151" s="12" t="s">
        <v>56</v>
      </c>
      <c r="C151" s="12" t="s">
        <v>58</v>
      </c>
      <c r="D151" s="18">
        <v>4.0</v>
      </c>
      <c r="E151" s="18">
        <v>21.0</v>
      </c>
      <c r="F151" s="18">
        <v>1.0</v>
      </c>
      <c r="G151" s="18">
        <v>5.25</v>
      </c>
      <c r="H151" s="18">
        <v>11.0</v>
      </c>
      <c r="I151" s="18">
        <v>1.0</v>
      </c>
      <c r="J151" s="18">
        <v>1.0</v>
      </c>
      <c r="K151" s="18">
        <v>0.0</v>
      </c>
      <c r="L151" s="18">
        <v>0.0</v>
      </c>
    </row>
    <row r="152" ht="15.75" customHeight="1">
      <c r="A152" s="12" t="s">
        <v>570</v>
      </c>
      <c r="B152" s="12" t="s">
        <v>56</v>
      </c>
      <c r="C152" s="12" t="s">
        <v>58</v>
      </c>
      <c r="D152" s="18">
        <v>4.0</v>
      </c>
      <c r="E152" s="18">
        <v>23.0</v>
      </c>
      <c r="F152" s="18">
        <v>3.0</v>
      </c>
      <c r="G152" s="18">
        <v>5.75</v>
      </c>
      <c r="H152" s="18">
        <v>7.0</v>
      </c>
      <c r="I152" s="18">
        <v>1.0</v>
      </c>
      <c r="J152" s="18">
        <v>0.0</v>
      </c>
      <c r="K152" s="18">
        <v>2.0</v>
      </c>
      <c r="L152" s="18">
        <v>0.0</v>
      </c>
    </row>
    <row r="153" ht="15.75" customHeight="1">
      <c r="A153" s="12" t="s">
        <v>535</v>
      </c>
      <c r="B153" s="12" t="s">
        <v>56</v>
      </c>
      <c r="C153" s="12" t="s">
        <v>58</v>
      </c>
      <c r="D153" s="18">
        <v>3.0</v>
      </c>
      <c r="E153" s="18">
        <v>20.0</v>
      </c>
      <c r="F153" s="18">
        <v>1.0</v>
      </c>
      <c r="G153" s="18">
        <v>6.66</v>
      </c>
      <c r="H153" s="18">
        <v>7.0</v>
      </c>
      <c r="I153" s="18">
        <v>1.0</v>
      </c>
      <c r="J153" s="18">
        <v>1.0</v>
      </c>
      <c r="K153" s="18">
        <v>0.0</v>
      </c>
      <c r="L153" s="18">
        <v>0.0</v>
      </c>
    </row>
    <row r="154" ht="15.75" customHeight="1">
      <c r="A154" s="12" t="s">
        <v>537</v>
      </c>
      <c r="B154" s="12" t="s">
        <v>56</v>
      </c>
      <c r="C154" s="12" t="s">
        <v>58</v>
      </c>
      <c r="D154" s="18">
        <v>4.0</v>
      </c>
      <c r="E154" s="18">
        <v>33.0</v>
      </c>
      <c r="F154" s="18">
        <v>3.0</v>
      </c>
      <c r="G154" s="18">
        <v>8.25</v>
      </c>
      <c r="H154" s="18">
        <v>12.0</v>
      </c>
      <c r="I154" s="18">
        <v>2.0</v>
      </c>
      <c r="J154" s="18">
        <v>2.0</v>
      </c>
      <c r="K154" s="18">
        <v>3.0</v>
      </c>
      <c r="L154" s="18">
        <v>0.0</v>
      </c>
    </row>
    <row r="155" ht="15.75" customHeight="1">
      <c r="A155" s="12" t="s">
        <v>566</v>
      </c>
      <c r="B155" s="12" t="s">
        <v>56</v>
      </c>
      <c r="C155" s="12" t="s">
        <v>58</v>
      </c>
      <c r="D155" s="18">
        <v>4.0</v>
      </c>
      <c r="E155" s="18">
        <v>39.0</v>
      </c>
      <c r="F155" s="18">
        <v>0.0</v>
      </c>
      <c r="G155" s="18">
        <v>9.75</v>
      </c>
      <c r="H155" s="18">
        <v>9.0</v>
      </c>
      <c r="I155" s="18">
        <v>1.0</v>
      </c>
      <c r="J155" s="18">
        <v>3.0</v>
      </c>
      <c r="K155" s="18">
        <v>1.0</v>
      </c>
      <c r="L155" s="18">
        <v>0.0</v>
      </c>
    </row>
    <row r="156" ht="15.75" customHeight="1">
      <c r="A156" s="12" t="s">
        <v>569</v>
      </c>
      <c r="B156" s="12" t="s">
        <v>56</v>
      </c>
      <c r="C156" s="12" t="s">
        <v>58</v>
      </c>
      <c r="D156" s="18">
        <v>4.0</v>
      </c>
      <c r="E156" s="18">
        <v>31.0</v>
      </c>
      <c r="F156" s="18">
        <v>1.0</v>
      </c>
      <c r="G156" s="18">
        <v>7.75</v>
      </c>
      <c r="H156" s="18">
        <v>9.0</v>
      </c>
      <c r="I156" s="18">
        <v>3.0</v>
      </c>
      <c r="J156" s="18">
        <v>1.0</v>
      </c>
      <c r="K156" s="18">
        <v>1.0</v>
      </c>
      <c r="L156" s="18">
        <v>0.0</v>
      </c>
    </row>
    <row r="157" ht="15.75" customHeight="1">
      <c r="A157" s="12" t="s">
        <v>535</v>
      </c>
      <c r="B157" s="12" t="s">
        <v>56</v>
      </c>
      <c r="C157" s="12" t="s">
        <v>58</v>
      </c>
      <c r="D157" s="18">
        <v>4.0</v>
      </c>
      <c r="E157" s="18">
        <v>30.0</v>
      </c>
      <c r="F157" s="18">
        <v>3.0</v>
      </c>
      <c r="G157" s="18">
        <v>7.5</v>
      </c>
      <c r="H157" s="18">
        <v>11.0</v>
      </c>
      <c r="I157" s="18">
        <v>2.0</v>
      </c>
      <c r="J157" s="18">
        <v>1.0</v>
      </c>
      <c r="K157" s="18">
        <v>1.0</v>
      </c>
      <c r="L157" s="18">
        <v>0.0</v>
      </c>
    </row>
    <row r="158" ht="15.75" customHeight="1">
      <c r="A158" s="12" t="s">
        <v>570</v>
      </c>
      <c r="B158" s="12" t="s">
        <v>56</v>
      </c>
      <c r="C158" s="12" t="s">
        <v>58</v>
      </c>
      <c r="D158" s="18">
        <v>2.0</v>
      </c>
      <c r="E158" s="18">
        <v>35.0</v>
      </c>
      <c r="F158" s="18">
        <v>0.0</v>
      </c>
      <c r="G158" s="18">
        <v>17.5</v>
      </c>
      <c r="H158" s="18">
        <v>2.0</v>
      </c>
      <c r="I158" s="18">
        <v>4.0</v>
      </c>
      <c r="J158" s="18">
        <v>2.0</v>
      </c>
      <c r="K158" s="18">
        <v>3.0</v>
      </c>
      <c r="L158" s="18">
        <v>0.0</v>
      </c>
    </row>
    <row r="159" ht="15.75" customHeight="1">
      <c r="A159" s="12" t="s">
        <v>537</v>
      </c>
      <c r="B159" s="12" t="s">
        <v>56</v>
      </c>
      <c r="C159" s="12" t="s">
        <v>58</v>
      </c>
      <c r="D159" s="18">
        <v>4.0</v>
      </c>
      <c r="E159" s="18">
        <v>21.0</v>
      </c>
      <c r="F159" s="18">
        <v>2.0</v>
      </c>
      <c r="G159" s="18">
        <v>5.25</v>
      </c>
      <c r="H159" s="18">
        <v>10.0</v>
      </c>
      <c r="I159" s="18">
        <v>2.0</v>
      </c>
      <c r="J159" s="18">
        <v>0.0</v>
      </c>
      <c r="K159" s="18">
        <v>0.0</v>
      </c>
      <c r="L159" s="18">
        <v>0.0</v>
      </c>
    </row>
    <row r="160" ht="15.75" customHeight="1">
      <c r="A160" s="12" t="s">
        <v>559</v>
      </c>
      <c r="B160" s="12" t="s">
        <v>56</v>
      </c>
      <c r="C160" s="12" t="s">
        <v>58</v>
      </c>
      <c r="D160" s="18">
        <v>2.0</v>
      </c>
      <c r="E160" s="18">
        <v>17.0</v>
      </c>
      <c r="F160" s="18">
        <v>1.0</v>
      </c>
      <c r="G160" s="18">
        <v>8.5</v>
      </c>
      <c r="H160" s="18">
        <v>7.0</v>
      </c>
      <c r="I160" s="18">
        <v>0.0</v>
      </c>
      <c r="J160" s="18">
        <v>2.0</v>
      </c>
      <c r="K160" s="18">
        <v>1.0</v>
      </c>
      <c r="L160" s="18">
        <v>0.0</v>
      </c>
    </row>
    <row r="161" ht="15.75" customHeight="1">
      <c r="A161" s="12" t="s">
        <v>545</v>
      </c>
      <c r="B161" s="12" t="s">
        <v>58</v>
      </c>
      <c r="C161" s="12" t="s">
        <v>56</v>
      </c>
      <c r="D161" s="18">
        <v>3.0</v>
      </c>
      <c r="E161" s="18">
        <v>32.0</v>
      </c>
      <c r="F161" s="18">
        <v>0.0</v>
      </c>
      <c r="G161" s="18">
        <v>10.66</v>
      </c>
      <c r="H161" s="18">
        <v>5.0</v>
      </c>
      <c r="I161" s="18">
        <v>5.0</v>
      </c>
      <c r="J161" s="18">
        <v>0.0</v>
      </c>
      <c r="K161" s="18">
        <v>0.0</v>
      </c>
      <c r="L161" s="18">
        <v>0.0</v>
      </c>
    </row>
    <row r="162" ht="15.75" customHeight="1">
      <c r="A162" s="12" t="s">
        <v>563</v>
      </c>
      <c r="B162" s="12" t="s">
        <v>58</v>
      </c>
      <c r="C162" s="12" t="s">
        <v>56</v>
      </c>
      <c r="D162" s="18">
        <v>2.0</v>
      </c>
      <c r="E162" s="18">
        <v>28.0</v>
      </c>
      <c r="F162" s="18">
        <v>1.0</v>
      </c>
      <c r="G162" s="18">
        <v>14.0</v>
      </c>
      <c r="H162" s="18">
        <v>1.0</v>
      </c>
      <c r="I162" s="18">
        <v>3.0</v>
      </c>
      <c r="J162" s="18">
        <v>1.0</v>
      </c>
      <c r="K162" s="18">
        <v>1.0</v>
      </c>
      <c r="L162" s="18">
        <v>0.0</v>
      </c>
    </row>
    <row r="163" ht="15.75" customHeight="1">
      <c r="A163" s="12" t="s">
        <v>564</v>
      </c>
      <c r="B163" s="12" t="s">
        <v>58</v>
      </c>
      <c r="C163" s="12" t="s">
        <v>56</v>
      </c>
      <c r="D163" s="18">
        <v>2.0</v>
      </c>
      <c r="E163" s="18">
        <v>27.0</v>
      </c>
      <c r="F163" s="18">
        <v>0.0</v>
      </c>
      <c r="G163" s="18">
        <v>13.5</v>
      </c>
      <c r="H163" s="18">
        <v>3.0</v>
      </c>
      <c r="I163" s="18">
        <v>2.0</v>
      </c>
      <c r="J163" s="18">
        <v>2.0</v>
      </c>
      <c r="K163" s="18">
        <v>0.0</v>
      </c>
      <c r="L163" s="18">
        <v>0.0</v>
      </c>
    </row>
    <row r="164" ht="15.75" customHeight="1">
      <c r="A164" s="12" t="s">
        <v>548</v>
      </c>
      <c r="B164" s="12" t="s">
        <v>58</v>
      </c>
      <c r="C164" s="12" t="s">
        <v>56</v>
      </c>
      <c r="D164" s="18">
        <v>4.0</v>
      </c>
      <c r="E164" s="18">
        <v>41.0</v>
      </c>
      <c r="F164" s="18">
        <v>0.0</v>
      </c>
      <c r="G164" s="18">
        <v>10.25</v>
      </c>
      <c r="H164" s="18">
        <v>7.0</v>
      </c>
      <c r="I164" s="18">
        <v>3.0</v>
      </c>
      <c r="J164" s="18">
        <v>3.0</v>
      </c>
      <c r="K164" s="18">
        <v>0.0</v>
      </c>
      <c r="L164" s="18">
        <v>0.0</v>
      </c>
    </row>
    <row r="165" ht="15.75" customHeight="1">
      <c r="A165" s="12" t="s">
        <v>552</v>
      </c>
      <c r="B165" s="12" t="s">
        <v>58</v>
      </c>
      <c r="C165" s="12" t="s">
        <v>56</v>
      </c>
      <c r="D165" s="18">
        <v>4.0</v>
      </c>
      <c r="E165" s="18">
        <v>27.0</v>
      </c>
      <c r="F165" s="18">
        <v>2.0</v>
      </c>
      <c r="G165" s="18">
        <v>6.75</v>
      </c>
      <c r="H165" s="18">
        <v>6.0</v>
      </c>
      <c r="I165" s="18">
        <v>3.0</v>
      </c>
      <c r="J165" s="18">
        <v>0.0</v>
      </c>
      <c r="K165" s="18">
        <v>0.0</v>
      </c>
      <c r="L165" s="18">
        <v>0.0</v>
      </c>
    </row>
    <row r="166" ht="15.75" customHeight="1">
      <c r="A166" s="12" t="s">
        <v>496</v>
      </c>
      <c r="B166" s="12" t="s">
        <v>58</v>
      </c>
      <c r="C166" s="12" t="s">
        <v>56</v>
      </c>
      <c r="D166" s="18">
        <v>2.2</v>
      </c>
      <c r="E166" s="18">
        <v>23.0</v>
      </c>
      <c r="F166" s="18">
        <v>0.0</v>
      </c>
      <c r="G166" s="18">
        <v>9.85</v>
      </c>
      <c r="H166" s="18">
        <v>4.0</v>
      </c>
      <c r="I166" s="18">
        <v>2.0</v>
      </c>
      <c r="J166" s="18">
        <v>1.0</v>
      </c>
      <c r="K166" s="18">
        <v>0.0</v>
      </c>
      <c r="L166" s="18">
        <v>0.0</v>
      </c>
    </row>
    <row r="167" ht="15.75" customHeight="1">
      <c r="A167" s="12" t="s">
        <v>571</v>
      </c>
      <c r="B167" s="12" t="s">
        <v>62</v>
      </c>
      <c r="C167" s="12" t="s">
        <v>572</v>
      </c>
      <c r="D167" s="18">
        <v>4.0</v>
      </c>
      <c r="E167" s="18">
        <v>38.0</v>
      </c>
      <c r="F167" s="18">
        <v>2.0</v>
      </c>
      <c r="G167" s="18">
        <v>9.5</v>
      </c>
      <c r="H167" s="18">
        <v>8.0</v>
      </c>
      <c r="I167" s="18">
        <v>2.0</v>
      </c>
      <c r="J167" s="18">
        <v>2.0</v>
      </c>
      <c r="K167" s="18">
        <v>1.0</v>
      </c>
      <c r="L167" s="18">
        <v>0.0</v>
      </c>
    </row>
    <row r="168" ht="15.75" customHeight="1">
      <c r="A168" s="12" t="s">
        <v>573</v>
      </c>
      <c r="B168" s="12" t="s">
        <v>62</v>
      </c>
      <c r="C168" s="12" t="s">
        <v>572</v>
      </c>
      <c r="D168" s="18">
        <v>4.0</v>
      </c>
      <c r="E168" s="18">
        <v>12.0</v>
      </c>
      <c r="F168" s="18">
        <v>2.0</v>
      </c>
      <c r="G168" s="18">
        <v>3.0</v>
      </c>
      <c r="H168" s="18">
        <v>14.0</v>
      </c>
      <c r="I168" s="18">
        <v>0.0</v>
      </c>
      <c r="J168" s="18">
        <v>0.0</v>
      </c>
      <c r="K168" s="18">
        <v>0.0</v>
      </c>
      <c r="L168" s="18">
        <v>0.0</v>
      </c>
    </row>
    <row r="169" ht="15.75" customHeight="1">
      <c r="A169" s="12" t="s">
        <v>526</v>
      </c>
      <c r="B169" s="12" t="s">
        <v>62</v>
      </c>
      <c r="C169" s="12" t="s">
        <v>572</v>
      </c>
      <c r="D169" s="18">
        <v>3.0</v>
      </c>
      <c r="E169" s="18">
        <v>27.0</v>
      </c>
      <c r="F169" s="18">
        <v>0.0</v>
      </c>
      <c r="G169" s="18">
        <v>9.0</v>
      </c>
      <c r="H169" s="18">
        <v>7.0</v>
      </c>
      <c r="I169" s="18">
        <v>3.0</v>
      </c>
      <c r="J169" s="18">
        <v>1.0</v>
      </c>
      <c r="K169" s="18">
        <v>0.0</v>
      </c>
      <c r="L169" s="18">
        <v>0.0</v>
      </c>
    </row>
    <row r="170" ht="15.75" customHeight="1">
      <c r="A170" s="12" t="s">
        <v>528</v>
      </c>
      <c r="B170" s="12" t="s">
        <v>62</v>
      </c>
      <c r="C170" s="12" t="s">
        <v>572</v>
      </c>
      <c r="D170" s="18">
        <v>4.0</v>
      </c>
      <c r="E170" s="18">
        <v>38.0</v>
      </c>
      <c r="F170" s="18">
        <v>3.0</v>
      </c>
      <c r="G170" s="18">
        <v>9.5</v>
      </c>
      <c r="H170" s="18">
        <v>8.0</v>
      </c>
      <c r="I170" s="18">
        <v>3.0</v>
      </c>
      <c r="J170" s="18">
        <v>2.0</v>
      </c>
      <c r="K170" s="18">
        <v>0.0</v>
      </c>
      <c r="L170" s="18">
        <v>0.0</v>
      </c>
    </row>
    <row r="171" ht="15.75" customHeight="1">
      <c r="A171" s="12" t="s">
        <v>527</v>
      </c>
      <c r="B171" s="12" t="s">
        <v>62</v>
      </c>
      <c r="C171" s="12" t="s">
        <v>572</v>
      </c>
      <c r="D171" s="18">
        <v>4.0</v>
      </c>
      <c r="E171" s="18">
        <v>22.0</v>
      </c>
      <c r="F171" s="18">
        <v>2.0</v>
      </c>
      <c r="G171" s="18">
        <v>5.5</v>
      </c>
      <c r="H171" s="18">
        <v>9.0</v>
      </c>
      <c r="I171" s="18">
        <v>1.0</v>
      </c>
      <c r="J171" s="18">
        <v>0.0</v>
      </c>
      <c r="K171" s="18">
        <v>3.0</v>
      </c>
      <c r="L171" s="18">
        <v>0.0</v>
      </c>
    </row>
    <row r="172" ht="15.75" customHeight="1">
      <c r="A172" s="12" t="s">
        <v>530</v>
      </c>
      <c r="B172" s="12" t="s">
        <v>62</v>
      </c>
      <c r="C172" s="12" t="s">
        <v>572</v>
      </c>
      <c r="D172" s="18">
        <v>1.0</v>
      </c>
      <c r="E172" s="18">
        <v>8.0</v>
      </c>
      <c r="F172" s="18">
        <v>0.0</v>
      </c>
      <c r="G172" s="18">
        <v>8.0</v>
      </c>
      <c r="H172" s="18">
        <v>0.0</v>
      </c>
      <c r="I172" s="18">
        <v>0.0</v>
      </c>
      <c r="J172" s="18">
        <v>0.0</v>
      </c>
      <c r="K172" s="18">
        <v>0.0</v>
      </c>
      <c r="L172" s="18">
        <v>0.0</v>
      </c>
    </row>
    <row r="173" ht="15.75" customHeight="1">
      <c r="A173" s="12" t="s">
        <v>574</v>
      </c>
      <c r="B173" s="12" t="s">
        <v>572</v>
      </c>
      <c r="C173" s="12" t="s">
        <v>62</v>
      </c>
      <c r="D173" s="18">
        <v>4.0</v>
      </c>
      <c r="E173" s="18">
        <v>41.0</v>
      </c>
      <c r="F173" s="18">
        <v>0.0</v>
      </c>
      <c r="G173" s="18">
        <v>10.25</v>
      </c>
      <c r="H173" s="18">
        <v>11.0</v>
      </c>
      <c r="I173" s="18">
        <v>5.0</v>
      </c>
      <c r="J173" s="18">
        <v>2.0</v>
      </c>
      <c r="K173" s="18">
        <v>2.0</v>
      </c>
      <c r="L173" s="18">
        <v>0.0</v>
      </c>
    </row>
    <row r="174" ht="15.75" customHeight="1">
      <c r="A174" s="12" t="s">
        <v>575</v>
      </c>
      <c r="B174" s="12" t="s">
        <v>572</v>
      </c>
      <c r="C174" s="12" t="s">
        <v>62</v>
      </c>
      <c r="D174" s="18">
        <v>4.0</v>
      </c>
      <c r="E174" s="18">
        <v>12.0</v>
      </c>
      <c r="F174" s="18">
        <v>4.0</v>
      </c>
      <c r="G174" s="18">
        <v>3.0</v>
      </c>
      <c r="H174" s="18">
        <v>14.0</v>
      </c>
      <c r="I174" s="18">
        <v>0.0</v>
      </c>
      <c r="J174" s="18">
        <v>0.0</v>
      </c>
      <c r="K174" s="18">
        <v>0.0</v>
      </c>
      <c r="L174" s="18">
        <v>0.0</v>
      </c>
    </row>
    <row r="175" ht="15.75" customHeight="1">
      <c r="A175" s="12" t="s">
        <v>463</v>
      </c>
      <c r="B175" s="12" t="s">
        <v>572</v>
      </c>
      <c r="C175" s="12" t="s">
        <v>62</v>
      </c>
      <c r="D175" s="18">
        <v>4.0</v>
      </c>
      <c r="E175" s="18">
        <v>32.0</v>
      </c>
      <c r="F175" s="18">
        <v>1.0</v>
      </c>
      <c r="G175" s="18">
        <v>8.0</v>
      </c>
      <c r="H175" s="18">
        <v>10.0</v>
      </c>
      <c r="I175" s="18">
        <v>4.0</v>
      </c>
      <c r="J175" s="18">
        <v>1.0</v>
      </c>
      <c r="K175" s="18">
        <v>1.0</v>
      </c>
      <c r="L175" s="18">
        <v>0.0</v>
      </c>
    </row>
    <row r="176" ht="15.75" customHeight="1">
      <c r="A176" s="12" t="s">
        <v>483</v>
      </c>
      <c r="B176" s="12" t="s">
        <v>572</v>
      </c>
      <c r="C176" s="12" t="s">
        <v>62</v>
      </c>
      <c r="D176" s="18">
        <v>3.0</v>
      </c>
      <c r="E176" s="18">
        <v>12.0</v>
      </c>
      <c r="F176" s="18">
        <v>0.0</v>
      </c>
      <c r="G176" s="18">
        <v>4.0</v>
      </c>
      <c r="H176" s="18">
        <v>10.0</v>
      </c>
      <c r="I176" s="18">
        <v>1.0</v>
      </c>
      <c r="J176" s="18">
        <v>0.0</v>
      </c>
      <c r="K176" s="18">
        <v>0.0</v>
      </c>
      <c r="L176" s="18">
        <v>0.0</v>
      </c>
    </row>
    <row r="177" ht="15.75" customHeight="1">
      <c r="A177" s="12" t="s">
        <v>576</v>
      </c>
      <c r="B177" s="12" t="s">
        <v>572</v>
      </c>
      <c r="C177" s="12" t="s">
        <v>62</v>
      </c>
      <c r="D177" s="18">
        <v>4.0</v>
      </c>
      <c r="E177" s="18">
        <v>18.0</v>
      </c>
      <c r="F177" s="18">
        <v>3.0</v>
      </c>
      <c r="G177" s="18">
        <v>4.5</v>
      </c>
      <c r="H177" s="18">
        <v>12.0</v>
      </c>
      <c r="I177" s="18">
        <v>1.0</v>
      </c>
      <c r="J177" s="18">
        <v>0.0</v>
      </c>
      <c r="K177" s="18">
        <v>1.0</v>
      </c>
      <c r="L177" s="18">
        <v>0.0</v>
      </c>
    </row>
    <row r="178" ht="15.75" customHeight="1">
      <c r="A178" s="12" t="s">
        <v>571</v>
      </c>
      <c r="B178" s="12" t="s">
        <v>62</v>
      </c>
      <c r="C178" s="12" t="s">
        <v>572</v>
      </c>
      <c r="D178" s="18">
        <v>4.0</v>
      </c>
      <c r="E178" s="18">
        <v>30.0</v>
      </c>
      <c r="F178" s="18">
        <v>2.0</v>
      </c>
      <c r="G178" s="18">
        <v>7.5</v>
      </c>
      <c r="H178" s="18">
        <v>9.0</v>
      </c>
      <c r="I178" s="18">
        <v>4.0</v>
      </c>
      <c r="J178" s="18">
        <v>0.0</v>
      </c>
      <c r="K178" s="18">
        <v>0.0</v>
      </c>
      <c r="L178" s="18">
        <v>0.0</v>
      </c>
    </row>
    <row r="179" ht="15.75" customHeight="1">
      <c r="A179" s="12" t="s">
        <v>577</v>
      </c>
      <c r="B179" s="12" t="s">
        <v>62</v>
      </c>
      <c r="C179" s="12" t="s">
        <v>572</v>
      </c>
      <c r="D179" s="18">
        <v>4.0</v>
      </c>
      <c r="E179" s="18">
        <v>40.0</v>
      </c>
      <c r="F179" s="18">
        <v>1.0</v>
      </c>
      <c r="G179" s="18">
        <v>10.0</v>
      </c>
      <c r="H179" s="18">
        <v>7.0</v>
      </c>
      <c r="I179" s="18">
        <v>3.0</v>
      </c>
      <c r="J179" s="18">
        <v>1.0</v>
      </c>
      <c r="K179" s="18">
        <v>1.0</v>
      </c>
      <c r="L179" s="18">
        <v>0.0</v>
      </c>
    </row>
    <row r="180" ht="15.75" customHeight="1">
      <c r="A180" s="12" t="s">
        <v>526</v>
      </c>
      <c r="B180" s="12" t="s">
        <v>62</v>
      </c>
      <c r="C180" s="12" t="s">
        <v>572</v>
      </c>
      <c r="D180" s="18">
        <v>4.0</v>
      </c>
      <c r="E180" s="18">
        <v>31.0</v>
      </c>
      <c r="F180" s="18">
        <v>1.0</v>
      </c>
      <c r="G180" s="18">
        <v>7.75</v>
      </c>
      <c r="H180" s="18">
        <v>6.0</v>
      </c>
      <c r="I180" s="18">
        <v>4.0</v>
      </c>
      <c r="J180" s="18">
        <v>0.0</v>
      </c>
      <c r="K180" s="18">
        <v>0.0</v>
      </c>
      <c r="L180" s="18">
        <v>0.0</v>
      </c>
    </row>
    <row r="181" ht="15.75" customHeight="1">
      <c r="A181" s="12" t="s">
        <v>528</v>
      </c>
      <c r="B181" s="12" t="s">
        <v>62</v>
      </c>
      <c r="C181" s="12" t="s">
        <v>572</v>
      </c>
      <c r="D181" s="18">
        <v>4.0</v>
      </c>
      <c r="E181" s="18">
        <v>33.0</v>
      </c>
      <c r="F181" s="18">
        <v>2.0</v>
      </c>
      <c r="G181" s="18">
        <v>8.25</v>
      </c>
      <c r="H181" s="18">
        <v>7.0</v>
      </c>
      <c r="I181" s="18">
        <v>4.0</v>
      </c>
      <c r="J181" s="18">
        <v>0.0</v>
      </c>
      <c r="K181" s="18">
        <v>0.0</v>
      </c>
      <c r="L181" s="18">
        <v>0.0</v>
      </c>
    </row>
    <row r="182" ht="15.75" customHeight="1">
      <c r="A182" s="12" t="s">
        <v>527</v>
      </c>
      <c r="B182" s="12" t="s">
        <v>62</v>
      </c>
      <c r="C182" s="12" t="s">
        <v>572</v>
      </c>
      <c r="D182" s="18">
        <v>4.0</v>
      </c>
      <c r="E182" s="18">
        <v>28.0</v>
      </c>
      <c r="F182" s="18">
        <v>0.0</v>
      </c>
      <c r="G182" s="18">
        <v>7.0</v>
      </c>
      <c r="H182" s="18">
        <v>9.0</v>
      </c>
      <c r="I182" s="18">
        <v>3.0</v>
      </c>
      <c r="J182" s="18">
        <v>0.0</v>
      </c>
      <c r="K182" s="18">
        <v>3.0</v>
      </c>
      <c r="L182" s="18">
        <v>0.0</v>
      </c>
    </row>
    <row r="183" ht="15.75" customHeight="1">
      <c r="A183" s="12" t="s">
        <v>575</v>
      </c>
      <c r="B183" s="12" t="s">
        <v>572</v>
      </c>
      <c r="C183" s="12" t="s">
        <v>62</v>
      </c>
      <c r="D183" s="18">
        <v>4.0</v>
      </c>
      <c r="E183" s="18">
        <v>22.0</v>
      </c>
      <c r="F183" s="18">
        <v>3.0</v>
      </c>
      <c r="G183" s="18">
        <v>5.5</v>
      </c>
      <c r="H183" s="18">
        <v>12.0</v>
      </c>
      <c r="I183" s="18">
        <v>1.0</v>
      </c>
      <c r="J183" s="18">
        <v>1.0</v>
      </c>
      <c r="K183" s="18">
        <v>0.0</v>
      </c>
      <c r="L183" s="18">
        <v>0.0</v>
      </c>
    </row>
    <row r="184" ht="15.75" customHeight="1">
      <c r="A184" s="12" t="s">
        <v>463</v>
      </c>
      <c r="B184" s="12" t="s">
        <v>572</v>
      </c>
      <c r="C184" s="12" t="s">
        <v>62</v>
      </c>
      <c r="D184" s="18">
        <v>4.0</v>
      </c>
      <c r="E184" s="18">
        <v>30.0</v>
      </c>
      <c r="F184" s="18">
        <v>1.0</v>
      </c>
      <c r="G184" s="18">
        <v>7.5</v>
      </c>
      <c r="H184" s="18">
        <v>13.0</v>
      </c>
      <c r="I184" s="18">
        <v>4.0</v>
      </c>
      <c r="J184" s="18">
        <v>1.0</v>
      </c>
      <c r="K184" s="18">
        <v>1.0</v>
      </c>
      <c r="L184" s="18">
        <v>0.0</v>
      </c>
    </row>
    <row r="185" ht="15.75" customHeight="1">
      <c r="A185" s="12" t="s">
        <v>483</v>
      </c>
      <c r="B185" s="12" t="s">
        <v>572</v>
      </c>
      <c r="C185" s="12" t="s">
        <v>62</v>
      </c>
      <c r="D185" s="18">
        <v>3.0</v>
      </c>
      <c r="E185" s="18">
        <v>30.0</v>
      </c>
      <c r="F185" s="18">
        <v>1.0</v>
      </c>
      <c r="G185" s="18">
        <v>10.0</v>
      </c>
      <c r="H185" s="18">
        <v>9.0</v>
      </c>
      <c r="I185" s="18">
        <v>3.0</v>
      </c>
      <c r="J185" s="18">
        <v>2.0</v>
      </c>
      <c r="K185" s="18">
        <v>1.0</v>
      </c>
      <c r="L185" s="18">
        <v>0.0</v>
      </c>
    </row>
    <row r="186" ht="15.75" customHeight="1">
      <c r="A186" s="12" t="s">
        <v>578</v>
      </c>
      <c r="B186" s="12" t="s">
        <v>572</v>
      </c>
      <c r="C186" s="12" t="s">
        <v>62</v>
      </c>
      <c r="D186" s="18">
        <v>4.0</v>
      </c>
      <c r="E186" s="18">
        <v>44.0</v>
      </c>
      <c r="F186" s="18">
        <v>1.0</v>
      </c>
      <c r="G186" s="18">
        <v>11.0</v>
      </c>
      <c r="H186" s="18">
        <v>6.0</v>
      </c>
      <c r="I186" s="18">
        <v>5.0</v>
      </c>
      <c r="J186" s="18">
        <v>2.0</v>
      </c>
      <c r="K186" s="18">
        <v>0.0</v>
      </c>
      <c r="L186" s="18">
        <v>0.0</v>
      </c>
    </row>
    <row r="187" ht="15.75" customHeight="1">
      <c r="A187" s="12" t="s">
        <v>576</v>
      </c>
      <c r="B187" s="12" t="s">
        <v>572</v>
      </c>
      <c r="C187" s="12" t="s">
        <v>62</v>
      </c>
      <c r="D187" s="18">
        <v>4.0</v>
      </c>
      <c r="E187" s="18">
        <v>26.0</v>
      </c>
      <c r="F187" s="18">
        <v>1.0</v>
      </c>
      <c r="G187" s="18">
        <v>6.5</v>
      </c>
      <c r="H187" s="18">
        <v>6.0</v>
      </c>
      <c r="I187" s="18">
        <v>1.0</v>
      </c>
      <c r="J187" s="18">
        <v>1.0</v>
      </c>
      <c r="K187" s="18">
        <v>0.0</v>
      </c>
      <c r="L187" s="18">
        <v>0.0</v>
      </c>
    </row>
    <row r="188" ht="15.75" customHeight="1">
      <c r="A188" s="12" t="s">
        <v>484</v>
      </c>
      <c r="B188" s="12" t="s">
        <v>572</v>
      </c>
      <c r="C188" s="12" t="s">
        <v>62</v>
      </c>
      <c r="D188" s="18">
        <v>1.0</v>
      </c>
      <c r="E188" s="18">
        <v>4.0</v>
      </c>
      <c r="F188" s="18">
        <v>0.0</v>
      </c>
      <c r="G188" s="18">
        <v>4.0</v>
      </c>
      <c r="H188" s="18">
        <v>3.0</v>
      </c>
      <c r="I188" s="18">
        <v>0.0</v>
      </c>
      <c r="J188" s="18">
        <v>0.0</v>
      </c>
      <c r="K188" s="18">
        <v>0.0</v>
      </c>
      <c r="L188" s="18">
        <v>0.0</v>
      </c>
    </row>
    <row r="189" ht="15.75" customHeight="1">
      <c r="A189" s="12" t="s">
        <v>574</v>
      </c>
      <c r="B189" s="12" t="s">
        <v>572</v>
      </c>
      <c r="C189" s="12" t="s">
        <v>62</v>
      </c>
      <c r="D189" s="18">
        <v>4.0</v>
      </c>
      <c r="E189" s="18">
        <v>30.0</v>
      </c>
      <c r="F189" s="18">
        <v>0.0</v>
      </c>
      <c r="G189" s="18">
        <v>7.5</v>
      </c>
      <c r="H189" s="18">
        <v>12.0</v>
      </c>
      <c r="I189" s="18">
        <v>4.0</v>
      </c>
      <c r="J189" s="18">
        <v>0.0</v>
      </c>
      <c r="K189" s="18">
        <v>2.0</v>
      </c>
      <c r="L189" s="18">
        <v>1.0</v>
      </c>
    </row>
    <row r="190" ht="15.75" customHeight="1">
      <c r="A190" s="12" t="s">
        <v>575</v>
      </c>
      <c r="B190" s="12" t="s">
        <v>572</v>
      </c>
      <c r="C190" s="12" t="s">
        <v>62</v>
      </c>
      <c r="D190" s="18">
        <v>4.0</v>
      </c>
      <c r="E190" s="18">
        <v>31.0</v>
      </c>
      <c r="F190" s="18">
        <v>1.0</v>
      </c>
      <c r="G190" s="18">
        <v>7.75</v>
      </c>
      <c r="H190" s="18">
        <v>10.0</v>
      </c>
      <c r="I190" s="18">
        <v>4.0</v>
      </c>
      <c r="J190" s="18">
        <v>0.0</v>
      </c>
      <c r="K190" s="18">
        <v>1.0</v>
      </c>
      <c r="L190" s="18">
        <v>0.0</v>
      </c>
    </row>
    <row r="191" ht="15.75" customHeight="1">
      <c r="A191" s="12" t="s">
        <v>578</v>
      </c>
      <c r="B191" s="12" t="s">
        <v>572</v>
      </c>
      <c r="C191" s="12" t="s">
        <v>62</v>
      </c>
      <c r="D191" s="18">
        <v>4.0</v>
      </c>
      <c r="E191" s="18">
        <v>21.0</v>
      </c>
      <c r="F191" s="18">
        <v>3.0</v>
      </c>
      <c r="G191" s="18">
        <v>5.25</v>
      </c>
      <c r="H191" s="18">
        <v>13.0</v>
      </c>
      <c r="I191" s="18">
        <v>1.0</v>
      </c>
      <c r="J191" s="18">
        <v>1.0</v>
      </c>
      <c r="K191" s="18">
        <v>0.0</v>
      </c>
      <c r="L191" s="18">
        <v>0.0</v>
      </c>
    </row>
    <row r="192" ht="15.75" customHeight="1">
      <c r="A192" s="12" t="s">
        <v>579</v>
      </c>
      <c r="B192" s="12" t="s">
        <v>572</v>
      </c>
      <c r="C192" s="12" t="s">
        <v>62</v>
      </c>
      <c r="D192" s="18">
        <v>3.0</v>
      </c>
      <c r="E192" s="18">
        <v>18.0</v>
      </c>
      <c r="F192" s="18">
        <v>0.0</v>
      </c>
      <c r="G192" s="18">
        <v>6.0</v>
      </c>
      <c r="H192" s="18">
        <v>7.0</v>
      </c>
      <c r="I192" s="18">
        <v>2.0</v>
      </c>
      <c r="J192" s="18">
        <v>0.0</v>
      </c>
      <c r="K192" s="18">
        <v>0.0</v>
      </c>
      <c r="L192" s="18">
        <v>0.0</v>
      </c>
    </row>
    <row r="193" ht="15.75" customHeight="1">
      <c r="A193" s="12" t="s">
        <v>580</v>
      </c>
      <c r="B193" s="12" t="s">
        <v>572</v>
      </c>
      <c r="C193" s="12" t="s">
        <v>62</v>
      </c>
      <c r="D193" s="18">
        <v>4.0</v>
      </c>
      <c r="E193" s="18">
        <v>14.0</v>
      </c>
      <c r="F193" s="18">
        <v>1.0</v>
      </c>
      <c r="G193" s="18">
        <v>3.5</v>
      </c>
      <c r="H193" s="18">
        <v>11.0</v>
      </c>
      <c r="I193" s="18">
        <v>0.0</v>
      </c>
      <c r="J193" s="18">
        <v>0.0</v>
      </c>
      <c r="K193" s="18">
        <v>1.0</v>
      </c>
      <c r="L193" s="18">
        <v>0.0</v>
      </c>
    </row>
    <row r="194" ht="15.75" customHeight="1">
      <c r="A194" s="12" t="s">
        <v>484</v>
      </c>
      <c r="B194" s="12" t="s">
        <v>572</v>
      </c>
      <c r="C194" s="12" t="s">
        <v>62</v>
      </c>
      <c r="D194" s="18">
        <v>1.0</v>
      </c>
      <c r="E194" s="18">
        <v>3.0</v>
      </c>
      <c r="F194" s="18">
        <v>1.0</v>
      </c>
      <c r="G194" s="18">
        <v>3.0</v>
      </c>
      <c r="H194" s="18">
        <v>3.0</v>
      </c>
      <c r="I194" s="18">
        <v>0.0</v>
      </c>
      <c r="J194" s="18">
        <v>0.0</v>
      </c>
      <c r="K194" s="18">
        <v>0.0</v>
      </c>
      <c r="L194" s="18">
        <v>0.0</v>
      </c>
    </row>
    <row r="195" ht="15.75" customHeight="1">
      <c r="A195" s="12" t="s">
        <v>526</v>
      </c>
      <c r="B195" s="12" t="s">
        <v>62</v>
      </c>
      <c r="C195" s="12" t="s">
        <v>572</v>
      </c>
      <c r="D195" s="18">
        <v>4.0</v>
      </c>
      <c r="E195" s="18">
        <v>24.0</v>
      </c>
      <c r="F195" s="18">
        <v>3.0</v>
      </c>
      <c r="G195" s="18">
        <v>6.0</v>
      </c>
      <c r="H195" s="18">
        <v>13.0</v>
      </c>
      <c r="I195" s="18">
        <v>2.0</v>
      </c>
      <c r="J195" s="18">
        <v>1.0</v>
      </c>
      <c r="K195" s="18">
        <v>0.0</v>
      </c>
      <c r="L195" s="18">
        <v>0.0</v>
      </c>
    </row>
    <row r="196" ht="15.75" customHeight="1">
      <c r="A196" s="12" t="s">
        <v>577</v>
      </c>
      <c r="B196" s="12" t="s">
        <v>62</v>
      </c>
      <c r="C196" s="12" t="s">
        <v>572</v>
      </c>
      <c r="D196" s="18">
        <v>1.1</v>
      </c>
      <c r="E196" s="18">
        <v>10.0</v>
      </c>
      <c r="F196" s="18">
        <v>0.0</v>
      </c>
      <c r="G196" s="18">
        <v>8.57</v>
      </c>
      <c r="H196" s="18">
        <v>4.0</v>
      </c>
      <c r="I196" s="18">
        <v>2.0</v>
      </c>
      <c r="J196" s="18">
        <v>0.0</v>
      </c>
      <c r="K196" s="18">
        <v>0.0</v>
      </c>
      <c r="L196" s="18">
        <v>1.0</v>
      </c>
    </row>
    <row r="197" ht="15.75" customHeight="1">
      <c r="A197" s="12" t="s">
        <v>527</v>
      </c>
      <c r="B197" s="12" t="s">
        <v>62</v>
      </c>
      <c r="C197" s="12" t="s">
        <v>572</v>
      </c>
      <c r="D197" s="18">
        <v>2.5</v>
      </c>
      <c r="E197" s="18">
        <v>22.0</v>
      </c>
      <c r="F197" s="18">
        <v>0.0</v>
      </c>
      <c r="G197" s="18">
        <v>7.76</v>
      </c>
      <c r="H197" s="18">
        <v>3.0</v>
      </c>
      <c r="I197" s="18">
        <v>0.0</v>
      </c>
      <c r="J197" s="18">
        <v>1.0</v>
      </c>
      <c r="K197" s="18">
        <v>0.0</v>
      </c>
      <c r="L197" s="18">
        <v>0.0</v>
      </c>
    </row>
    <row r="198" ht="15.75" customHeight="1">
      <c r="A198" s="12" t="s">
        <v>571</v>
      </c>
      <c r="B198" s="12" t="s">
        <v>62</v>
      </c>
      <c r="C198" s="12" t="s">
        <v>572</v>
      </c>
      <c r="D198" s="18">
        <v>4.0</v>
      </c>
      <c r="E198" s="18">
        <v>22.0</v>
      </c>
      <c r="F198" s="18">
        <v>0.0</v>
      </c>
      <c r="G198" s="18">
        <v>5.5</v>
      </c>
      <c r="H198" s="18">
        <v>12.0</v>
      </c>
      <c r="I198" s="18">
        <v>3.0</v>
      </c>
      <c r="J198" s="18">
        <v>0.0</v>
      </c>
      <c r="K198" s="18">
        <v>0.0</v>
      </c>
      <c r="L198" s="18">
        <v>0.0</v>
      </c>
    </row>
    <row r="199" ht="15.75" customHeight="1">
      <c r="A199" s="12" t="s">
        <v>581</v>
      </c>
      <c r="B199" s="12" t="s">
        <v>62</v>
      </c>
      <c r="C199" s="12" t="s">
        <v>572</v>
      </c>
      <c r="D199" s="18">
        <v>4.0</v>
      </c>
      <c r="E199" s="18">
        <v>32.0</v>
      </c>
      <c r="F199" s="18">
        <v>1.0</v>
      </c>
      <c r="G199" s="18">
        <v>8.0</v>
      </c>
      <c r="H199" s="18">
        <v>5.0</v>
      </c>
      <c r="I199" s="18">
        <v>2.0</v>
      </c>
      <c r="J199" s="18">
        <v>1.0</v>
      </c>
      <c r="K199" s="18">
        <v>0.0</v>
      </c>
      <c r="L199" s="18">
        <v>0.0</v>
      </c>
    </row>
    <row r="200" ht="15.75" customHeight="1">
      <c r="A200" s="12" t="s">
        <v>530</v>
      </c>
      <c r="B200" s="12" t="s">
        <v>62</v>
      </c>
      <c r="C200" s="12" t="s">
        <v>572</v>
      </c>
      <c r="D200" s="18">
        <v>0.5</v>
      </c>
      <c r="E200" s="18">
        <v>11.0</v>
      </c>
      <c r="F200" s="18">
        <v>0.0</v>
      </c>
      <c r="G200" s="18">
        <v>13.2</v>
      </c>
      <c r="H200" s="18">
        <v>1.0</v>
      </c>
      <c r="I200" s="18">
        <v>2.0</v>
      </c>
      <c r="J200" s="18">
        <v>0.0</v>
      </c>
      <c r="K200" s="18">
        <v>0.0</v>
      </c>
      <c r="L200" s="18">
        <v>0.0</v>
      </c>
    </row>
    <row r="201" ht="15.75" customHeight="1">
      <c r="A201" s="12" t="s">
        <v>582</v>
      </c>
      <c r="B201" s="12" t="s">
        <v>54</v>
      </c>
      <c r="C201" s="12" t="s">
        <v>47</v>
      </c>
      <c r="D201" s="18">
        <v>4.0</v>
      </c>
      <c r="E201" s="18">
        <v>15.0</v>
      </c>
      <c r="F201" s="18">
        <v>1.0</v>
      </c>
      <c r="G201" s="18">
        <v>3.75</v>
      </c>
      <c r="H201" s="18">
        <v>13.0</v>
      </c>
      <c r="I201" s="18">
        <v>1.0</v>
      </c>
      <c r="J201" s="18">
        <v>0.0</v>
      </c>
      <c r="K201" s="18">
        <v>1.0</v>
      </c>
      <c r="L201" s="18">
        <v>0.0</v>
      </c>
    </row>
    <row r="202" ht="15.75" customHeight="1">
      <c r="A202" s="12" t="s">
        <v>583</v>
      </c>
      <c r="B202" s="12" t="s">
        <v>54</v>
      </c>
      <c r="C202" s="12" t="s">
        <v>47</v>
      </c>
      <c r="D202" s="18">
        <v>4.0</v>
      </c>
      <c r="E202" s="18">
        <v>23.0</v>
      </c>
      <c r="F202" s="18">
        <v>1.0</v>
      </c>
      <c r="G202" s="18">
        <v>5.75</v>
      </c>
      <c r="H202" s="18">
        <v>11.0</v>
      </c>
      <c r="I202" s="18">
        <v>2.0</v>
      </c>
      <c r="J202" s="18">
        <v>0.0</v>
      </c>
      <c r="K202" s="18">
        <v>2.0</v>
      </c>
      <c r="L202" s="18">
        <v>0.0</v>
      </c>
    </row>
    <row r="203" ht="15.75" customHeight="1">
      <c r="A203" s="12" t="s">
        <v>584</v>
      </c>
      <c r="B203" s="12" t="s">
        <v>54</v>
      </c>
      <c r="C203" s="12" t="s">
        <v>47</v>
      </c>
      <c r="D203" s="18">
        <v>4.0</v>
      </c>
      <c r="E203" s="18">
        <v>36.0</v>
      </c>
      <c r="F203" s="18">
        <v>2.0</v>
      </c>
      <c r="G203" s="18">
        <v>9.0</v>
      </c>
      <c r="H203" s="18">
        <v>8.0</v>
      </c>
      <c r="I203" s="18">
        <v>3.0</v>
      </c>
      <c r="J203" s="18">
        <v>2.0</v>
      </c>
      <c r="K203" s="18">
        <v>1.0</v>
      </c>
      <c r="L203" s="18">
        <v>0.0</v>
      </c>
    </row>
    <row r="204" ht="15.75" customHeight="1">
      <c r="A204" s="12" t="s">
        <v>585</v>
      </c>
      <c r="B204" s="12" t="s">
        <v>54</v>
      </c>
      <c r="C204" s="12" t="s">
        <v>47</v>
      </c>
      <c r="D204" s="18">
        <v>4.0</v>
      </c>
      <c r="E204" s="18">
        <v>40.0</v>
      </c>
      <c r="F204" s="18">
        <v>1.0</v>
      </c>
      <c r="G204" s="18">
        <v>10.0</v>
      </c>
      <c r="H204" s="18">
        <v>6.0</v>
      </c>
      <c r="I204" s="18">
        <v>2.0</v>
      </c>
      <c r="J204" s="18">
        <v>3.0</v>
      </c>
      <c r="K204" s="18">
        <v>0.0</v>
      </c>
      <c r="L204" s="18">
        <v>0.0</v>
      </c>
    </row>
    <row r="205" ht="15.75" customHeight="1">
      <c r="A205" s="12" t="s">
        <v>586</v>
      </c>
      <c r="B205" s="12" t="s">
        <v>54</v>
      </c>
      <c r="C205" s="12" t="s">
        <v>47</v>
      </c>
      <c r="D205" s="18">
        <v>2.0</v>
      </c>
      <c r="E205" s="18">
        <v>21.0</v>
      </c>
      <c r="F205" s="18">
        <v>0.0</v>
      </c>
      <c r="G205" s="18">
        <v>10.5</v>
      </c>
      <c r="H205" s="18">
        <v>4.0</v>
      </c>
      <c r="I205" s="18">
        <v>2.0</v>
      </c>
      <c r="J205" s="18">
        <v>1.0</v>
      </c>
      <c r="K205" s="18">
        <v>2.0</v>
      </c>
      <c r="L205" s="18">
        <v>0.0</v>
      </c>
    </row>
    <row r="206" ht="15.75" customHeight="1">
      <c r="A206" s="12" t="s">
        <v>587</v>
      </c>
      <c r="B206" s="12" t="s">
        <v>54</v>
      </c>
      <c r="C206" s="12" t="s">
        <v>47</v>
      </c>
      <c r="D206" s="18">
        <v>2.0</v>
      </c>
      <c r="E206" s="18">
        <v>12.0</v>
      </c>
      <c r="F206" s="18">
        <v>1.0</v>
      </c>
      <c r="G206" s="18">
        <v>6.0</v>
      </c>
      <c r="H206" s="18">
        <v>5.0</v>
      </c>
      <c r="I206" s="18">
        <v>0.0</v>
      </c>
      <c r="J206" s="18">
        <v>1.0</v>
      </c>
      <c r="K206" s="18">
        <v>0.0</v>
      </c>
      <c r="L206" s="18">
        <v>0.0</v>
      </c>
    </row>
    <row r="207" ht="15.75" customHeight="1">
      <c r="A207" s="12" t="s">
        <v>588</v>
      </c>
      <c r="B207" s="12" t="s">
        <v>47</v>
      </c>
      <c r="C207" s="12" t="s">
        <v>54</v>
      </c>
      <c r="D207" s="18">
        <v>4.0</v>
      </c>
      <c r="E207" s="18">
        <v>13.0</v>
      </c>
      <c r="F207" s="18">
        <v>4.0</v>
      </c>
      <c r="G207" s="18">
        <v>3.25</v>
      </c>
      <c r="H207" s="18">
        <v>17.0</v>
      </c>
      <c r="I207" s="18">
        <v>2.0</v>
      </c>
      <c r="J207" s="18">
        <v>0.0</v>
      </c>
      <c r="K207" s="18">
        <v>0.0</v>
      </c>
      <c r="L207" s="18">
        <v>0.0</v>
      </c>
    </row>
    <row r="208" ht="15.75" customHeight="1">
      <c r="A208" s="12" t="s">
        <v>589</v>
      </c>
      <c r="B208" s="12" t="s">
        <v>47</v>
      </c>
      <c r="C208" s="12" t="s">
        <v>54</v>
      </c>
      <c r="D208" s="18">
        <v>3.0</v>
      </c>
      <c r="E208" s="18">
        <v>17.0</v>
      </c>
      <c r="F208" s="18">
        <v>0.0</v>
      </c>
      <c r="G208" s="18">
        <v>5.66</v>
      </c>
      <c r="H208" s="18">
        <v>11.0</v>
      </c>
      <c r="I208" s="18">
        <v>3.0</v>
      </c>
      <c r="J208" s="18">
        <v>0.0</v>
      </c>
      <c r="K208" s="18">
        <v>0.0</v>
      </c>
      <c r="L208" s="18">
        <v>0.0</v>
      </c>
    </row>
    <row r="209" ht="15.75" customHeight="1">
      <c r="A209" s="12" t="s">
        <v>167</v>
      </c>
      <c r="B209" s="12" t="s">
        <v>47</v>
      </c>
      <c r="C209" s="12" t="s">
        <v>54</v>
      </c>
      <c r="D209" s="18">
        <v>3.0</v>
      </c>
      <c r="E209" s="18">
        <v>31.0</v>
      </c>
      <c r="F209" s="18">
        <v>0.0</v>
      </c>
      <c r="G209" s="18">
        <v>10.33</v>
      </c>
      <c r="H209" s="18">
        <v>6.0</v>
      </c>
      <c r="I209" s="18">
        <v>3.0</v>
      </c>
      <c r="J209" s="18">
        <v>2.0</v>
      </c>
      <c r="K209" s="18">
        <v>0.0</v>
      </c>
      <c r="L209" s="18">
        <v>0.0</v>
      </c>
    </row>
    <row r="210" ht="15.75" customHeight="1">
      <c r="A210" s="12" t="s">
        <v>521</v>
      </c>
      <c r="B210" s="12" t="s">
        <v>47</v>
      </c>
      <c r="C210" s="12" t="s">
        <v>54</v>
      </c>
      <c r="D210" s="18">
        <v>4.0</v>
      </c>
      <c r="E210" s="18">
        <v>49.0</v>
      </c>
      <c r="F210" s="18">
        <v>1.0</v>
      </c>
      <c r="G210" s="18">
        <v>12.25</v>
      </c>
      <c r="H210" s="18">
        <v>7.0</v>
      </c>
      <c r="I210" s="18">
        <v>3.0</v>
      </c>
      <c r="J210" s="18">
        <v>4.0</v>
      </c>
      <c r="K210" s="18">
        <v>1.0</v>
      </c>
      <c r="L210" s="18">
        <v>0.0</v>
      </c>
    </row>
    <row r="211" ht="15.75" customHeight="1">
      <c r="A211" s="12" t="s">
        <v>522</v>
      </c>
      <c r="B211" s="12" t="s">
        <v>47</v>
      </c>
      <c r="C211" s="12" t="s">
        <v>54</v>
      </c>
      <c r="D211" s="18">
        <v>3.0</v>
      </c>
      <c r="E211" s="18">
        <v>17.0</v>
      </c>
      <c r="F211" s="18">
        <v>1.0</v>
      </c>
      <c r="G211" s="18">
        <v>5.66</v>
      </c>
      <c r="H211" s="18">
        <v>6.0</v>
      </c>
      <c r="I211" s="18">
        <v>1.0</v>
      </c>
      <c r="J211" s="18">
        <v>0.0</v>
      </c>
      <c r="K211" s="18">
        <v>1.0</v>
      </c>
      <c r="L211" s="18">
        <v>0.0</v>
      </c>
    </row>
    <row r="212" ht="15.75" customHeight="1">
      <c r="A212" s="12" t="s">
        <v>523</v>
      </c>
      <c r="B212" s="12" t="s">
        <v>47</v>
      </c>
      <c r="C212" s="12" t="s">
        <v>54</v>
      </c>
      <c r="D212" s="18">
        <v>1.0</v>
      </c>
      <c r="E212" s="18">
        <v>19.0</v>
      </c>
      <c r="F212" s="18">
        <v>0.0</v>
      </c>
      <c r="G212" s="18">
        <v>19.0</v>
      </c>
      <c r="H212" s="18">
        <v>0.0</v>
      </c>
      <c r="I212" s="18">
        <v>2.0</v>
      </c>
      <c r="J212" s="18">
        <v>1.0</v>
      </c>
      <c r="K212" s="18">
        <v>0.0</v>
      </c>
      <c r="L212" s="18">
        <v>0.0</v>
      </c>
    </row>
    <row r="213" ht="15.75" customHeight="1">
      <c r="A213" s="12" t="s">
        <v>165</v>
      </c>
      <c r="B213" s="12" t="s">
        <v>47</v>
      </c>
      <c r="C213" s="12" t="s">
        <v>54</v>
      </c>
      <c r="D213" s="18">
        <v>0.2</v>
      </c>
      <c r="E213" s="18">
        <v>2.0</v>
      </c>
      <c r="F213" s="18">
        <v>0.0</v>
      </c>
      <c r="G213" s="18">
        <v>6.0</v>
      </c>
      <c r="H213" s="18">
        <v>1.0</v>
      </c>
      <c r="I213" s="18">
        <v>0.0</v>
      </c>
      <c r="J213" s="18">
        <v>0.0</v>
      </c>
      <c r="K213" s="18">
        <v>0.0</v>
      </c>
      <c r="L213" s="18">
        <v>0.0</v>
      </c>
    </row>
    <row r="214" ht="15.75" customHeight="1">
      <c r="A214" s="12" t="s">
        <v>582</v>
      </c>
      <c r="B214" s="12" t="s">
        <v>54</v>
      </c>
      <c r="C214" s="12" t="s">
        <v>47</v>
      </c>
      <c r="D214" s="18">
        <v>4.0</v>
      </c>
      <c r="E214" s="18">
        <v>31.0</v>
      </c>
      <c r="F214" s="18">
        <v>1.0</v>
      </c>
      <c r="G214" s="18">
        <v>7.75</v>
      </c>
      <c r="H214" s="18">
        <v>9.0</v>
      </c>
      <c r="I214" s="18">
        <v>3.0</v>
      </c>
      <c r="J214" s="18">
        <v>1.0</v>
      </c>
      <c r="K214" s="18">
        <v>0.0</v>
      </c>
      <c r="L214" s="18">
        <v>0.0</v>
      </c>
    </row>
    <row r="215" ht="15.75" customHeight="1">
      <c r="A215" s="12" t="s">
        <v>583</v>
      </c>
      <c r="B215" s="12" t="s">
        <v>54</v>
      </c>
      <c r="C215" s="12" t="s">
        <v>47</v>
      </c>
      <c r="D215" s="18">
        <v>4.0</v>
      </c>
      <c r="E215" s="18">
        <v>32.0</v>
      </c>
      <c r="F215" s="18">
        <v>0.0</v>
      </c>
      <c r="G215" s="18">
        <v>8.0</v>
      </c>
      <c r="H215" s="18">
        <v>7.0</v>
      </c>
      <c r="I215" s="18">
        <v>4.0</v>
      </c>
      <c r="J215" s="18">
        <v>0.0</v>
      </c>
      <c r="K215" s="18">
        <v>0.0</v>
      </c>
      <c r="L215" s="18">
        <v>0.0</v>
      </c>
    </row>
    <row r="216" ht="15.75" customHeight="1">
      <c r="A216" s="12" t="s">
        <v>584</v>
      </c>
      <c r="B216" s="12" t="s">
        <v>54</v>
      </c>
      <c r="C216" s="12" t="s">
        <v>47</v>
      </c>
      <c r="D216" s="18">
        <v>2.0</v>
      </c>
      <c r="E216" s="18">
        <v>23.0</v>
      </c>
      <c r="F216" s="18">
        <v>0.0</v>
      </c>
      <c r="G216" s="18">
        <v>11.5</v>
      </c>
      <c r="H216" s="18">
        <v>6.0</v>
      </c>
      <c r="I216" s="18">
        <v>4.0</v>
      </c>
      <c r="J216" s="18">
        <v>1.0</v>
      </c>
      <c r="K216" s="18">
        <v>0.0</v>
      </c>
      <c r="L216" s="18">
        <v>0.0</v>
      </c>
    </row>
    <row r="217" ht="15.75" customHeight="1">
      <c r="A217" s="12" t="s">
        <v>585</v>
      </c>
      <c r="B217" s="12" t="s">
        <v>54</v>
      </c>
      <c r="C217" s="12" t="s">
        <v>47</v>
      </c>
      <c r="D217" s="18">
        <v>4.0</v>
      </c>
      <c r="E217" s="18">
        <v>29.0</v>
      </c>
      <c r="F217" s="18">
        <v>2.0</v>
      </c>
      <c r="G217" s="18">
        <v>7.25</v>
      </c>
      <c r="H217" s="18">
        <v>6.0</v>
      </c>
      <c r="I217" s="18">
        <v>1.0</v>
      </c>
      <c r="J217" s="18">
        <v>1.0</v>
      </c>
      <c r="K217" s="18">
        <v>2.0</v>
      </c>
      <c r="L217" s="18">
        <v>0.0</v>
      </c>
    </row>
    <row r="218" ht="15.75" customHeight="1">
      <c r="A218" s="12" t="s">
        <v>586</v>
      </c>
      <c r="B218" s="12" t="s">
        <v>54</v>
      </c>
      <c r="C218" s="12" t="s">
        <v>47</v>
      </c>
      <c r="D218" s="18">
        <v>4.0</v>
      </c>
      <c r="E218" s="18">
        <v>36.0</v>
      </c>
      <c r="F218" s="18">
        <v>1.0</v>
      </c>
      <c r="G218" s="18">
        <v>9.0</v>
      </c>
      <c r="H218" s="18">
        <v>6.0</v>
      </c>
      <c r="I218" s="18">
        <v>2.0</v>
      </c>
      <c r="J218" s="18">
        <v>2.0</v>
      </c>
      <c r="K218" s="18">
        <v>0.0</v>
      </c>
      <c r="L218" s="18">
        <v>0.0</v>
      </c>
    </row>
    <row r="219" ht="15.75" customHeight="1">
      <c r="A219" s="12" t="s">
        <v>587</v>
      </c>
      <c r="B219" s="12" t="s">
        <v>54</v>
      </c>
      <c r="C219" s="12" t="s">
        <v>47</v>
      </c>
      <c r="D219" s="18">
        <v>2.0</v>
      </c>
      <c r="E219" s="18">
        <v>24.0</v>
      </c>
      <c r="F219" s="18">
        <v>1.0</v>
      </c>
      <c r="G219" s="18">
        <v>12.0</v>
      </c>
      <c r="H219" s="18">
        <v>3.0</v>
      </c>
      <c r="I219" s="18">
        <v>3.0</v>
      </c>
      <c r="J219" s="18">
        <v>1.0</v>
      </c>
      <c r="K219" s="18">
        <v>0.0</v>
      </c>
      <c r="L219" s="18">
        <v>0.0</v>
      </c>
    </row>
    <row r="220" ht="15.75" customHeight="1">
      <c r="A220" s="12" t="s">
        <v>588</v>
      </c>
      <c r="B220" s="12" t="s">
        <v>47</v>
      </c>
      <c r="C220" s="12" t="s">
        <v>54</v>
      </c>
      <c r="D220" s="18">
        <v>4.0</v>
      </c>
      <c r="E220" s="18">
        <v>21.0</v>
      </c>
      <c r="F220" s="18">
        <v>1.0</v>
      </c>
      <c r="G220" s="18">
        <v>5.25</v>
      </c>
      <c r="H220" s="18">
        <v>10.0</v>
      </c>
      <c r="I220" s="18">
        <v>2.0</v>
      </c>
      <c r="J220" s="18">
        <v>0.0</v>
      </c>
      <c r="K220" s="18">
        <v>0.0</v>
      </c>
      <c r="L220" s="18">
        <v>0.0</v>
      </c>
    </row>
    <row r="221" ht="15.75" customHeight="1">
      <c r="A221" s="12" t="s">
        <v>589</v>
      </c>
      <c r="B221" s="12" t="s">
        <v>47</v>
      </c>
      <c r="C221" s="12" t="s">
        <v>54</v>
      </c>
      <c r="D221" s="18">
        <v>4.0</v>
      </c>
      <c r="E221" s="18">
        <v>35.0</v>
      </c>
      <c r="F221" s="18">
        <v>0.0</v>
      </c>
      <c r="G221" s="18">
        <v>8.75</v>
      </c>
      <c r="H221" s="18">
        <v>9.0</v>
      </c>
      <c r="I221" s="18">
        <v>4.0</v>
      </c>
      <c r="J221" s="18">
        <v>1.0</v>
      </c>
      <c r="K221" s="18">
        <v>0.0</v>
      </c>
      <c r="L221" s="18">
        <v>0.0</v>
      </c>
    </row>
    <row r="222" ht="15.75" customHeight="1">
      <c r="A222" s="12" t="s">
        <v>523</v>
      </c>
      <c r="B222" s="12" t="s">
        <v>47</v>
      </c>
      <c r="C222" s="12" t="s">
        <v>54</v>
      </c>
      <c r="D222" s="18">
        <v>4.0</v>
      </c>
      <c r="E222" s="18">
        <v>28.0</v>
      </c>
      <c r="F222" s="18">
        <v>1.0</v>
      </c>
      <c r="G222" s="18">
        <v>7.0</v>
      </c>
      <c r="H222" s="18">
        <v>12.0</v>
      </c>
      <c r="I222" s="18">
        <v>1.0</v>
      </c>
      <c r="J222" s="18">
        <v>2.0</v>
      </c>
      <c r="K222" s="18">
        <v>0.0</v>
      </c>
      <c r="L222" s="18">
        <v>0.0</v>
      </c>
    </row>
    <row r="223" ht="15.75" customHeight="1">
      <c r="A223" s="12" t="s">
        <v>521</v>
      </c>
      <c r="B223" s="12" t="s">
        <v>47</v>
      </c>
      <c r="C223" s="12" t="s">
        <v>54</v>
      </c>
      <c r="D223" s="18">
        <v>4.0</v>
      </c>
      <c r="E223" s="18">
        <v>20.0</v>
      </c>
      <c r="F223" s="18">
        <v>3.0</v>
      </c>
      <c r="G223" s="18">
        <v>5.0</v>
      </c>
      <c r="H223" s="18">
        <v>11.0</v>
      </c>
      <c r="I223" s="18">
        <v>1.0</v>
      </c>
      <c r="J223" s="18">
        <v>0.0</v>
      </c>
      <c r="K223" s="18">
        <v>3.0</v>
      </c>
      <c r="L223" s="18">
        <v>0.0</v>
      </c>
    </row>
    <row r="224" ht="15.75" customHeight="1">
      <c r="A224" s="12" t="s">
        <v>522</v>
      </c>
      <c r="B224" s="12" t="s">
        <v>47</v>
      </c>
      <c r="C224" s="12" t="s">
        <v>54</v>
      </c>
      <c r="D224" s="18">
        <v>3.1</v>
      </c>
      <c r="E224" s="18">
        <v>25.0</v>
      </c>
      <c r="F224" s="18">
        <v>4.0</v>
      </c>
      <c r="G224" s="18">
        <v>7.89</v>
      </c>
      <c r="H224" s="18">
        <v>5.0</v>
      </c>
      <c r="I224" s="18">
        <v>2.0</v>
      </c>
      <c r="J224" s="18">
        <v>1.0</v>
      </c>
      <c r="K224" s="18">
        <v>0.0</v>
      </c>
      <c r="L224" s="18">
        <v>0.0</v>
      </c>
    </row>
    <row r="225" ht="15.75" customHeight="1">
      <c r="A225" s="25" t="s">
        <v>574</v>
      </c>
      <c r="B225" s="25" t="s">
        <v>572</v>
      </c>
      <c r="C225" s="25" t="s">
        <v>62</v>
      </c>
      <c r="D225" s="28">
        <v>4.0</v>
      </c>
      <c r="E225" s="28">
        <v>26.0</v>
      </c>
      <c r="F225" s="28">
        <v>3.0</v>
      </c>
      <c r="G225" s="28">
        <v>6.5</v>
      </c>
      <c r="H225" s="28">
        <v>13.0</v>
      </c>
      <c r="I225" s="28">
        <v>1.0</v>
      </c>
      <c r="J225" s="28">
        <v>0.0</v>
      </c>
      <c r="K225" s="28">
        <v>3.0</v>
      </c>
      <c r="L225" s="28">
        <v>0.0</v>
      </c>
    </row>
    <row r="226" ht="15.75" customHeight="1">
      <c r="A226" s="25" t="s">
        <v>575</v>
      </c>
      <c r="B226" s="25" t="s">
        <v>572</v>
      </c>
      <c r="C226" s="25" t="s">
        <v>62</v>
      </c>
      <c r="D226" s="28">
        <v>4.0</v>
      </c>
      <c r="E226" s="28">
        <v>16.0</v>
      </c>
      <c r="F226" s="28">
        <v>4.0</v>
      </c>
      <c r="G226" s="28">
        <v>4.0</v>
      </c>
      <c r="H226" s="28">
        <v>15.0</v>
      </c>
      <c r="I226" s="28">
        <v>2.0</v>
      </c>
      <c r="J226" s="28">
        <v>0.0</v>
      </c>
      <c r="K226" s="28">
        <v>0.0</v>
      </c>
      <c r="L226" s="28">
        <v>0.0</v>
      </c>
    </row>
    <row r="227" ht="15.75" customHeight="1">
      <c r="A227" s="25" t="s">
        <v>590</v>
      </c>
      <c r="B227" s="25" t="s">
        <v>572</v>
      </c>
      <c r="C227" s="25" t="s">
        <v>62</v>
      </c>
      <c r="D227" s="28">
        <v>2.0</v>
      </c>
      <c r="E227" s="28">
        <v>21.0</v>
      </c>
      <c r="F227" s="28">
        <v>0.0</v>
      </c>
      <c r="G227" s="28">
        <v>10.5</v>
      </c>
      <c r="H227" s="28">
        <v>3.0</v>
      </c>
      <c r="I227" s="28">
        <v>2.0</v>
      </c>
      <c r="J227" s="28">
        <v>1.0</v>
      </c>
      <c r="K227" s="28">
        <v>0.0</v>
      </c>
      <c r="L227" s="28">
        <v>0.0</v>
      </c>
    </row>
    <row r="228" ht="15.75" customHeight="1">
      <c r="A228" s="25" t="s">
        <v>484</v>
      </c>
      <c r="B228" s="25" t="s">
        <v>572</v>
      </c>
      <c r="C228" s="25" t="s">
        <v>62</v>
      </c>
      <c r="D228" s="28">
        <v>2.0</v>
      </c>
      <c r="E228" s="28">
        <v>18.0</v>
      </c>
      <c r="F228" s="28">
        <v>0.0</v>
      </c>
      <c r="G228" s="28">
        <v>9.0</v>
      </c>
      <c r="H228" s="28">
        <v>2.0</v>
      </c>
      <c r="I228" s="28">
        <v>2.0</v>
      </c>
      <c r="J228" s="28">
        <v>0.0</v>
      </c>
      <c r="K228" s="28">
        <v>0.0</v>
      </c>
      <c r="L228" s="28">
        <v>0.0</v>
      </c>
    </row>
    <row r="229" ht="15.75" customHeight="1">
      <c r="A229" s="25" t="s">
        <v>578</v>
      </c>
      <c r="B229" s="25" t="s">
        <v>572</v>
      </c>
      <c r="C229" s="25" t="s">
        <v>62</v>
      </c>
      <c r="D229" s="28">
        <v>3.3</v>
      </c>
      <c r="E229" s="28">
        <v>22.0</v>
      </c>
      <c r="F229" s="28">
        <v>1.0</v>
      </c>
      <c r="G229" s="28">
        <v>6.28</v>
      </c>
      <c r="H229" s="28">
        <v>13.0</v>
      </c>
      <c r="I229" s="28">
        <v>3.0</v>
      </c>
      <c r="J229" s="28">
        <v>1.0</v>
      </c>
      <c r="K229" s="28">
        <v>0.0</v>
      </c>
      <c r="L229" s="28">
        <v>0.0</v>
      </c>
    </row>
    <row r="230" ht="15.75" customHeight="1">
      <c r="A230" s="25" t="s">
        <v>580</v>
      </c>
      <c r="B230" s="25" t="s">
        <v>572</v>
      </c>
      <c r="C230" s="25" t="s">
        <v>62</v>
      </c>
      <c r="D230" s="28">
        <v>4.0</v>
      </c>
      <c r="E230" s="28">
        <v>25.0</v>
      </c>
      <c r="F230" s="28">
        <v>0.0</v>
      </c>
      <c r="G230" s="28">
        <v>6.25</v>
      </c>
      <c r="H230" s="28">
        <v>7.0</v>
      </c>
      <c r="I230" s="28">
        <v>0.0</v>
      </c>
      <c r="J230" s="28">
        <v>1.0</v>
      </c>
      <c r="K230" s="28">
        <v>0.0</v>
      </c>
      <c r="L230" s="28">
        <v>0.0</v>
      </c>
    </row>
    <row r="231" ht="15.75" customHeight="1">
      <c r="A231" s="25" t="s">
        <v>526</v>
      </c>
      <c r="B231" s="25" t="s">
        <v>62</v>
      </c>
      <c r="C231" s="25" t="s">
        <v>572</v>
      </c>
      <c r="D231" s="28">
        <v>4.0</v>
      </c>
      <c r="E231" s="28">
        <v>25.0</v>
      </c>
      <c r="F231" s="28">
        <v>0.0</v>
      </c>
      <c r="G231" s="28">
        <v>6.25</v>
      </c>
      <c r="H231" s="28">
        <v>11.0</v>
      </c>
      <c r="I231" s="28">
        <v>2.0</v>
      </c>
      <c r="J231" s="28">
        <v>0.0</v>
      </c>
      <c r="K231" s="28">
        <v>1.0</v>
      </c>
      <c r="L231" s="28">
        <v>0.0</v>
      </c>
    </row>
    <row r="232" ht="15.75" customHeight="1">
      <c r="A232" s="25" t="s">
        <v>577</v>
      </c>
      <c r="B232" s="25" t="s">
        <v>62</v>
      </c>
      <c r="C232" s="25" t="s">
        <v>572</v>
      </c>
      <c r="D232" s="28">
        <v>2.0</v>
      </c>
      <c r="E232" s="28">
        <v>21.0</v>
      </c>
      <c r="F232" s="28">
        <v>0.0</v>
      </c>
      <c r="G232" s="28">
        <v>10.5</v>
      </c>
      <c r="H232" s="28">
        <v>2.0</v>
      </c>
      <c r="I232" s="28">
        <v>2.0</v>
      </c>
      <c r="J232" s="28">
        <v>0.0</v>
      </c>
      <c r="K232" s="28">
        <v>2.0</v>
      </c>
      <c r="L232" s="28">
        <v>0.0</v>
      </c>
    </row>
    <row r="233" ht="15.75" customHeight="1">
      <c r="A233" s="25" t="s">
        <v>571</v>
      </c>
      <c r="B233" s="25" t="s">
        <v>62</v>
      </c>
      <c r="C233" s="25" t="s">
        <v>572</v>
      </c>
      <c r="D233" s="28">
        <v>4.0</v>
      </c>
      <c r="E233" s="28">
        <v>48.0</v>
      </c>
      <c r="F233" s="28">
        <v>0.0</v>
      </c>
      <c r="G233" s="28">
        <v>12.0</v>
      </c>
      <c r="H233" s="28">
        <v>4.0</v>
      </c>
      <c r="I233" s="28">
        <v>5.0</v>
      </c>
      <c r="J233" s="28">
        <v>2.0</v>
      </c>
      <c r="K233" s="28">
        <v>0.0</v>
      </c>
      <c r="L233" s="28">
        <v>0.0</v>
      </c>
    </row>
    <row r="234" ht="15.75" customHeight="1">
      <c r="A234" s="25" t="s">
        <v>528</v>
      </c>
      <c r="B234" s="25" t="s">
        <v>62</v>
      </c>
      <c r="C234" s="25" t="s">
        <v>572</v>
      </c>
      <c r="D234" s="28">
        <v>2.0</v>
      </c>
      <c r="E234" s="28">
        <v>27.0</v>
      </c>
      <c r="F234" s="28">
        <v>0.0</v>
      </c>
      <c r="G234" s="28">
        <v>13.5</v>
      </c>
      <c r="H234" s="28">
        <v>4.0</v>
      </c>
      <c r="I234" s="28">
        <v>3.0</v>
      </c>
      <c r="J234" s="28">
        <v>2.0</v>
      </c>
      <c r="K234" s="28">
        <v>0.0</v>
      </c>
      <c r="L234" s="28">
        <v>0.0</v>
      </c>
    </row>
    <row r="235" ht="15.75" customHeight="1">
      <c r="A235" s="25" t="s">
        <v>527</v>
      </c>
      <c r="B235" s="25" t="s">
        <v>62</v>
      </c>
      <c r="C235" s="25" t="s">
        <v>572</v>
      </c>
      <c r="D235" s="28">
        <v>2.0</v>
      </c>
      <c r="E235" s="28">
        <v>13.0</v>
      </c>
      <c r="F235" s="28">
        <v>0.0</v>
      </c>
      <c r="G235" s="28">
        <v>6.5</v>
      </c>
      <c r="H235" s="28">
        <v>2.0</v>
      </c>
      <c r="I235" s="28">
        <v>1.0</v>
      </c>
      <c r="J235" s="28">
        <v>0.0</v>
      </c>
      <c r="K235" s="28">
        <v>0.0</v>
      </c>
      <c r="L235" s="28">
        <v>0.0</v>
      </c>
    </row>
    <row r="236" ht="15.75" customHeight="1">
      <c r="A236" s="25" t="s">
        <v>459</v>
      </c>
      <c r="B236" s="25" t="s">
        <v>572</v>
      </c>
      <c r="C236" s="25" t="s">
        <v>59</v>
      </c>
      <c r="D236" s="25">
        <v>2.0</v>
      </c>
      <c r="E236" s="25">
        <v>17.0</v>
      </c>
      <c r="F236" s="28">
        <v>0.0</v>
      </c>
      <c r="G236" s="28">
        <v>8.5</v>
      </c>
      <c r="H236" s="28">
        <v>3.0</v>
      </c>
      <c r="I236" s="28">
        <v>1.0</v>
      </c>
      <c r="J236" s="28">
        <v>1.0</v>
      </c>
      <c r="K236" s="28">
        <v>0.0</v>
      </c>
      <c r="L236" s="28">
        <v>0.0</v>
      </c>
    </row>
    <row r="237" ht="15.75" customHeight="1">
      <c r="A237" s="25" t="s">
        <v>591</v>
      </c>
      <c r="B237" s="25" t="s">
        <v>572</v>
      </c>
      <c r="C237" s="25" t="s">
        <v>59</v>
      </c>
      <c r="D237" s="25">
        <v>3.0</v>
      </c>
      <c r="E237" s="25">
        <v>42.0</v>
      </c>
      <c r="F237" s="28">
        <v>0.0</v>
      </c>
      <c r="G237" s="28">
        <v>14.0</v>
      </c>
      <c r="H237" s="28">
        <v>2.0</v>
      </c>
      <c r="I237" s="28">
        <v>4.0</v>
      </c>
      <c r="J237" s="28">
        <v>2.0</v>
      </c>
      <c r="K237" s="28">
        <v>0.0</v>
      </c>
      <c r="L237" s="28">
        <v>0.0</v>
      </c>
    </row>
    <row r="238" ht="15.75" customHeight="1">
      <c r="A238" s="25" t="s">
        <v>592</v>
      </c>
      <c r="B238" s="25" t="s">
        <v>572</v>
      </c>
      <c r="C238" s="25" t="s">
        <v>59</v>
      </c>
      <c r="D238" s="25">
        <v>4.0</v>
      </c>
      <c r="E238" s="25">
        <v>28.0</v>
      </c>
      <c r="F238" s="28">
        <v>1.0</v>
      </c>
      <c r="G238" s="28">
        <v>7.0</v>
      </c>
      <c r="H238" s="28">
        <v>11.0</v>
      </c>
      <c r="I238" s="28">
        <v>2.0</v>
      </c>
      <c r="J238" s="28">
        <v>1.0</v>
      </c>
      <c r="K238" s="28">
        <v>0.0</v>
      </c>
      <c r="L238" s="28">
        <v>1.0</v>
      </c>
    </row>
    <row r="239" ht="15.75" customHeight="1">
      <c r="A239" s="25" t="s">
        <v>593</v>
      </c>
      <c r="B239" s="25" t="s">
        <v>572</v>
      </c>
      <c r="C239" s="25" t="s">
        <v>59</v>
      </c>
      <c r="D239" s="25">
        <v>4.0</v>
      </c>
      <c r="E239" s="25">
        <v>28.0</v>
      </c>
      <c r="F239" s="28">
        <v>4.0</v>
      </c>
      <c r="G239" s="28">
        <v>7.0</v>
      </c>
      <c r="H239" s="28">
        <v>8.0</v>
      </c>
      <c r="I239" s="28">
        <v>4.0</v>
      </c>
      <c r="J239" s="28">
        <v>0.0</v>
      </c>
      <c r="K239" s="28">
        <v>0.0</v>
      </c>
      <c r="L239" s="28">
        <v>0.0</v>
      </c>
    </row>
    <row r="240" ht="15.75" customHeight="1">
      <c r="A240" s="25" t="s">
        <v>576</v>
      </c>
      <c r="B240" s="25" t="s">
        <v>572</v>
      </c>
      <c r="C240" s="25" t="s">
        <v>59</v>
      </c>
      <c r="D240" s="25">
        <v>4.0</v>
      </c>
      <c r="E240" s="25">
        <v>29.0</v>
      </c>
      <c r="F240" s="28">
        <v>1.0</v>
      </c>
      <c r="G240" s="28">
        <v>7.25</v>
      </c>
      <c r="H240" s="28">
        <v>6.0</v>
      </c>
      <c r="I240" s="28">
        <v>2.0</v>
      </c>
      <c r="J240" s="28">
        <v>1.0</v>
      </c>
      <c r="K240" s="28">
        <v>0.0</v>
      </c>
      <c r="L240" s="28">
        <v>0.0</v>
      </c>
    </row>
    <row r="241" ht="15.75" customHeight="1">
      <c r="A241" s="25" t="s">
        <v>594</v>
      </c>
      <c r="B241" s="25" t="s">
        <v>572</v>
      </c>
      <c r="C241" s="25" t="s">
        <v>59</v>
      </c>
      <c r="D241" s="25">
        <v>3.0</v>
      </c>
      <c r="E241" s="25">
        <v>16.0</v>
      </c>
      <c r="F241" s="28">
        <v>2.0</v>
      </c>
      <c r="G241" s="28">
        <v>5.33</v>
      </c>
      <c r="H241" s="28">
        <v>7.0</v>
      </c>
      <c r="I241" s="28">
        <v>1.0</v>
      </c>
      <c r="J241" s="28">
        <v>0.0</v>
      </c>
      <c r="K241" s="28">
        <v>0.0</v>
      </c>
      <c r="L241" s="28">
        <v>0.0</v>
      </c>
    </row>
    <row r="242" ht="15.75" customHeight="1">
      <c r="A242" s="25" t="s">
        <v>553</v>
      </c>
      <c r="B242" s="25" t="s">
        <v>59</v>
      </c>
      <c r="C242" s="25" t="s">
        <v>572</v>
      </c>
      <c r="D242" s="25">
        <v>4.0</v>
      </c>
      <c r="E242" s="25">
        <v>21.0</v>
      </c>
      <c r="F242" s="28">
        <v>2.0</v>
      </c>
      <c r="G242" s="28">
        <v>5.25</v>
      </c>
      <c r="H242" s="28">
        <v>12.0</v>
      </c>
      <c r="I242" s="28">
        <v>2.0</v>
      </c>
      <c r="J242" s="28">
        <v>0.0</v>
      </c>
      <c r="K242" s="28">
        <v>1.0</v>
      </c>
      <c r="L242" s="28">
        <v>0.0</v>
      </c>
    </row>
    <row r="243" ht="15.75" customHeight="1">
      <c r="A243" s="25" t="s">
        <v>595</v>
      </c>
      <c r="B243" s="25" t="s">
        <v>59</v>
      </c>
      <c r="C243" s="25" t="s">
        <v>572</v>
      </c>
      <c r="D243" s="25">
        <v>3.0</v>
      </c>
      <c r="E243" s="25">
        <v>30.0</v>
      </c>
      <c r="F243" s="28">
        <v>0.0</v>
      </c>
      <c r="G243" s="28">
        <v>10.0</v>
      </c>
      <c r="H243" s="28">
        <v>3.0</v>
      </c>
      <c r="I243" s="28">
        <v>4.0</v>
      </c>
      <c r="J243" s="28">
        <v>0.0</v>
      </c>
      <c r="K243" s="28">
        <v>0.0</v>
      </c>
      <c r="L243" s="28">
        <v>0.0</v>
      </c>
    </row>
    <row r="244" ht="15.75" customHeight="1">
      <c r="A244" s="25" t="s">
        <v>556</v>
      </c>
      <c r="B244" s="25" t="s">
        <v>59</v>
      </c>
      <c r="C244" s="25" t="s">
        <v>572</v>
      </c>
      <c r="D244" s="25">
        <v>3.1</v>
      </c>
      <c r="E244" s="25">
        <v>35.0</v>
      </c>
      <c r="F244" s="28">
        <v>1.0</v>
      </c>
      <c r="G244" s="28">
        <v>11.05</v>
      </c>
      <c r="H244" s="28">
        <v>8.0</v>
      </c>
      <c r="I244" s="28">
        <v>6.0</v>
      </c>
      <c r="J244" s="28">
        <v>1.0</v>
      </c>
      <c r="K244" s="28">
        <v>0.0</v>
      </c>
      <c r="L244" s="28">
        <v>0.0</v>
      </c>
    </row>
    <row r="245" ht="15.75" customHeight="1">
      <c r="A245" s="25" t="s">
        <v>596</v>
      </c>
      <c r="B245" s="25" t="s">
        <v>59</v>
      </c>
      <c r="C245" s="25" t="s">
        <v>572</v>
      </c>
      <c r="D245" s="25">
        <v>4.0</v>
      </c>
      <c r="E245" s="25">
        <v>33.0</v>
      </c>
      <c r="F245" s="28">
        <v>2.0</v>
      </c>
      <c r="G245" s="28">
        <v>8.25</v>
      </c>
      <c r="H245" s="28">
        <v>10.0</v>
      </c>
      <c r="I245" s="28">
        <v>3.0</v>
      </c>
      <c r="J245" s="28">
        <v>1.0</v>
      </c>
      <c r="K245" s="28">
        <v>1.0</v>
      </c>
      <c r="L245" s="28">
        <v>1.0</v>
      </c>
    </row>
    <row r="246" ht="15.75" customHeight="1">
      <c r="A246" s="25" t="s">
        <v>597</v>
      </c>
      <c r="B246" s="25" t="s">
        <v>59</v>
      </c>
      <c r="C246" s="25" t="s">
        <v>572</v>
      </c>
      <c r="D246" s="25">
        <v>1.0</v>
      </c>
      <c r="E246" s="25">
        <v>9.0</v>
      </c>
      <c r="F246" s="28">
        <v>0.0</v>
      </c>
      <c r="G246" s="28">
        <v>9.0</v>
      </c>
      <c r="H246" s="28">
        <v>1.0</v>
      </c>
      <c r="I246" s="28">
        <v>1.0</v>
      </c>
      <c r="J246" s="28">
        <v>0.0</v>
      </c>
      <c r="K246" s="28">
        <v>0.0</v>
      </c>
      <c r="L246" s="28">
        <v>0.0</v>
      </c>
    </row>
    <row r="247" ht="15.75" customHeight="1">
      <c r="A247" s="25" t="s">
        <v>598</v>
      </c>
      <c r="B247" s="25" t="s">
        <v>59</v>
      </c>
      <c r="C247" s="25" t="s">
        <v>572</v>
      </c>
      <c r="D247" s="25">
        <v>4.0</v>
      </c>
      <c r="E247" s="25">
        <v>30.0</v>
      </c>
      <c r="F247" s="28">
        <v>2.0</v>
      </c>
      <c r="G247" s="28">
        <v>7.5</v>
      </c>
      <c r="H247" s="28">
        <v>9.0</v>
      </c>
      <c r="I247" s="28">
        <v>3.0</v>
      </c>
      <c r="J247" s="28">
        <v>0.0</v>
      </c>
      <c r="K247" s="28">
        <v>1.0</v>
      </c>
      <c r="L247" s="28">
        <v>0.0</v>
      </c>
    </row>
    <row r="248" ht="15.75" customHeight="1">
      <c r="A248" s="25" t="s">
        <v>484</v>
      </c>
      <c r="B248" s="25" t="s">
        <v>572</v>
      </c>
      <c r="C248" s="25" t="s">
        <v>62</v>
      </c>
      <c r="D248" s="25">
        <v>3.0</v>
      </c>
      <c r="E248" s="25">
        <v>18.0</v>
      </c>
      <c r="F248" s="28">
        <v>2.0</v>
      </c>
      <c r="G248" s="28">
        <v>6.0</v>
      </c>
      <c r="H248" s="28">
        <v>7.0</v>
      </c>
      <c r="I248" s="28">
        <v>2.0</v>
      </c>
      <c r="J248" s="28">
        <v>0.0</v>
      </c>
      <c r="K248" s="28">
        <v>0.0</v>
      </c>
      <c r="L248" s="28">
        <v>0.0</v>
      </c>
    </row>
    <row r="249" ht="15.75" customHeight="1">
      <c r="A249" s="25" t="s">
        <v>575</v>
      </c>
      <c r="B249" s="25" t="s">
        <v>572</v>
      </c>
      <c r="C249" s="25" t="s">
        <v>62</v>
      </c>
      <c r="D249" s="25">
        <v>4.0</v>
      </c>
      <c r="E249" s="25">
        <v>16.0</v>
      </c>
      <c r="F249" s="28">
        <v>0.0</v>
      </c>
      <c r="G249" s="28">
        <v>4.0</v>
      </c>
      <c r="H249" s="28">
        <v>13.0</v>
      </c>
      <c r="I249" s="28">
        <v>1.0</v>
      </c>
      <c r="J249" s="28">
        <v>0.0</v>
      </c>
      <c r="K249" s="28">
        <v>0.0</v>
      </c>
      <c r="L249" s="28">
        <v>0.0</v>
      </c>
    </row>
    <row r="250" ht="15.75" customHeight="1">
      <c r="A250" s="25" t="s">
        <v>599</v>
      </c>
      <c r="B250" s="25" t="s">
        <v>572</v>
      </c>
      <c r="C250" s="25" t="s">
        <v>62</v>
      </c>
      <c r="D250" s="25">
        <v>4.0</v>
      </c>
      <c r="E250" s="25">
        <v>26.0</v>
      </c>
      <c r="F250" s="28">
        <v>3.0</v>
      </c>
      <c r="G250" s="28">
        <v>6.5</v>
      </c>
      <c r="H250" s="28">
        <v>13.0</v>
      </c>
      <c r="I250" s="28">
        <v>3.0</v>
      </c>
      <c r="J250" s="28">
        <v>1.0</v>
      </c>
      <c r="K250" s="28">
        <v>0.0</v>
      </c>
      <c r="L250" s="28">
        <v>0.0</v>
      </c>
    </row>
    <row r="251" ht="15.75" customHeight="1">
      <c r="A251" s="25" t="s">
        <v>578</v>
      </c>
      <c r="B251" s="25" t="s">
        <v>572</v>
      </c>
      <c r="C251" s="25" t="s">
        <v>62</v>
      </c>
      <c r="D251" s="25">
        <v>4.0</v>
      </c>
      <c r="E251" s="25">
        <v>30.0</v>
      </c>
      <c r="F251" s="28">
        <v>4.0</v>
      </c>
      <c r="G251" s="28">
        <v>7.5</v>
      </c>
      <c r="H251" s="28">
        <v>11.0</v>
      </c>
      <c r="I251" s="28">
        <v>3.0</v>
      </c>
      <c r="J251" s="28">
        <v>1.0</v>
      </c>
      <c r="K251" s="28">
        <v>0.0</v>
      </c>
      <c r="L251" s="28">
        <v>0.0</v>
      </c>
    </row>
    <row r="252" ht="15.75" customHeight="1">
      <c r="A252" s="25" t="s">
        <v>580</v>
      </c>
      <c r="B252" s="25" t="s">
        <v>572</v>
      </c>
      <c r="C252" s="25" t="s">
        <v>62</v>
      </c>
      <c r="D252" s="25">
        <v>4.0</v>
      </c>
      <c r="E252" s="25">
        <v>27.0</v>
      </c>
      <c r="F252" s="28">
        <v>0.0</v>
      </c>
      <c r="G252" s="28">
        <v>6.75</v>
      </c>
      <c r="H252" s="28">
        <v>8.0</v>
      </c>
      <c r="I252" s="28">
        <v>1.0</v>
      </c>
      <c r="J252" s="28">
        <v>1.0</v>
      </c>
      <c r="K252" s="28">
        <v>0.0</v>
      </c>
      <c r="L252" s="28">
        <v>0.0</v>
      </c>
    </row>
    <row r="253" ht="15.75" customHeight="1">
      <c r="A253" s="25" t="s">
        <v>590</v>
      </c>
      <c r="B253" s="25" t="s">
        <v>572</v>
      </c>
      <c r="C253" s="25" t="s">
        <v>62</v>
      </c>
      <c r="D253" s="25">
        <v>1.0</v>
      </c>
      <c r="E253" s="25">
        <v>7.0</v>
      </c>
      <c r="F253" s="28">
        <v>0.0</v>
      </c>
      <c r="G253" s="28">
        <v>7.0</v>
      </c>
      <c r="H253" s="28">
        <v>1.0</v>
      </c>
      <c r="I253" s="28">
        <v>0.0</v>
      </c>
      <c r="J253" s="28">
        <v>0.0</v>
      </c>
      <c r="K253" s="28">
        <v>0.0</v>
      </c>
      <c r="L253" s="28">
        <v>0.0</v>
      </c>
    </row>
    <row r="254" ht="15.75" customHeight="1">
      <c r="A254" s="25" t="s">
        <v>526</v>
      </c>
      <c r="B254" s="25" t="s">
        <v>62</v>
      </c>
      <c r="C254" s="25" t="s">
        <v>572</v>
      </c>
      <c r="D254" s="25">
        <v>4.0</v>
      </c>
      <c r="E254" s="25">
        <v>29.0</v>
      </c>
      <c r="F254" s="28">
        <v>0.0</v>
      </c>
      <c r="G254" s="28">
        <v>7.25</v>
      </c>
      <c r="H254" s="28">
        <v>9.0</v>
      </c>
      <c r="I254" s="28">
        <v>3.0</v>
      </c>
      <c r="J254" s="28">
        <v>0.0</v>
      </c>
      <c r="K254" s="28">
        <v>1.0</v>
      </c>
      <c r="L254" s="28">
        <v>0.0</v>
      </c>
    </row>
    <row r="255" ht="15.75" customHeight="1">
      <c r="A255" s="25" t="s">
        <v>571</v>
      </c>
      <c r="B255" s="25" t="s">
        <v>62</v>
      </c>
      <c r="C255" s="25" t="s">
        <v>572</v>
      </c>
      <c r="D255" s="25">
        <v>4.0</v>
      </c>
      <c r="E255" s="25">
        <v>31.0</v>
      </c>
      <c r="F255" s="28">
        <v>1.0</v>
      </c>
      <c r="G255" s="28">
        <v>7.75</v>
      </c>
      <c r="H255" s="28">
        <v>9.0</v>
      </c>
      <c r="I255" s="28">
        <v>2.0</v>
      </c>
      <c r="J255" s="28">
        <v>1.0</v>
      </c>
      <c r="K255" s="28">
        <v>1.0</v>
      </c>
      <c r="L255" s="28">
        <v>0.0</v>
      </c>
    </row>
    <row r="256" ht="15.75" customHeight="1">
      <c r="A256" s="25" t="s">
        <v>528</v>
      </c>
      <c r="B256" s="25" t="s">
        <v>62</v>
      </c>
      <c r="C256" s="25" t="s">
        <v>572</v>
      </c>
      <c r="D256" s="25">
        <v>4.0</v>
      </c>
      <c r="E256" s="25">
        <v>33.0</v>
      </c>
      <c r="F256" s="28">
        <v>4.0</v>
      </c>
      <c r="G256" s="28">
        <v>8.25</v>
      </c>
      <c r="H256" s="28">
        <v>9.0</v>
      </c>
      <c r="I256" s="28">
        <v>3.0</v>
      </c>
      <c r="J256" s="28">
        <v>1.0</v>
      </c>
      <c r="K256" s="28">
        <v>0.0</v>
      </c>
      <c r="L256" s="28">
        <v>0.0</v>
      </c>
    </row>
    <row r="257" ht="15.75" customHeight="1">
      <c r="A257" s="25" t="s">
        <v>577</v>
      </c>
      <c r="B257" s="25" t="s">
        <v>62</v>
      </c>
      <c r="C257" s="25" t="s">
        <v>572</v>
      </c>
      <c r="D257" s="25">
        <v>2.0</v>
      </c>
      <c r="E257" s="25">
        <v>18.0</v>
      </c>
      <c r="F257" s="28">
        <v>1.0</v>
      </c>
      <c r="G257" s="28">
        <v>9.0</v>
      </c>
      <c r="H257" s="28">
        <v>4.0</v>
      </c>
      <c r="I257" s="28">
        <v>3.0</v>
      </c>
      <c r="J257" s="28">
        <v>0.0</v>
      </c>
      <c r="K257" s="28">
        <v>0.0</v>
      </c>
      <c r="L257" s="28">
        <v>0.0</v>
      </c>
    </row>
    <row r="258" ht="15.75" customHeight="1">
      <c r="A258" s="25" t="s">
        <v>501</v>
      </c>
      <c r="B258" s="25" t="s">
        <v>62</v>
      </c>
      <c r="C258" s="25" t="s">
        <v>572</v>
      </c>
      <c r="D258" s="25">
        <v>3.0</v>
      </c>
      <c r="E258" s="25">
        <v>7.0</v>
      </c>
      <c r="F258" s="28">
        <v>0.0</v>
      </c>
      <c r="G258" s="28">
        <v>2.33</v>
      </c>
      <c r="H258" s="28">
        <v>11.0</v>
      </c>
      <c r="I258" s="28">
        <v>0.0</v>
      </c>
      <c r="J258" s="28">
        <v>0.0</v>
      </c>
      <c r="K258" s="28">
        <v>0.0</v>
      </c>
      <c r="L258" s="28">
        <v>0.0</v>
      </c>
    </row>
    <row r="259" ht="15.75" customHeight="1">
      <c r="A259" s="25" t="s">
        <v>600</v>
      </c>
      <c r="B259" s="25" t="s">
        <v>62</v>
      </c>
      <c r="C259" s="25" t="s">
        <v>572</v>
      </c>
      <c r="D259" s="25">
        <v>0.5</v>
      </c>
      <c r="E259" s="25">
        <v>8.0</v>
      </c>
      <c r="F259" s="28">
        <v>0.0</v>
      </c>
      <c r="G259" s="28">
        <v>9.6</v>
      </c>
      <c r="H259" s="28">
        <v>1.0</v>
      </c>
      <c r="I259" s="28">
        <v>1.0</v>
      </c>
      <c r="J259" s="28">
        <v>0.0</v>
      </c>
      <c r="K259" s="28">
        <v>0.0</v>
      </c>
      <c r="L259" s="28">
        <v>0.0</v>
      </c>
    </row>
    <row r="260" ht="15.75" customHeight="1">
      <c r="A260" s="25" t="s">
        <v>587</v>
      </c>
      <c r="B260" s="25" t="s">
        <v>54</v>
      </c>
      <c r="C260" s="25" t="s">
        <v>47</v>
      </c>
      <c r="D260" s="25">
        <v>3.0</v>
      </c>
      <c r="E260" s="25">
        <v>0.0</v>
      </c>
      <c r="F260" s="28">
        <v>43.0</v>
      </c>
      <c r="G260" s="28">
        <v>1.0</v>
      </c>
      <c r="H260" s="28">
        <v>14.33</v>
      </c>
      <c r="I260" s="28">
        <v>7.0</v>
      </c>
      <c r="J260" s="28">
        <v>4.0</v>
      </c>
      <c r="K260" s="28">
        <v>3.0</v>
      </c>
      <c r="L260" s="28">
        <v>1.0</v>
      </c>
      <c r="M260" s="28">
        <v>0.0</v>
      </c>
    </row>
    <row r="261" ht="15.75" customHeight="1">
      <c r="A261" s="25" t="s">
        <v>582</v>
      </c>
      <c r="B261" s="25" t="s">
        <v>54</v>
      </c>
      <c r="C261" s="25" t="s">
        <v>47</v>
      </c>
      <c r="D261" s="25">
        <v>4.0</v>
      </c>
      <c r="E261" s="25">
        <v>0.0</v>
      </c>
      <c r="F261" s="28">
        <v>35.0</v>
      </c>
      <c r="G261" s="28">
        <v>0.0</v>
      </c>
      <c r="H261" s="28">
        <v>8.75</v>
      </c>
      <c r="I261" s="28">
        <v>11.0</v>
      </c>
      <c r="J261" s="28">
        <v>4.0</v>
      </c>
      <c r="K261" s="28">
        <v>1.0</v>
      </c>
      <c r="L261" s="28">
        <v>4.0</v>
      </c>
      <c r="M261" s="28">
        <v>0.0</v>
      </c>
    </row>
    <row r="262" ht="15.75" customHeight="1">
      <c r="A262" s="25" t="s">
        <v>584</v>
      </c>
      <c r="B262" s="25" t="s">
        <v>54</v>
      </c>
      <c r="C262" s="25" t="s">
        <v>47</v>
      </c>
      <c r="D262" s="25">
        <v>4.0</v>
      </c>
      <c r="E262" s="25">
        <v>0.0</v>
      </c>
      <c r="F262" s="28">
        <v>36.0</v>
      </c>
      <c r="G262" s="28">
        <v>1.0</v>
      </c>
      <c r="H262" s="28">
        <v>9.0</v>
      </c>
      <c r="I262" s="28">
        <v>11.0</v>
      </c>
      <c r="J262" s="28">
        <v>2.0</v>
      </c>
      <c r="K262" s="28">
        <v>3.0</v>
      </c>
      <c r="L262" s="28">
        <v>0.0</v>
      </c>
      <c r="M262" s="28">
        <v>0.0</v>
      </c>
    </row>
    <row r="263" ht="15.75" customHeight="1">
      <c r="A263" s="25" t="s">
        <v>583</v>
      </c>
      <c r="B263" s="25" t="s">
        <v>54</v>
      </c>
      <c r="C263" s="25" t="s">
        <v>47</v>
      </c>
      <c r="D263" s="25">
        <v>4.0</v>
      </c>
      <c r="E263" s="25">
        <v>0.0</v>
      </c>
      <c r="F263" s="28">
        <v>32.0</v>
      </c>
      <c r="G263" s="28">
        <v>1.0</v>
      </c>
      <c r="H263" s="28">
        <v>8.0</v>
      </c>
      <c r="I263" s="28">
        <v>11.0</v>
      </c>
      <c r="J263" s="28">
        <v>3.0</v>
      </c>
      <c r="K263" s="28">
        <v>2.0</v>
      </c>
      <c r="L263" s="28">
        <v>0.0</v>
      </c>
      <c r="M263" s="28">
        <v>0.0</v>
      </c>
    </row>
    <row r="264" ht="15.75" customHeight="1">
      <c r="A264" s="25" t="s">
        <v>586</v>
      </c>
      <c r="B264" s="25" t="s">
        <v>54</v>
      </c>
      <c r="C264" s="25" t="s">
        <v>47</v>
      </c>
      <c r="D264" s="25">
        <v>2.0</v>
      </c>
      <c r="E264" s="25">
        <v>0.0</v>
      </c>
      <c r="F264" s="28">
        <v>27.0</v>
      </c>
      <c r="G264" s="28">
        <v>0.0</v>
      </c>
      <c r="H264" s="28">
        <v>13.5</v>
      </c>
      <c r="I264" s="28">
        <v>2.0</v>
      </c>
      <c r="J264" s="28">
        <v>0.0</v>
      </c>
      <c r="K264" s="28">
        <v>3.0</v>
      </c>
      <c r="L264" s="28">
        <v>1.0</v>
      </c>
      <c r="M264" s="28">
        <v>0.0</v>
      </c>
    </row>
    <row r="265" ht="15.75" customHeight="1">
      <c r="A265" s="25" t="s">
        <v>585</v>
      </c>
      <c r="B265" s="25" t="s">
        <v>54</v>
      </c>
      <c r="C265" s="25" t="s">
        <v>47</v>
      </c>
      <c r="D265" s="25">
        <v>3.0</v>
      </c>
      <c r="E265" s="25">
        <v>0.0</v>
      </c>
      <c r="F265" s="28">
        <v>35.0</v>
      </c>
      <c r="G265" s="28">
        <v>1.0</v>
      </c>
      <c r="H265" s="28">
        <v>11.66</v>
      </c>
      <c r="I265" s="28">
        <v>3.0</v>
      </c>
      <c r="J265" s="28">
        <v>3.0</v>
      </c>
      <c r="K265" s="28">
        <v>2.0</v>
      </c>
      <c r="L265" s="28">
        <v>1.0</v>
      </c>
      <c r="M265" s="28">
        <v>0.0</v>
      </c>
    </row>
    <row r="266" ht="15.75" customHeight="1">
      <c r="A266" s="25" t="s">
        <v>588</v>
      </c>
      <c r="B266" s="25" t="s">
        <v>47</v>
      </c>
      <c r="C266" s="25" t="s">
        <v>54</v>
      </c>
      <c r="D266" s="25">
        <v>4.0</v>
      </c>
      <c r="E266" s="25">
        <v>43.0</v>
      </c>
      <c r="F266" s="28">
        <v>1.0</v>
      </c>
      <c r="G266" s="28">
        <v>10.75</v>
      </c>
      <c r="H266" s="28">
        <v>10.0</v>
      </c>
      <c r="I266" s="28">
        <v>4.0</v>
      </c>
      <c r="J266" s="28">
        <v>3.0</v>
      </c>
      <c r="K266" s="28">
        <v>1.0</v>
      </c>
      <c r="L266" s="28">
        <v>0.0</v>
      </c>
    </row>
    <row r="267" ht="15.75" customHeight="1">
      <c r="A267" s="25" t="s">
        <v>589</v>
      </c>
      <c r="B267" s="25" t="s">
        <v>47</v>
      </c>
      <c r="C267" s="25" t="s">
        <v>54</v>
      </c>
      <c r="D267" s="25">
        <v>4.0</v>
      </c>
      <c r="E267" s="25">
        <v>35.0</v>
      </c>
      <c r="F267" s="28">
        <v>0.0</v>
      </c>
      <c r="G267" s="28">
        <v>8.75</v>
      </c>
      <c r="H267" s="28">
        <v>10.0</v>
      </c>
      <c r="I267" s="28">
        <v>5.0</v>
      </c>
      <c r="J267" s="28">
        <v>0.0</v>
      </c>
      <c r="K267" s="28">
        <v>2.0</v>
      </c>
      <c r="L267" s="28">
        <v>1.0</v>
      </c>
    </row>
    <row r="268" ht="15.75" customHeight="1">
      <c r="A268" s="25" t="s">
        <v>521</v>
      </c>
      <c r="B268" s="25" t="s">
        <v>47</v>
      </c>
      <c r="C268" s="25" t="s">
        <v>54</v>
      </c>
      <c r="D268" s="25">
        <v>2.1</v>
      </c>
      <c r="E268" s="25">
        <v>26.0</v>
      </c>
      <c r="F268" s="28">
        <v>0.0</v>
      </c>
      <c r="G268" s="28">
        <v>12.0</v>
      </c>
      <c r="H268" s="28">
        <v>4.0</v>
      </c>
      <c r="I268" s="28">
        <v>4.0</v>
      </c>
      <c r="J268" s="28">
        <v>1.0</v>
      </c>
      <c r="K268" s="28">
        <v>0.0</v>
      </c>
      <c r="L268" s="28">
        <v>0.0</v>
      </c>
    </row>
    <row r="269" ht="15.75" customHeight="1">
      <c r="A269" s="25" t="s">
        <v>167</v>
      </c>
      <c r="B269" s="25" t="s">
        <v>47</v>
      </c>
      <c r="C269" s="25" t="s">
        <v>54</v>
      </c>
      <c r="D269" s="25">
        <v>1.0</v>
      </c>
      <c r="E269" s="25">
        <v>18.0</v>
      </c>
      <c r="F269" s="28">
        <v>0.0</v>
      </c>
      <c r="G269" s="28">
        <v>18.0</v>
      </c>
      <c r="H269" s="28">
        <v>3.0</v>
      </c>
      <c r="I269" s="28">
        <v>0.0</v>
      </c>
      <c r="J269" s="28">
        <v>3.0</v>
      </c>
      <c r="K269" s="28">
        <v>0.0</v>
      </c>
      <c r="L269" s="28">
        <v>0.0</v>
      </c>
    </row>
    <row r="270" ht="15.75" customHeight="1">
      <c r="A270" s="25" t="s">
        <v>522</v>
      </c>
      <c r="B270" s="25" t="s">
        <v>47</v>
      </c>
      <c r="C270" s="25" t="s">
        <v>54</v>
      </c>
      <c r="D270" s="25">
        <v>4.0</v>
      </c>
      <c r="E270" s="25">
        <v>43.0</v>
      </c>
      <c r="F270" s="28">
        <v>1.0</v>
      </c>
      <c r="G270" s="28">
        <v>10.75</v>
      </c>
      <c r="H270" s="28">
        <v>10.0</v>
      </c>
      <c r="I270" s="28">
        <v>3.0</v>
      </c>
      <c r="J270" s="28">
        <v>4.0</v>
      </c>
      <c r="K270" s="28">
        <v>0.0</v>
      </c>
      <c r="L270" s="28">
        <v>0.0</v>
      </c>
    </row>
    <row r="271" ht="15.75" customHeight="1">
      <c r="A271" s="25" t="s">
        <v>523</v>
      </c>
      <c r="B271" s="25" t="s">
        <v>47</v>
      </c>
      <c r="C271" s="25" t="s">
        <v>54</v>
      </c>
      <c r="D271" s="25">
        <v>4.0</v>
      </c>
      <c r="E271" s="25">
        <v>40.0</v>
      </c>
      <c r="F271" s="28">
        <v>1.0</v>
      </c>
      <c r="G271" s="28">
        <v>10.0</v>
      </c>
      <c r="H271" s="28">
        <v>3.0</v>
      </c>
      <c r="I271" s="28">
        <v>1.0</v>
      </c>
      <c r="J271" s="28">
        <v>3.0</v>
      </c>
      <c r="K271" s="28">
        <v>0.0</v>
      </c>
      <c r="L271" s="28">
        <v>0.0</v>
      </c>
    </row>
    <row r="272" ht="15.75" customHeight="1">
      <c r="A272" s="25" t="s">
        <v>527</v>
      </c>
      <c r="B272" s="25" t="s">
        <v>62</v>
      </c>
      <c r="C272" s="25" t="s">
        <v>572</v>
      </c>
      <c r="D272" s="25">
        <v>3.0</v>
      </c>
      <c r="E272" s="25">
        <v>19.0</v>
      </c>
      <c r="F272" s="28">
        <v>0.0</v>
      </c>
      <c r="G272" s="28">
        <v>6.33</v>
      </c>
      <c r="H272" s="28">
        <v>9.0</v>
      </c>
      <c r="I272" s="28">
        <v>3.0</v>
      </c>
      <c r="J272" s="28">
        <v>0.0</v>
      </c>
      <c r="K272" s="28">
        <v>1.0</v>
      </c>
      <c r="L272" s="28">
        <v>0.0</v>
      </c>
    </row>
    <row r="273" ht="15.75" customHeight="1">
      <c r="A273" s="25" t="s">
        <v>571</v>
      </c>
      <c r="B273" s="25" t="s">
        <v>62</v>
      </c>
      <c r="C273" s="25" t="s">
        <v>572</v>
      </c>
      <c r="D273" s="25">
        <v>4.0</v>
      </c>
      <c r="E273" s="25">
        <v>46.0</v>
      </c>
      <c r="F273" s="28">
        <v>0.0</v>
      </c>
      <c r="G273" s="28">
        <v>11.5</v>
      </c>
      <c r="H273" s="28">
        <v>7.0</v>
      </c>
      <c r="I273" s="28">
        <v>6.0</v>
      </c>
      <c r="J273" s="28">
        <v>1.0</v>
      </c>
      <c r="K273" s="28">
        <v>2.0</v>
      </c>
      <c r="L273" s="28">
        <v>1.0</v>
      </c>
    </row>
    <row r="274" ht="15.75" customHeight="1">
      <c r="A274" s="25" t="s">
        <v>526</v>
      </c>
      <c r="B274" s="25" t="s">
        <v>62</v>
      </c>
      <c r="C274" s="25" t="s">
        <v>572</v>
      </c>
      <c r="D274" s="25">
        <v>4.0</v>
      </c>
      <c r="E274" s="25">
        <v>25.0</v>
      </c>
      <c r="F274" s="28">
        <v>2.0</v>
      </c>
      <c r="G274" s="28">
        <v>6.25</v>
      </c>
      <c r="H274" s="28">
        <v>11.0</v>
      </c>
      <c r="I274" s="28">
        <v>2.0</v>
      </c>
      <c r="J274" s="28">
        <v>1.0</v>
      </c>
      <c r="K274" s="28">
        <v>0.0</v>
      </c>
      <c r="L274" s="28">
        <v>0.0</v>
      </c>
    </row>
    <row r="275" ht="15.75" customHeight="1">
      <c r="A275" s="25" t="s">
        <v>530</v>
      </c>
      <c r="B275" s="25" t="s">
        <v>62</v>
      </c>
      <c r="C275" s="25" t="s">
        <v>572</v>
      </c>
      <c r="D275" s="25">
        <v>1.0</v>
      </c>
      <c r="E275" s="25">
        <v>10.0</v>
      </c>
      <c r="F275" s="28">
        <v>0.0</v>
      </c>
      <c r="G275" s="28">
        <v>10.0</v>
      </c>
      <c r="H275" s="28">
        <v>2.0</v>
      </c>
      <c r="I275" s="28">
        <v>2.0</v>
      </c>
      <c r="J275" s="28">
        <v>0.0</v>
      </c>
      <c r="K275" s="28">
        <v>0.0</v>
      </c>
      <c r="L275" s="28">
        <v>0.0</v>
      </c>
    </row>
    <row r="276" ht="15.75" customHeight="1">
      <c r="A276" s="25" t="s">
        <v>528</v>
      </c>
      <c r="B276" s="25" t="s">
        <v>62</v>
      </c>
      <c r="C276" s="25" t="s">
        <v>572</v>
      </c>
      <c r="D276" s="25">
        <v>4.0</v>
      </c>
      <c r="E276" s="25">
        <v>33.0</v>
      </c>
      <c r="F276" s="28">
        <v>1.0</v>
      </c>
      <c r="G276" s="28">
        <v>8.25</v>
      </c>
      <c r="H276" s="28">
        <v>8.0</v>
      </c>
      <c r="I276" s="28">
        <v>1.0</v>
      </c>
      <c r="J276" s="28">
        <v>2.0</v>
      </c>
      <c r="K276" s="28">
        <v>0.0</v>
      </c>
      <c r="L276" s="28">
        <v>0.0</v>
      </c>
    </row>
    <row r="277" ht="15.75" customHeight="1">
      <c r="A277" s="25" t="s">
        <v>601</v>
      </c>
      <c r="B277" s="25" t="s">
        <v>62</v>
      </c>
      <c r="C277" s="25" t="s">
        <v>572</v>
      </c>
      <c r="D277" s="25">
        <v>4.0</v>
      </c>
      <c r="E277" s="25">
        <v>43.0</v>
      </c>
      <c r="F277" s="28">
        <v>1.0</v>
      </c>
      <c r="G277" s="28">
        <v>10.75</v>
      </c>
      <c r="H277" s="28">
        <v>4.0</v>
      </c>
      <c r="I277" s="28">
        <v>4.0</v>
      </c>
      <c r="J277" s="28">
        <v>1.0</v>
      </c>
      <c r="K277" s="28">
        <v>0.0</v>
      </c>
      <c r="L277" s="28">
        <v>0.0</v>
      </c>
    </row>
    <row r="278" ht="15.75" customHeight="1">
      <c r="A278" s="25" t="s">
        <v>599</v>
      </c>
      <c r="B278" s="25" t="s">
        <v>572</v>
      </c>
      <c r="C278" s="25" t="s">
        <v>62</v>
      </c>
      <c r="D278" s="25">
        <v>4.0</v>
      </c>
      <c r="E278" s="25">
        <v>46.0</v>
      </c>
      <c r="F278" s="28">
        <v>1.0</v>
      </c>
      <c r="G278" s="28">
        <v>11.5</v>
      </c>
      <c r="H278" s="28">
        <v>6.0</v>
      </c>
      <c r="I278" s="28">
        <v>7.0</v>
      </c>
      <c r="J278" s="28">
        <v>1.0</v>
      </c>
      <c r="K278" s="28">
        <v>1.0</v>
      </c>
      <c r="L278" s="28">
        <v>0.0</v>
      </c>
    </row>
    <row r="279" ht="15.75" customHeight="1">
      <c r="A279" s="25" t="s">
        <v>575</v>
      </c>
      <c r="B279" s="25" t="s">
        <v>572</v>
      </c>
      <c r="C279" s="25" t="s">
        <v>62</v>
      </c>
      <c r="D279" s="25">
        <v>4.0</v>
      </c>
      <c r="E279" s="25">
        <v>25.0</v>
      </c>
      <c r="F279" s="28">
        <v>2.0</v>
      </c>
      <c r="G279" s="28">
        <v>6.25</v>
      </c>
      <c r="H279" s="28">
        <v>15.0</v>
      </c>
      <c r="I279" s="28">
        <v>2.0</v>
      </c>
      <c r="J279" s="28">
        <v>2.0</v>
      </c>
      <c r="K279" s="28">
        <v>0.0</v>
      </c>
      <c r="L279" s="28">
        <v>0.0</v>
      </c>
    </row>
    <row r="280" ht="15.75" customHeight="1">
      <c r="A280" s="25" t="s">
        <v>578</v>
      </c>
      <c r="B280" s="25" t="s">
        <v>572</v>
      </c>
      <c r="C280" s="25" t="s">
        <v>62</v>
      </c>
      <c r="D280" s="25">
        <v>2.5</v>
      </c>
      <c r="E280" s="25">
        <v>44.0</v>
      </c>
      <c r="F280" s="28">
        <v>0.0</v>
      </c>
      <c r="G280" s="28">
        <v>15.52</v>
      </c>
      <c r="H280" s="28">
        <v>3.0</v>
      </c>
      <c r="I280" s="28">
        <v>3.0</v>
      </c>
      <c r="J280" s="28">
        <v>3.0</v>
      </c>
      <c r="K280" s="28">
        <v>4.0</v>
      </c>
      <c r="L280" s="28">
        <v>0.0</v>
      </c>
    </row>
    <row r="281" ht="15.75" customHeight="1">
      <c r="A281" s="25" t="s">
        <v>580</v>
      </c>
      <c r="B281" s="25" t="s">
        <v>572</v>
      </c>
      <c r="C281" s="25" t="s">
        <v>62</v>
      </c>
      <c r="D281" s="25">
        <v>4.0</v>
      </c>
      <c r="E281" s="25">
        <v>23.0</v>
      </c>
      <c r="F281" s="28">
        <v>1.0</v>
      </c>
      <c r="G281" s="28">
        <v>5.75</v>
      </c>
      <c r="H281" s="28">
        <v>9.0</v>
      </c>
      <c r="I281" s="28">
        <v>2.0</v>
      </c>
      <c r="J281" s="28">
        <v>0.0</v>
      </c>
      <c r="K281" s="28">
        <v>0.0</v>
      </c>
      <c r="L281" s="28">
        <v>0.0</v>
      </c>
    </row>
    <row r="282" ht="15.75" customHeight="1">
      <c r="A282" s="25" t="s">
        <v>484</v>
      </c>
      <c r="B282" s="25" t="s">
        <v>572</v>
      </c>
      <c r="C282" s="25" t="s">
        <v>62</v>
      </c>
      <c r="D282" s="25">
        <v>3.0</v>
      </c>
      <c r="E282" s="25">
        <v>26.0</v>
      </c>
      <c r="F282" s="28">
        <v>0.0</v>
      </c>
      <c r="G282" s="28">
        <v>8.66</v>
      </c>
      <c r="H282" s="28">
        <v>4.0</v>
      </c>
      <c r="I282" s="28">
        <v>2.0</v>
      </c>
      <c r="J282" s="28">
        <v>1.0</v>
      </c>
      <c r="K282" s="28">
        <v>0.0</v>
      </c>
      <c r="L282" s="28">
        <v>0.0</v>
      </c>
    </row>
    <row r="283" ht="15.75" customHeight="1">
      <c r="A283" s="25" t="s">
        <v>483</v>
      </c>
      <c r="B283" s="25" t="s">
        <v>572</v>
      </c>
      <c r="C283" s="25" t="s">
        <v>62</v>
      </c>
      <c r="D283" s="25">
        <v>2.0</v>
      </c>
      <c r="E283" s="25">
        <v>8.0</v>
      </c>
      <c r="F283" s="28">
        <v>2.0</v>
      </c>
      <c r="G283" s="28">
        <v>4.0</v>
      </c>
      <c r="H283" s="28">
        <v>4.0</v>
      </c>
      <c r="I283" s="28">
        <v>0.0</v>
      </c>
      <c r="J283" s="28">
        <v>0.0</v>
      </c>
      <c r="K283" s="28">
        <v>0.0</v>
      </c>
      <c r="L283" s="28">
        <v>0.0</v>
      </c>
    </row>
    <row r="284" ht="15.75" customHeight="1">
      <c r="A284" s="25" t="s">
        <v>602</v>
      </c>
      <c r="B284" s="25" t="s">
        <v>54</v>
      </c>
      <c r="C284" s="25" t="s">
        <v>47</v>
      </c>
      <c r="D284" s="25">
        <v>4.0</v>
      </c>
      <c r="E284" s="25">
        <v>38.0</v>
      </c>
      <c r="F284" s="28">
        <v>1.0</v>
      </c>
      <c r="G284" s="28">
        <v>9.5</v>
      </c>
      <c r="H284" s="28">
        <v>10.0</v>
      </c>
      <c r="I284" s="28">
        <v>5.0</v>
      </c>
      <c r="J284" s="28">
        <v>1.0</v>
      </c>
      <c r="K284" s="28">
        <v>1.0</v>
      </c>
      <c r="L284" s="28">
        <v>1.0</v>
      </c>
    </row>
    <row r="285" ht="15.75" customHeight="1">
      <c r="A285" s="25" t="s">
        <v>603</v>
      </c>
      <c r="B285" s="25" t="s">
        <v>54</v>
      </c>
      <c r="C285" s="25" t="s">
        <v>47</v>
      </c>
      <c r="D285" s="25">
        <v>3.0</v>
      </c>
      <c r="E285" s="25">
        <v>20.0</v>
      </c>
      <c r="F285" s="28">
        <v>2.0</v>
      </c>
      <c r="G285" s="28">
        <v>6.66</v>
      </c>
      <c r="H285" s="28">
        <v>11.0</v>
      </c>
      <c r="I285" s="28">
        <v>2.0</v>
      </c>
      <c r="J285" s="28">
        <v>1.0</v>
      </c>
      <c r="K285" s="28">
        <v>1.0</v>
      </c>
      <c r="L285" s="28">
        <v>0.0</v>
      </c>
    </row>
    <row r="286" ht="15.75" customHeight="1">
      <c r="A286" s="25" t="s">
        <v>585</v>
      </c>
      <c r="B286" s="25" t="s">
        <v>54</v>
      </c>
      <c r="C286" s="25" t="s">
        <v>47</v>
      </c>
      <c r="D286" s="25">
        <v>4.0</v>
      </c>
      <c r="E286" s="25">
        <v>41.0</v>
      </c>
      <c r="F286" s="28">
        <v>1.0</v>
      </c>
      <c r="G286" s="28">
        <v>10.25</v>
      </c>
      <c r="H286" s="28">
        <v>8.0</v>
      </c>
      <c r="I286" s="28">
        <v>4.0</v>
      </c>
      <c r="J286" s="28">
        <v>2.0</v>
      </c>
      <c r="K286" s="28">
        <v>1.0</v>
      </c>
      <c r="L286" s="28">
        <v>0.0</v>
      </c>
    </row>
    <row r="287" ht="15.75" customHeight="1">
      <c r="A287" s="25" t="s">
        <v>584</v>
      </c>
      <c r="B287" s="25" t="s">
        <v>54</v>
      </c>
      <c r="C287" s="25" t="s">
        <v>47</v>
      </c>
      <c r="D287" s="25">
        <v>3.0</v>
      </c>
      <c r="E287" s="25">
        <v>21.0</v>
      </c>
      <c r="F287" s="28">
        <v>1.0</v>
      </c>
      <c r="G287" s="28">
        <v>7.0</v>
      </c>
      <c r="H287" s="28">
        <v>10.0</v>
      </c>
      <c r="I287" s="28">
        <v>4.0</v>
      </c>
      <c r="J287" s="28">
        <v>0.0</v>
      </c>
      <c r="K287" s="28">
        <v>0.0</v>
      </c>
      <c r="L287" s="28">
        <v>0.0</v>
      </c>
    </row>
    <row r="288" ht="15.75" customHeight="1">
      <c r="A288" s="25" t="s">
        <v>586</v>
      </c>
      <c r="B288" s="25" t="s">
        <v>54</v>
      </c>
      <c r="C288" s="25" t="s">
        <v>47</v>
      </c>
      <c r="D288" s="25">
        <v>2.0</v>
      </c>
      <c r="E288" s="25">
        <v>18.0</v>
      </c>
      <c r="F288" s="28">
        <v>0.0</v>
      </c>
      <c r="G288" s="28">
        <v>9.0</v>
      </c>
      <c r="H288" s="28">
        <v>4.0</v>
      </c>
      <c r="I288" s="28">
        <v>0.0</v>
      </c>
      <c r="J288" s="28">
        <v>2.0</v>
      </c>
      <c r="K288" s="28">
        <v>0.0</v>
      </c>
      <c r="L288" s="28">
        <v>0.0</v>
      </c>
    </row>
    <row r="289" ht="15.75" customHeight="1">
      <c r="A289" s="25" t="s">
        <v>587</v>
      </c>
      <c r="B289" s="25" t="s">
        <v>54</v>
      </c>
      <c r="C289" s="25" t="s">
        <v>47</v>
      </c>
      <c r="D289" s="25">
        <v>4.0</v>
      </c>
      <c r="E289" s="25">
        <v>29.0</v>
      </c>
      <c r="F289" s="28">
        <v>1.0</v>
      </c>
      <c r="G289" s="28">
        <v>7.25</v>
      </c>
      <c r="H289" s="28">
        <v>10.0</v>
      </c>
      <c r="I289" s="28">
        <v>5.0</v>
      </c>
      <c r="J289" s="28">
        <v>0.0</v>
      </c>
      <c r="K289" s="28">
        <v>0.0</v>
      </c>
      <c r="L289" s="28">
        <v>0.0</v>
      </c>
    </row>
    <row r="290" ht="15.75" customHeight="1">
      <c r="A290" s="25" t="s">
        <v>588</v>
      </c>
      <c r="B290" s="25" t="s">
        <v>47</v>
      </c>
      <c r="C290" s="25" t="s">
        <v>54</v>
      </c>
      <c r="D290" s="25">
        <v>2.0</v>
      </c>
      <c r="E290" s="25">
        <v>8.0</v>
      </c>
      <c r="F290" s="28">
        <v>0.0</v>
      </c>
      <c r="G290" s="28">
        <v>4.0</v>
      </c>
      <c r="H290" s="28">
        <v>8.0</v>
      </c>
      <c r="I290" s="28">
        <v>1.0</v>
      </c>
      <c r="J290" s="28">
        <v>0.0</v>
      </c>
      <c r="K290" s="28">
        <v>0.0</v>
      </c>
      <c r="L290" s="28">
        <v>0.0</v>
      </c>
    </row>
    <row r="291" ht="15.75" customHeight="1">
      <c r="A291" s="25" t="s">
        <v>167</v>
      </c>
      <c r="B291" s="25" t="s">
        <v>47</v>
      </c>
      <c r="C291" s="25" t="s">
        <v>54</v>
      </c>
      <c r="D291" s="25">
        <v>1.0</v>
      </c>
      <c r="E291" s="25">
        <v>12.0</v>
      </c>
      <c r="F291" s="28">
        <v>0.0</v>
      </c>
      <c r="G291" s="28">
        <v>12.0</v>
      </c>
      <c r="H291" s="28">
        <v>1.0</v>
      </c>
      <c r="I291" s="28">
        <v>2.0</v>
      </c>
      <c r="J291" s="28">
        <v>0.0</v>
      </c>
      <c r="K291" s="28">
        <v>0.0</v>
      </c>
      <c r="L291" s="28">
        <v>0.0</v>
      </c>
    </row>
    <row r="292" ht="15.75" customHeight="1">
      <c r="A292" s="25" t="s">
        <v>589</v>
      </c>
      <c r="B292" s="25" t="s">
        <v>47</v>
      </c>
      <c r="C292" s="25" t="s">
        <v>54</v>
      </c>
      <c r="D292" s="25">
        <v>4.0</v>
      </c>
      <c r="E292" s="25">
        <v>18.0</v>
      </c>
      <c r="F292" s="28">
        <v>4.0</v>
      </c>
      <c r="G292" s="28">
        <v>4.5</v>
      </c>
      <c r="H292" s="28">
        <v>15.0</v>
      </c>
      <c r="I292" s="28">
        <v>2.0</v>
      </c>
      <c r="J292" s="28">
        <v>0.0</v>
      </c>
      <c r="K292" s="28">
        <v>0.0</v>
      </c>
      <c r="L292" s="28">
        <v>0.0</v>
      </c>
    </row>
    <row r="293" ht="15.75" customHeight="1">
      <c r="A293" s="25" t="s">
        <v>522</v>
      </c>
      <c r="B293" s="25" t="s">
        <v>47</v>
      </c>
      <c r="C293" s="25" t="s">
        <v>54</v>
      </c>
      <c r="D293" s="25">
        <v>2.0</v>
      </c>
      <c r="E293" s="25">
        <v>3.0</v>
      </c>
      <c r="F293" s="28">
        <v>1.0</v>
      </c>
      <c r="G293" s="28">
        <v>1.5</v>
      </c>
      <c r="H293" s="28">
        <v>9.0</v>
      </c>
      <c r="I293" s="28">
        <v>0.0</v>
      </c>
      <c r="J293" s="28">
        <v>0.0</v>
      </c>
      <c r="K293" s="28">
        <v>0.0</v>
      </c>
      <c r="L293" s="28">
        <v>0.0</v>
      </c>
    </row>
    <row r="294" ht="15.75" customHeight="1">
      <c r="A294" s="25" t="s">
        <v>521</v>
      </c>
      <c r="B294" s="25" t="s">
        <v>47</v>
      </c>
      <c r="C294" s="25" t="s">
        <v>54</v>
      </c>
      <c r="D294" s="25">
        <v>4.0</v>
      </c>
      <c r="E294" s="25">
        <v>21.0</v>
      </c>
      <c r="F294" s="28">
        <v>2.0</v>
      </c>
      <c r="G294" s="28">
        <v>5.25</v>
      </c>
      <c r="H294" s="28">
        <v>12.0</v>
      </c>
      <c r="I294" s="28">
        <v>1.0</v>
      </c>
      <c r="J294" s="28">
        <v>1.0</v>
      </c>
      <c r="K294" s="28">
        <v>1.0</v>
      </c>
      <c r="L294" s="28">
        <v>0.0</v>
      </c>
    </row>
    <row r="295" ht="15.75" customHeight="1">
      <c r="A295" s="25" t="s">
        <v>523</v>
      </c>
      <c r="B295" s="25" t="s">
        <v>47</v>
      </c>
      <c r="C295" s="25" t="s">
        <v>54</v>
      </c>
      <c r="D295" s="25">
        <v>3.5</v>
      </c>
      <c r="E295" s="25">
        <v>19.0</v>
      </c>
      <c r="F295" s="28">
        <v>1.0</v>
      </c>
      <c r="G295" s="28">
        <v>4.95</v>
      </c>
      <c r="H295" s="28">
        <v>12.0</v>
      </c>
      <c r="I295" s="28">
        <v>1.0</v>
      </c>
      <c r="J295" s="28">
        <v>1.0</v>
      </c>
      <c r="K295" s="28">
        <v>0.0</v>
      </c>
      <c r="L295" s="28">
        <v>0.0</v>
      </c>
    </row>
    <row r="296" ht="15.75" customHeight="1">
      <c r="A296" s="25" t="s">
        <v>545</v>
      </c>
      <c r="B296" s="25" t="s">
        <v>58</v>
      </c>
      <c r="C296" s="25" t="s">
        <v>47</v>
      </c>
      <c r="D296" s="25">
        <v>2.0</v>
      </c>
      <c r="E296" s="25">
        <v>18.0</v>
      </c>
      <c r="F296" s="28">
        <v>0.0</v>
      </c>
      <c r="G296" s="28">
        <v>9.0</v>
      </c>
      <c r="H296" s="28">
        <v>1.0</v>
      </c>
      <c r="I296" s="28">
        <v>2.0</v>
      </c>
      <c r="J296" s="28">
        <v>0.0</v>
      </c>
      <c r="K296" s="28">
        <v>0.0</v>
      </c>
      <c r="L296" s="28">
        <v>0.0</v>
      </c>
    </row>
    <row r="297" ht="15.75" customHeight="1">
      <c r="A297" s="25" t="s">
        <v>604</v>
      </c>
      <c r="B297" s="25" t="s">
        <v>58</v>
      </c>
      <c r="C297" s="25" t="s">
        <v>47</v>
      </c>
      <c r="D297" s="25">
        <v>4.0</v>
      </c>
      <c r="E297" s="25">
        <v>34.0</v>
      </c>
      <c r="F297" s="28">
        <v>1.0</v>
      </c>
      <c r="G297" s="28">
        <v>8.5</v>
      </c>
      <c r="H297" s="28">
        <v>11.0</v>
      </c>
      <c r="I297" s="28">
        <v>5.0</v>
      </c>
      <c r="J297" s="28">
        <v>0.0</v>
      </c>
      <c r="K297" s="28">
        <v>1.0</v>
      </c>
      <c r="L297" s="28">
        <v>0.0</v>
      </c>
    </row>
    <row r="298" ht="15.75" customHeight="1">
      <c r="A298" s="25" t="s">
        <v>496</v>
      </c>
      <c r="B298" s="25" t="s">
        <v>58</v>
      </c>
      <c r="C298" s="25" t="s">
        <v>47</v>
      </c>
      <c r="D298" s="25">
        <v>2.0</v>
      </c>
      <c r="E298" s="25">
        <v>26.0</v>
      </c>
      <c r="F298" s="28">
        <v>2.0</v>
      </c>
      <c r="G298" s="28">
        <v>13.0</v>
      </c>
      <c r="H298" s="28">
        <v>5.0</v>
      </c>
      <c r="I298" s="28">
        <v>3.0</v>
      </c>
      <c r="J298" s="28">
        <v>2.0</v>
      </c>
      <c r="K298" s="28">
        <v>0.0</v>
      </c>
      <c r="L298" s="28">
        <v>0.0</v>
      </c>
    </row>
    <row r="299" ht="15.75" customHeight="1">
      <c r="A299" s="25" t="s">
        <v>605</v>
      </c>
      <c r="B299" s="25" t="s">
        <v>58</v>
      </c>
      <c r="C299" s="25" t="s">
        <v>47</v>
      </c>
      <c r="D299" s="25">
        <v>3.0</v>
      </c>
      <c r="E299" s="25">
        <v>35.0</v>
      </c>
      <c r="F299" s="28">
        <v>1.0</v>
      </c>
      <c r="G299" s="28">
        <v>11.66</v>
      </c>
      <c r="H299" s="28">
        <v>6.0</v>
      </c>
      <c r="I299" s="28">
        <v>3.0</v>
      </c>
      <c r="J299" s="28">
        <v>2.0</v>
      </c>
      <c r="K299" s="28">
        <v>1.0</v>
      </c>
      <c r="L299" s="28">
        <v>0.0</v>
      </c>
    </row>
    <row r="300" ht="15.75" customHeight="1">
      <c r="A300" s="25" t="s">
        <v>606</v>
      </c>
      <c r="B300" s="25" t="s">
        <v>58</v>
      </c>
      <c r="C300" s="25" t="s">
        <v>47</v>
      </c>
      <c r="D300" s="25">
        <v>4.0</v>
      </c>
      <c r="E300" s="25">
        <v>44.0</v>
      </c>
      <c r="F300" s="28">
        <v>1.0</v>
      </c>
      <c r="G300" s="28">
        <v>11.0</v>
      </c>
      <c r="H300" s="28">
        <v>6.0</v>
      </c>
      <c r="I300" s="28">
        <v>5.0</v>
      </c>
      <c r="J300" s="28">
        <v>1.0</v>
      </c>
      <c r="K300" s="28">
        <v>3.0</v>
      </c>
      <c r="L300" s="28">
        <v>0.0</v>
      </c>
    </row>
    <row r="301" ht="15.75" customHeight="1">
      <c r="A301" s="25" t="s">
        <v>550</v>
      </c>
      <c r="B301" s="25" t="s">
        <v>58</v>
      </c>
      <c r="C301" s="25" t="s">
        <v>47</v>
      </c>
      <c r="D301" s="25">
        <v>4.0</v>
      </c>
      <c r="E301" s="25">
        <v>23.0</v>
      </c>
      <c r="F301" s="28">
        <v>2.0</v>
      </c>
      <c r="G301" s="28">
        <v>5.75</v>
      </c>
      <c r="H301" s="28">
        <v>9.0</v>
      </c>
      <c r="I301" s="28">
        <v>2.0</v>
      </c>
      <c r="J301" s="28">
        <v>0.0</v>
      </c>
      <c r="K301" s="28">
        <v>1.0</v>
      </c>
      <c r="L301" s="28">
        <v>0.0</v>
      </c>
    </row>
    <row r="302" ht="15.75" customHeight="1">
      <c r="A302" s="25" t="s">
        <v>565</v>
      </c>
      <c r="B302" s="25" t="s">
        <v>58</v>
      </c>
      <c r="C302" s="25" t="s">
        <v>47</v>
      </c>
      <c r="D302" s="25">
        <v>1.0</v>
      </c>
      <c r="E302" s="25">
        <v>15.0</v>
      </c>
      <c r="F302" s="28">
        <v>0.0</v>
      </c>
      <c r="G302" s="28">
        <v>15.0</v>
      </c>
      <c r="H302" s="28">
        <v>0.0</v>
      </c>
      <c r="I302" s="28">
        <v>3.0</v>
      </c>
      <c r="J302" s="28">
        <v>0.0</v>
      </c>
      <c r="K302" s="28">
        <v>0.0</v>
      </c>
      <c r="L302" s="28">
        <v>0.0</v>
      </c>
    </row>
    <row r="303" ht="15.75" customHeight="1">
      <c r="A303" s="25" t="s">
        <v>588</v>
      </c>
      <c r="B303" s="25" t="s">
        <v>47</v>
      </c>
      <c r="C303" s="25" t="s">
        <v>58</v>
      </c>
      <c r="D303" s="25">
        <v>3.0</v>
      </c>
      <c r="E303" s="25">
        <v>10.0</v>
      </c>
      <c r="F303" s="28">
        <v>1.0</v>
      </c>
      <c r="G303" s="28">
        <v>3.33</v>
      </c>
      <c r="H303" s="28">
        <v>11.0</v>
      </c>
      <c r="I303" s="28">
        <v>1.0</v>
      </c>
      <c r="J303" s="28">
        <v>0.0</v>
      </c>
      <c r="K303" s="28">
        <v>0.0</v>
      </c>
      <c r="L303" s="28">
        <v>0.0</v>
      </c>
    </row>
    <row r="304" ht="15.75" customHeight="1">
      <c r="A304" s="25" t="s">
        <v>529</v>
      </c>
      <c r="B304" s="25" t="s">
        <v>47</v>
      </c>
      <c r="C304" s="25" t="s">
        <v>58</v>
      </c>
      <c r="D304" s="25">
        <v>3.3</v>
      </c>
      <c r="E304" s="25">
        <v>18.0</v>
      </c>
      <c r="F304" s="28">
        <v>2.0</v>
      </c>
      <c r="G304" s="28">
        <v>5.14</v>
      </c>
      <c r="H304" s="28">
        <v>13.0</v>
      </c>
      <c r="I304" s="28">
        <v>2.0</v>
      </c>
      <c r="J304" s="28">
        <v>0.0</v>
      </c>
      <c r="K304" s="28">
        <v>2.0</v>
      </c>
      <c r="L304" s="28">
        <v>0.0</v>
      </c>
    </row>
    <row r="305" ht="15.75" customHeight="1">
      <c r="A305" s="25" t="s">
        <v>167</v>
      </c>
      <c r="B305" s="25" t="s">
        <v>47</v>
      </c>
      <c r="C305" s="25" t="s">
        <v>58</v>
      </c>
      <c r="D305" s="25">
        <v>4.0</v>
      </c>
      <c r="E305" s="25">
        <v>33.0</v>
      </c>
      <c r="F305" s="28">
        <v>4.0</v>
      </c>
      <c r="G305" s="28">
        <v>8.25</v>
      </c>
      <c r="H305" s="28">
        <v>10.0</v>
      </c>
      <c r="I305" s="28">
        <v>3.0</v>
      </c>
      <c r="J305" s="28">
        <v>1.0</v>
      </c>
      <c r="K305" s="28">
        <v>1.0</v>
      </c>
      <c r="L305" s="28">
        <v>0.0</v>
      </c>
    </row>
    <row r="306" ht="15.75" customHeight="1">
      <c r="A306" s="25" t="s">
        <v>522</v>
      </c>
      <c r="B306" s="25" t="s">
        <v>47</v>
      </c>
      <c r="C306" s="25" t="s">
        <v>58</v>
      </c>
      <c r="D306" s="25">
        <v>3.0</v>
      </c>
      <c r="E306" s="25">
        <v>24.0</v>
      </c>
      <c r="F306" s="28">
        <v>1.0</v>
      </c>
      <c r="G306" s="28">
        <v>8.0</v>
      </c>
      <c r="H306" s="28">
        <v>9.0</v>
      </c>
      <c r="I306" s="28">
        <v>3.0</v>
      </c>
      <c r="J306" s="28">
        <v>1.0</v>
      </c>
      <c r="K306" s="28">
        <v>0.0</v>
      </c>
      <c r="L306" s="28">
        <v>0.0</v>
      </c>
    </row>
    <row r="307" ht="15.75" customHeight="1">
      <c r="A307" s="25" t="s">
        <v>521</v>
      </c>
      <c r="B307" s="25" t="s">
        <v>47</v>
      </c>
      <c r="C307" s="25" t="s">
        <v>58</v>
      </c>
      <c r="D307" s="25">
        <v>4.0</v>
      </c>
      <c r="E307" s="25">
        <v>32.0</v>
      </c>
      <c r="F307" s="28">
        <v>2.0</v>
      </c>
      <c r="G307" s="28">
        <v>8.0</v>
      </c>
      <c r="H307" s="28">
        <v>9.0</v>
      </c>
      <c r="I307" s="28">
        <v>2.0</v>
      </c>
      <c r="J307" s="28">
        <v>2.0</v>
      </c>
      <c r="K307" s="28">
        <v>0.0</v>
      </c>
      <c r="L307" s="28">
        <v>0.0</v>
      </c>
    </row>
    <row r="308" ht="15.75" customHeight="1">
      <c r="A308" s="25" t="s">
        <v>523</v>
      </c>
      <c r="B308" s="25" t="s">
        <v>47</v>
      </c>
      <c r="C308" s="25" t="s">
        <v>58</v>
      </c>
      <c r="D308" s="25">
        <v>2.0</v>
      </c>
      <c r="E308" s="25">
        <v>23.0</v>
      </c>
      <c r="F308" s="28">
        <v>0.0</v>
      </c>
      <c r="G308" s="28">
        <v>11.5</v>
      </c>
      <c r="H308" s="28">
        <v>2.0</v>
      </c>
      <c r="I308" s="28">
        <v>2.0</v>
      </c>
      <c r="J308" s="28">
        <v>1.0</v>
      </c>
      <c r="K308" s="28">
        <v>1.0</v>
      </c>
      <c r="L308" s="28">
        <v>0.0</v>
      </c>
    </row>
    <row r="309" ht="15.75" customHeight="1">
      <c r="A309" s="25" t="s">
        <v>607</v>
      </c>
      <c r="B309" s="25" t="s">
        <v>58</v>
      </c>
      <c r="C309" s="25" t="s">
        <v>47</v>
      </c>
      <c r="D309" s="25">
        <v>3.0</v>
      </c>
      <c r="E309" s="25">
        <v>35.0</v>
      </c>
      <c r="F309" s="28">
        <v>0.0</v>
      </c>
      <c r="G309" s="28">
        <v>11.66</v>
      </c>
      <c r="H309" s="28">
        <v>6.0</v>
      </c>
      <c r="I309" s="28">
        <v>3.0</v>
      </c>
      <c r="J309" s="28">
        <v>2.0</v>
      </c>
      <c r="K309" s="28">
        <v>2.0</v>
      </c>
      <c r="L309" s="28">
        <v>0.0</v>
      </c>
    </row>
    <row r="310" ht="15.75" customHeight="1">
      <c r="A310" s="25" t="s">
        <v>545</v>
      </c>
      <c r="B310" s="25" t="s">
        <v>58</v>
      </c>
      <c r="C310" s="25" t="s">
        <v>47</v>
      </c>
      <c r="D310" s="25">
        <v>3.0</v>
      </c>
      <c r="E310" s="25">
        <v>26.0</v>
      </c>
      <c r="F310" s="28">
        <v>0.0</v>
      </c>
      <c r="G310" s="28">
        <v>8.66</v>
      </c>
      <c r="H310" s="28">
        <v>7.0</v>
      </c>
      <c r="I310" s="28">
        <v>3.0</v>
      </c>
      <c r="J310" s="28">
        <v>0.0</v>
      </c>
      <c r="K310" s="28">
        <v>3.0</v>
      </c>
      <c r="L310" s="28">
        <v>0.0</v>
      </c>
    </row>
    <row r="311" ht="15.75" customHeight="1">
      <c r="A311" s="25" t="s">
        <v>496</v>
      </c>
      <c r="B311" s="25" t="s">
        <v>58</v>
      </c>
      <c r="C311" s="25" t="s">
        <v>47</v>
      </c>
      <c r="D311" s="25">
        <v>2.0</v>
      </c>
      <c r="E311" s="25">
        <v>23.0</v>
      </c>
      <c r="F311" s="28">
        <v>0.0</v>
      </c>
      <c r="G311" s="28">
        <v>11.5</v>
      </c>
      <c r="H311" s="28">
        <v>3.0</v>
      </c>
      <c r="I311" s="28">
        <v>3.0</v>
      </c>
      <c r="J311" s="28">
        <v>1.0</v>
      </c>
      <c r="K311" s="28">
        <v>0.0</v>
      </c>
      <c r="L311" s="28">
        <v>0.0</v>
      </c>
    </row>
    <row r="312" ht="15.75" customHeight="1">
      <c r="A312" s="25" t="s">
        <v>608</v>
      </c>
      <c r="B312" s="25" t="s">
        <v>58</v>
      </c>
      <c r="C312" s="25" t="s">
        <v>47</v>
      </c>
      <c r="D312" s="25">
        <v>4.0</v>
      </c>
      <c r="E312" s="25">
        <v>15.0</v>
      </c>
      <c r="F312" s="28">
        <v>3.0</v>
      </c>
      <c r="G312" s="28">
        <v>3.75</v>
      </c>
      <c r="H312" s="28">
        <v>16.0</v>
      </c>
      <c r="I312" s="28">
        <v>1.0</v>
      </c>
      <c r="J312" s="28">
        <v>0.0</v>
      </c>
      <c r="K312" s="28">
        <v>1.0</v>
      </c>
      <c r="L312" s="28">
        <v>0.0</v>
      </c>
    </row>
    <row r="313" ht="15.75" customHeight="1">
      <c r="A313" s="25" t="s">
        <v>606</v>
      </c>
      <c r="B313" s="25" t="s">
        <v>58</v>
      </c>
      <c r="C313" s="25" t="s">
        <v>47</v>
      </c>
      <c r="D313" s="25">
        <v>2.0</v>
      </c>
      <c r="E313" s="25">
        <v>21.0</v>
      </c>
      <c r="F313" s="28">
        <v>0.0</v>
      </c>
      <c r="G313" s="28">
        <v>10.5</v>
      </c>
      <c r="H313" s="28">
        <v>2.0</v>
      </c>
      <c r="I313" s="28">
        <v>3.0</v>
      </c>
      <c r="J313" s="28">
        <v>0.0</v>
      </c>
      <c r="K313" s="28">
        <v>1.0</v>
      </c>
      <c r="L313" s="28">
        <v>0.0</v>
      </c>
    </row>
    <row r="314" ht="15.75" customHeight="1">
      <c r="A314" s="25" t="s">
        <v>550</v>
      </c>
      <c r="B314" s="25" t="s">
        <v>58</v>
      </c>
      <c r="C314" s="25" t="s">
        <v>47</v>
      </c>
      <c r="D314" s="25">
        <v>4.0</v>
      </c>
      <c r="E314" s="25">
        <v>27.0</v>
      </c>
      <c r="F314" s="28">
        <v>4.0</v>
      </c>
      <c r="G314" s="28">
        <v>6.75</v>
      </c>
      <c r="H314" s="28">
        <v>10.0</v>
      </c>
      <c r="I314" s="28">
        <v>2.0</v>
      </c>
      <c r="J314" s="28">
        <v>1.0</v>
      </c>
      <c r="K314" s="28">
        <v>0.0</v>
      </c>
      <c r="L314" s="28">
        <v>0.0</v>
      </c>
    </row>
    <row r="315" ht="15.75" customHeight="1">
      <c r="A315" s="25" t="s">
        <v>565</v>
      </c>
      <c r="B315" s="25" t="s">
        <v>58</v>
      </c>
      <c r="C315" s="25" t="s">
        <v>47</v>
      </c>
      <c r="D315" s="25">
        <v>2.0</v>
      </c>
      <c r="E315" s="25">
        <v>23.0</v>
      </c>
      <c r="F315" s="28">
        <v>0.0</v>
      </c>
      <c r="G315" s="28">
        <v>11.5</v>
      </c>
      <c r="H315" s="28">
        <v>2.0</v>
      </c>
      <c r="I315" s="28">
        <v>2.0</v>
      </c>
      <c r="J315" s="28">
        <v>0.0</v>
      </c>
      <c r="K315" s="28">
        <v>1.0</v>
      </c>
      <c r="L315" s="28">
        <v>0.0</v>
      </c>
    </row>
    <row r="316" ht="15.75" customHeight="1">
      <c r="A316" s="25" t="s">
        <v>588</v>
      </c>
      <c r="B316" s="25" t="s">
        <v>47</v>
      </c>
      <c r="C316" s="25" t="s">
        <v>58</v>
      </c>
      <c r="D316" s="25">
        <v>3.0</v>
      </c>
      <c r="E316" s="25">
        <v>15.0</v>
      </c>
      <c r="F316" s="28">
        <v>3.0</v>
      </c>
      <c r="G316" s="28">
        <v>5.0</v>
      </c>
      <c r="H316" s="28">
        <v>11.0</v>
      </c>
      <c r="I316" s="28">
        <v>2.0</v>
      </c>
      <c r="J316" s="28">
        <v>0.0</v>
      </c>
      <c r="K316" s="28">
        <v>0.0</v>
      </c>
      <c r="L316" s="28">
        <v>0.0</v>
      </c>
    </row>
    <row r="317" ht="15.75" customHeight="1">
      <c r="A317" s="25" t="s">
        <v>173</v>
      </c>
      <c r="B317" s="25" t="s">
        <v>47</v>
      </c>
      <c r="C317" s="25" t="s">
        <v>58</v>
      </c>
      <c r="D317" s="25">
        <v>3.0</v>
      </c>
      <c r="E317" s="25">
        <v>10.0</v>
      </c>
      <c r="F317" s="28">
        <v>2.0</v>
      </c>
      <c r="G317" s="28">
        <v>3.33</v>
      </c>
      <c r="H317" s="28">
        <v>11.0</v>
      </c>
      <c r="I317" s="28">
        <v>1.0</v>
      </c>
      <c r="J317" s="28">
        <v>0.0</v>
      </c>
      <c r="K317" s="28">
        <v>0.0</v>
      </c>
      <c r="L317" s="28">
        <v>0.0</v>
      </c>
    </row>
    <row r="318" ht="15.75" customHeight="1">
      <c r="A318" s="25" t="s">
        <v>167</v>
      </c>
      <c r="B318" s="25" t="s">
        <v>47</v>
      </c>
      <c r="C318" s="25" t="s">
        <v>58</v>
      </c>
      <c r="D318" s="25">
        <v>3.0</v>
      </c>
      <c r="E318" s="25">
        <v>29.0</v>
      </c>
      <c r="F318" s="28">
        <v>1.0</v>
      </c>
      <c r="G318" s="28">
        <v>9.66</v>
      </c>
      <c r="H318" s="28">
        <v>6.0</v>
      </c>
      <c r="I318" s="28">
        <v>2.0</v>
      </c>
      <c r="J318" s="28">
        <v>2.0</v>
      </c>
      <c r="K318" s="28">
        <v>0.0</v>
      </c>
      <c r="L318" s="28">
        <v>0.0</v>
      </c>
    </row>
    <row r="319" ht="15.75" customHeight="1">
      <c r="A319" s="25" t="s">
        <v>522</v>
      </c>
      <c r="B319" s="25" t="s">
        <v>47</v>
      </c>
      <c r="C319" s="25" t="s">
        <v>58</v>
      </c>
      <c r="D319" s="25">
        <v>4.0</v>
      </c>
      <c r="E319" s="25">
        <v>34.0</v>
      </c>
      <c r="F319" s="28">
        <v>1.0</v>
      </c>
      <c r="G319" s="28">
        <v>8.5</v>
      </c>
      <c r="H319" s="28">
        <v>11.0</v>
      </c>
      <c r="I319" s="28">
        <v>5.0</v>
      </c>
      <c r="J319" s="28">
        <v>1.0</v>
      </c>
      <c r="K319" s="28">
        <v>1.0</v>
      </c>
      <c r="L319" s="28">
        <v>0.0</v>
      </c>
    </row>
    <row r="320" ht="15.75" customHeight="1">
      <c r="A320" s="25" t="s">
        <v>521</v>
      </c>
      <c r="B320" s="25" t="s">
        <v>47</v>
      </c>
      <c r="C320" s="25" t="s">
        <v>58</v>
      </c>
      <c r="D320" s="25">
        <v>2.0</v>
      </c>
      <c r="E320" s="25">
        <v>10.0</v>
      </c>
      <c r="F320" s="28">
        <v>2.0</v>
      </c>
      <c r="G320" s="28">
        <v>5.0</v>
      </c>
      <c r="H320" s="28">
        <v>5.0</v>
      </c>
      <c r="I320" s="28">
        <v>1.0</v>
      </c>
      <c r="J320" s="28">
        <v>0.0</v>
      </c>
      <c r="K320" s="28">
        <v>0.0</v>
      </c>
      <c r="L320" s="28">
        <v>0.0</v>
      </c>
    </row>
    <row r="321" ht="15.75" customHeight="1">
      <c r="A321" s="25" t="s">
        <v>168</v>
      </c>
      <c r="B321" s="25" t="s">
        <v>47</v>
      </c>
      <c r="C321" s="25" t="s">
        <v>58</v>
      </c>
      <c r="D321" s="25">
        <v>2.0</v>
      </c>
      <c r="E321" s="25">
        <v>22.0</v>
      </c>
      <c r="F321" s="28">
        <v>0.0</v>
      </c>
      <c r="G321" s="28">
        <v>11.0</v>
      </c>
      <c r="H321" s="28">
        <v>1.0</v>
      </c>
      <c r="I321" s="28">
        <v>2.0</v>
      </c>
      <c r="J321" s="28">
        <v>1.0</v>
      </c>
      <c r="K321" s="28">
        <v>0.0</v>
      </c>
      <c r="L321" s="28">
        <v>0.0</v>
      </c>
    </row>
    <row r="322" ht="15.75" customHeight="1">
      <c r="A322" s="25" t="s">
        <v>589</v>
      </c>
      <c r="B322" s="25" t="s">
        <v>47</v>
      </c>
      <c r="C322" s="25" t="s">
        <v>58</v>
      </c>
      <c r="D322" s="25">
        <v>4.0</v>
      </c>
      <c r="E322" s="25">
        <v>43.0</v>
      </c>
      <c r="F322" s="28">
        <v>1.0</v>
      </c>
      <c r="G322" s="28">
        <v>10.75</v>
      </c>
      <c r="H322" s="28">
        <v>12.0</v>
      </c>
      <c r="I322" s="28">
        <v>2.0</v>
      </c>
      <c r="J322" s="28">
        <v>3.0</v>
      </c>
      <c r="K322" s="28">
        <v>1.0</v>
      </c>
      <c r="L322" s="28">
        <v>1.0</v>
      </c>
    </row>
    <row r="323" ht="15.75" customHeight="1">
      <c r="A323" s="25" t="s">
        <v>520</v>
      </c>
      <c r="B323" s="25" t="s">
        <v>47</v>
      </c>
      <c r="C323" s="25" t="s">
        <v>58</v>
      </c>
      <c r="D323" s="25">
        <v>4.0</v>
      </c>
      <c r="E323" s="25">
        <v>56.0</v>
      </c>
      <c r="F323" s="28">
        <v>1.0</v>
      </c>
      <c r="G323" s="28">
        <v>14.0</v>
      </c>
      <c r="H323" s="28">
        <v>7.0</v>
      </c>
      <c r="I323" s="28">
        <v>6.0</v>
      </c>
      <c r="J323" s="28">
        <v>3.0</v>
      </c>
      <c r="K323" s="28">
        <v>3.0</v>
      </c>
      <c r="L323" s="28">
        <v>0.0</v>
      </c>
    </row>
    <row r="324" ht="15.75" customHeight="1">
      <c r="A324" s="25" t="s">
        <v>609</v>
      </c>
      <c r="B324" s="25" t="s">
        <v>47</v>
      </c>
      <c r="C324" s="25" t="s">
        <v>58</v>
      </c>
      <c r="D324" s="25">
        <v>4.0</v>
      </c>
      <c r="E324" s="25">
        <v>30.0</v>
      </c>
      <c r="F324" s="28">
        <v>2.0</v>
      </c>
      <c r="G324" s="28">
        <v>7.5</v>
      </c>
      <c r="H324" s="28">
        <v>11.0</v>
      </c>
      <c r="I324" s="28">
        <v>2.0</v>
      </c>
      <c r="J324" s="28">
        <v>1.0</v>
      </c>
      <c r="K324" s="28">
        <v>0.0</v>
      </c>
      <c r="L324" s="28">
        <v>1.0</v>
      </c>
    </row>
    <row r="325" ht="15.75" customHeight="1">
      <c r="A325" s="25" t="s">
        <v>168</v>
      </c>
      <c r="B325" s="25" t="s">
        <v>47</v>
      </c>
      <c r="C325" s="25" t="s">
        <v>58</v>
      </c>
      <c r="D325" s="25">
        <v>4.0</v>
      </c>
      <c r="E325" s="25">
        <v>45.0</v>
      </c>
      <c r="F325" s="28">
        <v>0.0</v>
      </c>
      <c r="G325" s="28">
        <v>11.25</v>
      </c>
      <c r="H325" s="28">
        <v>7.0</v>
      </c>
      <c r="I325" s="28">
        <v>2.0</v>
      </c>
      <c r="J325" s="28">
        <v>4.0</v>
      </c>
      <c r="K325" s="28">
        <v>1.0</v>
      </c>
      <c r="L325" s="28">
        <v>0.0</v>
      </c>
    </row>
    <row r="326" ht="15.75" customHeight="1">
      <c r="A326" s="25" t="s">
        <v>522</v>
      </c>
      <c r="B326" s="25" t="s">
        <v>47</v>
      </c>
      <c r="C326" s="25" t="s">
        <v>58</v>
      </c>
      <c r="D326" s="25">
        <v>4.0</v>
      </c>
      <c r="E326" s="25">
        <v>35.0</v>
      </c>
      <c r="F326" s="28">
        <v>2.0</v>
      </c>
      <c r="G326" s="28">
        <v>8.75</v>
      </c>
      <c r="H326" s="28">
        <v>8.0</v>
      </c>
      <c r="I326" s="28">
        <v>2.0</v>
      </c>
      <c r="J326" s="28">
        <v>2.0</v>
      </c>
      <c r="K326" s="28">
        <v>0.0</v>
      </c>
      <c r="L326" s="28">
        <v>0.0</v>
      </c>
    </row>
    <row r="327" ht="15.75" customHeight="1">
      <c r="A327" s="25" t="s">
        <v>607</v>
      </c>
      <c r="B327" s="25" t="s">
        <v>58</v>
      </c>
      <c r="C327" s="25" t="s">
        <v>47</v>
      </c>
      <c r="D327" s="25">
        <v>4.0</v>
      </c>
      <c r="E327" s="25">
        <v>40.0</v>
      </c>
      <c r="F327" s="28">
        <v>2.0</v>
      </c>
      <c r="G327" s="28">
        <v>10.0</v>
      </c>
      <c r="H327" s="28">
        <v>8.0</v>
      </c>
      <c r="I327" s="28">
        <v>4.0</v>
      </c>
      <c r="J327" s="28">
        <v>2.0</v>
      </c>
      <c r="K327" s="28">
        <v>1.0</v>
      </c>
      <c r="L327" s="28">
        <v>0.0</v>
      </c>
    </row>
    <row r="328" ht="15.75" customHeight="1">
      <c r="A328" s="25" t="s">
        <v>604</v>
      </c>
      <c r="B328" s="25" t="s">
        <v>58</v>
      </c>
      <c r="C328" s="25" t="s">
        <v>47</v>
      </c>
      <c r="D328" s="25">
        <v>4.0</v>
      </c>
      <c r="E328" s="25">
        <v>22.0</v>
      </c>
      <c r="F328" s="28">
        <v>3.0</v>
      </c>
      <c r="G328" s="28">
        <v>5.5</v>
      </c>
      <c r="H328" s="28">
        <v>12.0</v>
      </c>
      <c r="I328" s="28">
        <v>3.0</v>
      </c>
      <c r="J328" s="28">
        <v>0.0</v>
      </c>
      <c r="K328" s="28">
        <v>1.0</v>
      </c>
      <c r="L328" s="28">
        <v>0.0</v>
      </c>
    </row>
    <row r="329" ht="15.75" customHeight="1">
      <c r="A329" s="25" t="s">
        <v>608</v>
      </c>
      <c r="B329" s="25" t="s">
        <v>58</v>
      </c>
      <c r="C329" s="25" t="s">
        <v>47</v>
      </c>
      <c r="D329" s="25">
        <v>4.0</v>
      </c>
      <c r="E329" s="25">
        <v>31.0</v>
      </c>
      <c r="F329" s="28">
        <v>1.0</v>
      </c>
      <c r="G329" s="28">
        <v>7.75</v>
      </c>
      <c r="H329" s="28">
        <v>10.0</v>
      </c>
      <c r="I329" s="28">
        <v>2.0</v>
      </c>
      <c r="J329" s="28">
        <v>2.0</v>
      </c>
      <c r="K329" s="28">
        <v>0.0</v>
      </c>
      <c r="L329" s="28">
        <v>0.0</v>
      </c>
    </row>
    <row r="330" ht="15.75" customHeight="1">
      <c r="A330" s="25" t="s">
        <v>550</v>
      </c>
      <c r="B330" s="25" t="s">
        <v>58</v>
      </c>
      <c r="C330" s="25" t="s">
        <v>47</v>
      </c>
      <c r="D330" s="25">
        <v>4.0</v>
      </c>
      <c r="E330" s="25">
        <v>37.0</v>
      </c>
      <c r="F330" s="28">
        <v>2.0</v>
      </c>
      <c r="G330" s="28">
        <v>9.25</v>
      </c>
      <c r="H330" s="28">
        <v>7.0</v>
      </c>
      <c r="I330" s="28">
        <v>4.0</v>
      </c>
      <c r="J330" s="28">
        <v>1.0</v>
      </c>
      <c r="K330" s="28">
        <v>1.0</v>
      </c>
      <c r="L330" s="28">
        <v>0.0</v>
      </c>
    </row>
    <row r="331" ht="15.75" customHeight="1">
      <c r="A331" s="25" t="s">
        <v>565</v>
      </c>
      <c r="B331" s="25" t="s">
        <v>58</v>
      </c>
      <c r="C331" s="25" t="s">
        <v>47</v>
      </c>
      <c r="D331" s="25">
        <v>2.0</v>
      </c>
      <c r="E331" s="25">
        <v>36.0</v>
      </c>
      <c r="F331" s="28">
        <v>0.0</v>
      </c>
      <c r="G331" s="28">
        <v>18.0</v>
      </c>
      <c r="H331" s="28">
        <v>4.0</v>
      </c>
      <c r="I331" s="28">
        <v>3.0</v>
      </c>
      <c r="J331" s="28">
        <v>3.0</v>
      </c>
      <c r="K331" s="28">
        <v>1.0</v>
      </c>
      <c r="L331" s="28">
        <v>1.0</v>
      </c>
    </row>
    <row r="332" ht="15.75" customHeight="1">
      <c r="A332" s="25" t="s">
        <v>496</v>
      </c>
      <c r="B332" s="25" t="s">
        <v>58</v>
      </c>
      <c r="C332" s="25" t="s">
        <v>47</v>
      </c>
      <c r="D332" s="25">
        <v>2.0</v>
      </c>
      <c r="E332" s="25">
        <v>31.0</v>
      </c>
      <c r="F332" s="28">
        <v>1.0</v>
      </c>
      <c r="G332" s="28">
        <v>15.5</v>
      </c>
      <c r="H332" s="28">
        <v>4.0</v>
      </c>
      <c r="I332" s="28">
        <v>3.0</v>
      </c>
      <c r="J332" s="28">
        <v>2.0</v>
      </c>
      <c r="K332" s="28">
        <v>3.0</v>
      </c>
      <c r="L332" s="28">
        <v>0.0</v>
      </c>
    </row>
    <row r="333" ht="15.75" customHeight="1">
      <c r="A333" s="25" t="s">
        <v>587</v>
      </c>
      <c r="B333" s="25" t="s">
        <v>54</v>
      </c>
      <c r="C333" s="25" t="s">
        <v>58</v>
      </c>
      <c r="D333" s="25">
        <v>4.0</v>
      </c>
      <c r="E333" s="25">
        <v>31.0</v>
      </c>
      <c r="F333" s="28">
        <v>0.0</v>
      </c>
      <c r="G333" s="28">
        <v>7.75</v>
      </c>
      <c r="H333" s="28">
        <v>6.0</v>
      </c>
      <c r="I333" s="28">
        <v>1.0</v>
      </c>
      <c r="J333" s="28">
        <v>2.0</v>
      </c>
      <c r="K333" s="28">
        <v>0.0</v>
      </c>
      <c r="L333" s="28">
        <v>0.0</v>
      </c>
    </row>
    <row r="334" ht="15.75" customHeight="1">
      <c r="A334" s="25" t="s">
        <v>582</v>
      </c>
      <c r="B334" s="25" t="s">
        <v>54</v>
      </c>
      <c r="C334" s="25" t="s">
        <v>58</v>
      </c>
      <c r="D334" s="25">
        <v>4.0</v>
      </c>
      <c r="E334" s="25">
        <v>30.0</v>
      </c>
      <c r="F334" s="28">
        <v>0.0</v>
      </c>
      <c r="G334" s="28">
        <v>7.5</v>
      </c>
      <c r="H334" s="28">
        <v>7.0</v>
      </c>
      <c r="I334" s="28">
        <v>1.0</v>
      </c>
      <c r="J334" s="28">
        <v>2.0</v>
      </c>
      <c r="K334" s="28">
        <v>0.0</v>
      </c>
      <c r="L334" s="28">
        <v>0.0</v>
      </c>
    </row>
    <row r="335" ht="15.75" customHeight="1">
      <c r="A335" s="25" t="s">
        <v>603</v>
      </c>
      <c r="B335" s="25" t="s">
        <v>54</v>
      </c>
      <c r="C335" s="25" t="s">
        <v>58</v>
      </c>
      <c r="D335" s="25">
        <v>4.0</v>
      </c>
      <c r="E335" s="25">
        <v>39.0</v>
      </c>
      <c r="F335" s="28">
        <v>5.0</v>
      </c>
      <c r="G335" s="28">
        <v>9.75</v>
      </c>
      <c r="H335" s="28">
        <v>12.0</v>
      </c>
      <c r="I335" s="28">
        <v>4.0</v>
      </c>
      <c r="J335" s="28">
        <v>2.0</v>
      </c>
      <c r="K335" s="28">
        <v>2.0</v>
      </c>
      <c r="L335" s="28">
        <v>1.0</v>
      </c>
    </row>
    <row r="336" ht="15.75" customHeight="1">
      <c r="A336" s="25" t="s">
        <v>610</v>
      </c>
      <c r="B336" s="25" t="s">
        <v>54</v>
      </c>
      <c r="C336" s="25" t="s">
        <v>58</v>
      </c>
      <c r="D336" s="25">
        <v>4.0</v>
      </c>
      <c r="E336" s="25">
        <v>63.0</v>
      </c>
      <c r="F336" s="28">
        <v>1.0</v>
      </c>
      <c r="G336" s="28">
        <v>15.75</v>
      </c>
      <c r="H336" s="28">
        <v>5.0</v>
      </c>
      <c r="I336" s="28">
        <v>2.0</v>
      </c>
      <c r="J336" s="28">
        <v>7.0</v>
      </c>
      <c r="K336" s="28">
        <v>3.0</v>
      </c>
      <c r="L336" s="28">
        <v>0.0</v>
      </c>
    </row>
    <row r="337" ht="15.75" customHeight="1">
      <c r="A337" s="25" t="s">
        <v>586</v>
      </c>
      <c r="B337" s="25" t="s">
        <v>54</v>
      </c>
      <c r="C337" s="25" t="s">
        <v>58</v>
      </c>
      <c r="D337" s="25">
        <v>3.0</v>
      </c>
      <c r="E337" s="25">
        <v>49.0</v>
      </c>
      <c r="F337" s="28">
        <v>0.0</v>
      </c>
      <c r="G337" s="28">
        <v>16.33</v>
      </c>
      <c r="H337" s="28">
        <v>2.0</v>
      </c>
      <c r="I337" s="28">
        <v>1.0</v>
      </c>
      <c r="J337" s="28">
        <v>5.0</v>
      </c>
      <c r="K337" s="28">
        <v>3.0</v>
      </c>
      <c r="L337" s="28">
        <v>0.0</v>
      </c>
    </row>
    <row r="338" ht="15.75" customHeight="1">
      <c r="A338" s="25" t="s">
        <v>611</v>
      </c>
      <c r="B338" s="25" t="s">
        <v>54</v>
      </c>
      <c r="C338" s="25" t="s">
        <v>58</v>
      </c>
      <c r="D338" s="25">
        <v>1.0</v>
      </c>
      <c r="E338" s="25">
        <v>20.0</v>
      </c>
      <c r="F338" s="28">
        <v>0.0</v>
      </c>
      <c r="G338" s="28">
        <v>20.0</v>
      </c>
      <c r="H338" s="28">
        <v>0.0</v>
      </c>
      <c r="I338" s="28">
        <v>0.0</v>
      </c>
      <c r="J338" s="28">
        <v>2.0</v>
      </c>
      <c r="K338" s="28">
        <v>0.0</v>
      </c>
      <c r="L338" s="28">
        <v>1.0</v>
      </c>
    </row>
    <row r="339" ht="15.75" customHeight="1">
      <c r="A339" s="25" t="s">
        <v>545</v>
      </c>
      <c r="B339" s="25" t="s">
        <v>58</v>
      </c>
      <c r="C339" s="25" t="s">
        <v>54</v>
      </c>
      <c r="D339" s="25">
        <v>4.0</v>
      </c>
      <c r="E339" s="25">
        <v>36.0</v>
      </c>
      <c r="F339" s="28">
        <v>0.0</v>
      </c>
      <c r="G339" s="28">
        <v>9.0</v>
      </c>
      <c r="H339" s="28">
        <v>7.0</v>
      </c>
      <c r="I339" s="28">
        <v>4.0</v>
      </c>
      <c r="J339" s="28">
        <v>1.0</v>
      </c>
      <c r="K339" s="28">
        <v>0.0</v>
      </c>
      <c r="L339" s="28">
        <v>0.0</v>
      </c>
    </row>
    <row r="340" ht="15.75" customHeight="1">
      <c r="A340" s="25" t="s">
        <v>604</v>
      </c>
      <c r="B340" s="25" t="s">
        <v>58</v>
      </c>
      <c r="C340" s="25" t="s">
        <v>54</v>
      </c>
      <c r="D340" s="25">
        <v>4.0</v>
      </c>
      <c r="E340" s="25">
        <v>29.0</v>
      </c>
      <c r="F340" s="28">
        <v>2.0</v>
      </c>
      <c r="G340" s="28">
        <v>7.25</v>
      </c>
      <c r="H340" s="28">
        <v>10.0</v>
      </c>
      <c r="I340" s="28">
        <v>3.0</v>
      </c>
      <c r="J340" s="28">
        <v>1.0</v>
      </c>
      <c r="K340" s="28">
        <v>0.0</v>
      </c>
      <c r="L340" s="28">
        <v>0.0</v>
      </c>
    </row>
    <row r="341" ht="15.75" customHeight="1">
      <c r="A341" s="25" t="s">
        <v>608</v>
      </c>
      <c r="B341" s="25" t="s">
        <v>58</v>
      </c>
      <c r="C341" s="25" t="s">
        <v>54</v>
      </c>
      <c r="D341" s="25">
        <v>4.0</v>
      </c>
      <c r="E341" s="25">
        <v>51.0</v>
      </c>
      <c r="F341" s="28">
        <v>3.0</v>
      </c>
      <c r="G341" s="28">
        <v>12.75</v>
      </c>
      <c r="H341" s="28">
        <v>6.0</v>
      </c>
      <c r="I341" s="28">
        <v>7.0</v>
      </c>
      <c r="J341" s="28">
        <v>2.0</v>
      </c>
      <c r="K341" s="28">
        <v>0.0</v>
      </c>
      <c r="L341" s="28">
        <v>0.0</v>
      </c>
    </row>
    <row r="342" ht="15.75" customHeight="1">
      <c r="A342" s="25" t="s">
        <v>550</v>
      </c>
      <c r="B342" s="25" t="s">
        <v>58</v>
      </c>
      <c r="C342" s="25" t="s">
        <v>54</v>
      </c>
      <c r="D342" s="25">
        <v>4.0</v>
      </c>
      <c r="E342" s="25">
        <v>30.0</v>
      </c>
      <c r="F342" s="28">
        <v>0.0</v>
      </c>
      <c r="G342" s="28">
        <v>7.5</v>
      </c>
      <c r="H342" s="28">
        <v>8.0</v>
      </c>
      <c r="I342" s="28">
        <v>3.0</v>
      </c>
      <c r="J342" s="28">
        <v>1.0</v>
      </c>
      <c r="K342" s="28">
        <v>0.0</v>
      </c>
      <c r="L342" s="28">
        <v>0.0</v>
      </c>
    </row>
    <row r="343" ht="15.75" customHeight="1">
      <c r="A343" s="25" t="s">
        <v>548</v>
      </c>
      <c r="B343" s="25" t="s">
        <v>58</v>
      </c>
      <c r="C343" s="25" t="s">
        <v>54</v>
      </c>
      <c r="D343" s="25">
        <v>2.0</v>
      </c>
      <c r="E343" s="25">
        <v>17.0</v>
      </c>
      <c r="F343" s="28">
        <v>2.0</v>
      </c>
      <c r="G343" s="28">
        <v>8.5</v>
      </c>
      <c r="H343" s="28">
        <v>3.0</v>
      </c>
      <c r="I343" s="28">
        <v>1.0</v>
      </c>
      <c r="J343" s="28">
        <v>1.0</v>
      </c>
      <c r="K343" s="28">
        <v>0.0</v>
      </c>
      <c r="L343" s="28">
        <v>0.0</v>
      </c>
    </row>
    <row r="344" ht="15.75" customHeight="1">
      <c r="A344" s="25" t="s">
        <v>496</v>
      </c>
      <c r="B344" s="25" t="s">
        <v>58</v>
      </c>
      <c r="C344" s="25" t="s">
        <v>54</v>
      </c>
      <c r="D344" s="25">
        <v>2.0</v>
      </c>
      <c r="E344" s="25">
        <v>27.0</v>
      </c>
      <c r="F344" s="28">
        <v>1.0</v>
      </c>
      <c r="G344" s="28">
        <v>13.5</v>
      </c>
      <c r="H344" s="28">
        <v>1.0</v>
      </c>
      <c r="I344" s="28">
        <v>0.0</v>
      </c>
      <c r="J344" s="28">
        <v>3.0</v>
      </c>
      <c r="K344" s="28">
        <v>0.0</v>
      </c>
      <c r="L344" s="28">
        <v>0.0</v>
      </c>
    </row>
    <row r="345" ht="15.75" customHeight="1">
      <c r="A345" s="25" t="s">
        <v>545</v>
      </c>
      <c r="B345" s="25" t="s">
        <v>58</v>
      </c>
      <c r="C345" s="25" t="s">
        <v>54</v>
      </c>
      <c r="D345" s="25">
        <v>4.0</v>
      </c>
      <c r="E345" s="25">
        <v>38.0</v>
      </c>
      <c r="F345" s="28">
        <v>0.0</v>
      </c>
      <c r="G345" s="28">
        <v>9.5</v>
      </c>
      <c r="H345" s="28">
        <v>4.0</v>
      </c>
      <c r="I345" s="28">
        <v>1.0</v>
      </c>
      <c r="J345" s="28">
        <v>2.0</v>
      </c>
      <c r="K345" s="28">
        <v>1.0</v>
      </c>
      <c r="L345" s="28">
        <v>0.0</v>
      </c>
    </row>
    <row r="346" ht="15.75" customHeight="1">
      <c r="A346" s="25" t="s">
        <v>604</v>
      </c>
      <c r="B346" s="25" t="s">
        <v>58</v>
      </c>
      <c r="C346" s="25" t="s">
        <v>54</v>
      </c>
      <c r="D346" s="25">
        <v>4.0</v>
      </c>
      <c r="E346" s="25">
        <v>30.0</v>
      </c>
      <c r="F346" s="28">
        <v>0.0</v>
      </c>
      <c r="G346" s="28">
        <v>7.5</v>
      </c>
      <c r="H346" s="28">
        <v>9.0</v>
      </c>
      <c r="I346" s="28">
        <v>3.0</v>
      </c>
      <c r="J346" s="28">
        <v>0.0</v>
      </c>
      <c r="K346" s="28">
        <v>2.0</v>
      </c>
      <c r="L346" s="28">
        <v>0.0</v>
      </c>
    </row>
    <row r="347" ht="15.75" customHeight="1">
      <c r="A347" s="25" t="s">
        <v>496</v>
      </c>
      <c r="B347" s="25" t="s">
        <v>58</v>
      </c>
      <c r="C347" s="25" t="s">
        <v>54</v>
      </c>
      <c r="D347" s="25">
        <v>2.0</v>
      </c>
      <c r="E347" s="25">
        <v>17.0</v>
      </c>
      <c r="F347" s="28">
        <v>1.0</v>
      </c>
      <c r="G347" s="28">
        <v>8.5</v>
      </c>
      <c r="H347" s="28">
        <v>3.0</v>
      </c>
      <c r="I347" s="28">
        <v>1.0</v>
      </c>
      <c r="J347" s="28">
        <v>1.0</v>
      </c>
      <c r="K347" s="28">
        <v>0.0</v>
      </c>
      <c r="L347" s="28">
        <v>0.0</v>
      </c>
    </row>
    <row r="348" ht="15.75" customHeight="1">
      <c r="A348" s="25" t="s">
        <v>608</v>
      </c>
      <c r="B348" s="25" t="s">
        <v>58</v>
      </c>
      <c r="C348" s="25" t="s">
        <v>54</v>
      </c>
      <c r="D348" s="25">
        <v>3.0</v>
      </c>
      <c r="E348" s="25">
        <v>38.0</v>
      </c>
      <c r="F348" s="28">
        <v>1.0</v>
      </c>
      <c r="G348" s="28">
        <v>12.66</v>
      </c>
      <c r="H348" s="28">
        <v>5.0</v>
      </c>
      <c r="I348" s="28">
        <v>4.0</v>
      </c>
      <c r="J348" s="28">
        <v>2.0</v>
      </c>
      <c r="K348" s="28">
        <v>3.0</v>
      </c>
      <c r="L348" s="28">
        <v>0.0</v>
      </c>
    </row>
    <row r="349" ht="15.75" customHeight="1">
      <c r="A349" s="25" t="s">
        <v>548</v>
      </c>
      <c r="B349" s="25" t="s">
        <v>58</v>
      </c>
      <c r="C349" s="25" t="s">
        <v>54</v>
      </c>
      <c r="D349" s="25">
        <v>3.0</v>
      </c>
      <c r="E349" s="25">
        <v>38.0</v>
      </c>
      <c r="F349" s="28">
        <v>0.0</v>
      </c>
      <c r="G349" s="28">
        <v>12.66</v>
      </c>
      <c r="H349" s="28">
        <v>2.0</v>
      </c>
      <c r="I349" s="28">
        <v>3.0</v>
      </c>
      <c r="J349" s="28">
        <v>2.0</v>
      </c>
      <c r="K349" s="28">
        <v>0.0</v>
      </c>
      <c r="L349" s="28">
        <v>0.0</v>
      </c>
    </row>
    <row r="350" ht="15.75" customHeight="1">
      <c r="A350" s="25" t="s">
        <v>550</v>
      </c>
      <c r="B350" s="25" t="s">
        <v>58</v>
      </c>
      <c r="C350" s="25" t="s">
        <v>54</v>
      </c>
      <c r="D350" s="25">
        <v>4.0</v>
      </c>
      <c r="E350" s="25">
        <v>43.0</v>
      </c>
      <c r="F350" s="28">
        <v>1.0</v>
      </c>
      <c r="G350" s="28">
        <v>10.75</v>
      </c>
      <c r="H350" s="28">
        <v>7.0</v>
      </c>
      <c r="I350" s="28">
        <v>4.0</v>
      </c>
      <c r="J350" s="28">
        <v>2.0</v>
      </c>
      <c r="K350" s="28">
        <v>0.0</v>
      </c>
      <c r="L350" s="28">
        <v>0.0</v>
      </c>
    </row>
    <row r="351" ht="15.75" customHeight="1">
      <c r="A351" s="25" t="s">
        <v>582</v>
      </c>
      <c r="B351" s="25" t="s">
        <v>54</v>
      </c>
      <c r="C351" s="25" t="s">
        <v>58</v>
      </c>
      <c r="D351" s="25">
        <v>3.0</v>
      </c>
      <c r="E351" s="25">
        <v>35.0</v>
      </c>
      <c r="F351" s="28">
        <v>1.0</v>
      </c>
      <c r="G351" s="28">
        <v>11.66</v>
      </c>
      <c r="H351" s="28">
        <v>6.0</v>
      </c>
      <c r="I351" s="28">
        <v>5.0</v>
      </c>
      <c r="J351" s="28">
        <v>1.0</v>
      </c>
      <c r="K351" s="28">
        <v>2.0</v>
      </c>
      <c r="L351" s="28">
        <v>0.0</v>
      </c>
    </row>
    <row r="352" ht="15.75" customHeight="1">
      <c r="A352" s="25" t="s">
        <v>603</v>
      </c>
      <c r="B352" s="25" t="s">
        <v>54</v>
      </c>
      <c r="C352" s="25" t="s">
        <v>58</v>
      </c>
      <c r="D352" s="25">
        <v>2.4</v>
      </c>
      <c r="E352" s="25">
        <v>11.0</v>
      </c>
      <c r="F352" s="28">
        <v>2.0</v>
      </c>
      <c r="G352" s="28">
        <v>4.12</v>
      </c>
      <c r="H352" s="28">
        <v>9.0</v>
      </c>
      <c r="I352" s="28">
        <v>1.0</v>
      </c>
      <c r="J352" s="28">
        <v>0.0</v>
      </c>
      <c r="K352" s="28">
        <v>0.0</v>
      </c>
      <c r="L352" s="28">
        <v>0.0</v>
      </c>
    </row>
    <row r="353" ht="15.75" customHeight="1">
      <c r="A353" s="25" t="s">
        <v>610</v>
      </c>
      <c r="B353" s="25" t="s">
        <v>54</v>
      </c>
      <c r="C353" s="25" t="s">
        <v>58</v>
      </c>
      <c r="D353" s="25">
        <v>3.0</v>
      </c>
      <c r="E353" s="25">
        <v>39.0</v>
      </c>
      <c r="F353" s="28">
        <v>3.0</v>
      </c>
      <c r="G353" s="28">
        <v>13.0</v>
      </c>
      <c r="H353" s="28">
        <v>7.0</v>
      </c>
      <c r="I353" s="28">
        <v>4.0</v>
      </c>
      <c r="J353" s="28">
        <v>2.0</v>
      </c>
      <c r="K353" s="28">
        <v>4.0</v>
      </c>
      <c r="L353" s="28">
        <v>0.0</v>
      </c>
    </row>
    <row r="354" ht="15.75" customHeight="1">
      <c r="A354" s="25" t="s">
        <v>587</v>
      </c>
      <c r="B354" s="25" t="s">
        <v>54</v>
      </c>
      <c r="C354" s="25" t="s">
        <v>58</v>
      </c>
      <c r="D354" s="25">
        <v>4.0</v>
      </c>
      <c r="E354" s="25">
        <v>37.0</v>
      </c>
      <c r="F354" s="28">
        <v>1.0</v>
      </c>
      <c r="G354" s="28">
        <v>9.25</v>
      </c>
      <c r="H354" s="28">
        <v>3.0</v>
      </c>
      <c r="I354" s="28">
        <v>4.0</v>
      </c>
      <c r="J354" s="28">
        <v>0.0</v>
      </c>
      <c r="K354" s="28">
        <v>1.0</v>
      </c>
      <c r="L354" s="28">
        <v>0.0</v>
      </c>
    </row>
    <row r="355" ht="15.75" customHeight="1">
      <c r="A355" s="25" t="s">
        <v>586</v>
      </c>
      <c r="B355" s="25" t="s">
        <v>54</v>
      </c>
      <c r="C355" s="25" t="s">
        <v>58</v>
      </c>
      <c r="D355" s="25">
        <v>4.0</v>
      </c>
      <c r="E355" s="25">
        <v>27.0</v>
      </c>
      <c r="F355" s="28">
        <v>3.0</v>
      </c>
      <c r="G355" s="28">
        <v>6.75</v>
      </c>
      <c r="H355" s="28">
        <v>6.0</v>
      </c>
      <c r="I355" s="28">
        <v>2.0</v>
      </c>
      <c r="J355" s="28">
        <v>0.0</v>
      </c>
      <c r="K355" s="28">
        <v>1.0</v>
      </c>
      <c r="L355" s="28">
        <v>0.0</v>
      </c>
    </row>
    <row r="356" ht="15.75" customHeight="1">
      <c r="A356" s="25" t="s">
        <v>575</v>
      </c>
      <c r="B356" s="25" t="s">
        <v>572</v>
      </c>
      <c r="C356" s="25" t="s">
        <v>47</v>
      </c>
      <c r="D356" s="25">
        <v>4.0</v>
      </c>
      <c r="E356" s="25">
        <v>39.0</v>
      </c>
      <c r="F356" s="28">
        <v>2.0</v>
      </c>
      <c r="G356" s="28">
        <v>9.75</v>
      </c>
      <c r="H356" s="28">
        <v>9.0</v>
      </c>
      <c r="I356" s="28">
        <v>4.0</v>
      </c>
      <c r="J356" s="28">
        <v>2.0</v>
      </c>
      <c r="K356" s="28">
        <v>1.0</v>
      </c>
      <c r="L356" s="28">
        <v>0.0</v>
      </c>
    </row>
    <row r="357" ht="15.75" customHeight="1">
      <c r="A357" s="25" t="s">
        <v>463</v>
      </c>
      <c r="B357" s="25" t="s">
        <v>572</v>
      </c>
      <c r="C357" s="25" t="s">
        <v>47</v>
      </c>
      <c r="D357" s="25">
        <v>4.0</v>
      </c>
      <c r="E357" s="25">
        <v>47.0</v>
      </c>
      <c r="F357" s="28">
        <v>0.0</v>
      </c>
      <c r="G357" s="28">
        <v>11.75</v>
      </c>
      <c r="H357" s="28">
        <v>9.0</v>
      </c>
      <c r="I357" s="28">
        <v>5.0</v>
      </c>
      <c r="J357" s="28">
        <v>3.0</v>
      </c>
      <c r="K357" s="28">
        <v>0.0</v>
      </c>
      <c r="L357" s="28">
        <v>0.0</v>
      </c>
    </row>
    <row r="358" ht="15.75" customHeight="1">
      <c r="A358" s="25" t="s">
        <v>576</v>
      </c>
      <c r="B358" s="25" t="s">
        <v>572</v>
      </c>
      <c r="C358" s="25" t="s">
        <v>47</v>
      </c>
      <c r="D358" s="25">
        <v>4.0</v>
      </c>
      <c r="E358" s="25">
        <v>36.0</v>
      </c>
      <c r="F358" s="28">
        <v>0.0</v>
      </c>
      <c r="G358" s="28">
        <v>9.0</v>
      </c>
      <c r="H358" s="28">
        <v>5.0</v>
      </c>
      <c r="I358" s="28">
        <v>2.0</v>
      </c>
      <c r="J358" s="28">
        <v>2.0</v>
      </c>
      <c r="K358" s="28">
        <v>1.0</v>
      </c>
      <c r="L358" s="28">
        <v>0.0</v>
      </c>
    </row>
    <row r="359" ht="15.75" customHeight="1">
      <c r="A359" s="25" t="s">
        <v>593</v>
      </c>
      <c r="B359" s="25" t="s">
        <v>572</v>
      </c>
      <c r="C359" s="25" t="s">
        <v>47</v>
      </c>
      <c r="D359" s="25">
        <v>4.0</v>
      </c>
      <c r="E359" s="25">
        <v>30.0</v>
      </c>
      <c r="F359" s="28">
        <v>3.0</v>
      </c>
      <c r="G359" s="28">
        <v>7.5</v>
      </c>
      <c r="H359" s="28">
        <v>8.0</v>
      </c>
      <c r="I359" s="28">
        <v>3.0</v>
      </c>
      <c r="J359" s="28">
        <v>0.0</v>
      </c>
      <c r="K359" s="28">
        <v>2.0</v>
      </c>
      <c r="L359" s="28">
        <v>0.0</v>
      </c>
    </row>
    <row r="360" ht="15.75" customHeight="1">
      <c r="A360" s="25" t="s">
        <v>594</v>
      </c>
      <c r="B360" s="25" t="s">
        <v>572</v>
      </c>
      <c r="C360" s="25" t="s">
        <v>47</v>
      </c>
      <c r="D360" s="25">
        <v>3.0</v>
      </c>
      <c r="E360" s="25">
        <v>46.0</v>
      </c>
      <c r="F360" s="28">
        <v>1.0</v>
      </c>
      <c r="G360" s="28">
        <v>15.33</v>
      </c>
      <c r="H360" s="28">
        <v>4.0</v>
      </c>
      <c r="I360" s="28">
        <v>2.0</v>
      </c>
      <c r="J360" s="28">
        <v>5.0</v>
      </c>
      <c r="K360" s="28">
        <v>0.0</v>
      </c>
      <c r="L360" s="28">
        <v>0.0</v>
      </c>
    </row>
    <row r="361" ht="15.75" customHeight="1">
      <c r="A361" s="25" t="s">
        <v>484</v>
      </c>
      <c r="B361" s="25" t="s">
        <v>572</v>
      </c>
      <c r="C361" s="25" t="s">
        <v>47</v>
      </c>
      <c r="D361" s="25">
        <v>1.0</v>
      </c>
      <c r="E361" s="25">
        <v>10.0</v>
      </c>
      <c r="F361" s="28">
        <v>0.0</v>
      </c>
      <c r="G361" s="28">
        <v>10.0</v>
      </c>
      <c r="H361" s="28">
        <v>1.0</v>
      </c>
      <c r="I361" s="28">
        <v>0.0</v>
      </c>
      <c r="J361" s="28">
        <v>1.0</v>
      </c>
      <c r="K361" s="28">
        <v>0.0</v>
      </c>
      <c r="L361" s="28">
        <v>0.0</v>
      </c>
    </row>
    <row r="362" ht="15.75" customHeight="1">
      <c r="A362" s="25" t="s">
        <v>588</v>
      </c>
      <c r="B362" s="25" t="s">
        <v>47</v>
      </c>
      <c r="C362" s="25" t="s">
        <v>572</v>
      </c>
      <c r="D362" s="25">
        <v>4.0</v>
      </c>
      <c r="E362" s="25">
        <v>52.0</v>
      </c>
      <c r="F362" s="28">
        <v>0.0</v>
      </c>
      <c r="G362" s="28">
        <v>13.0</v>
      </c>
      <c r="H362" s="28">
        <v>7.0</v>
      </c>
      <c r="I362" s="28">
        <v>8.0</v>
      </c>
      <c r="J362" s="28">
        <v>1.0</v>
      </c>
      <c r="K362" s="28">
        <v>4.0</v>
      </c>
      <c r="L362" s="28">
        <v>0.0</v>
      </c>
    </row>
    <row r="363" ht="15.75" customHeight="1">
      <c r="A363" s="25" t="s">
        <v>612</v>
      </c>
      <c r="B363" s="25" t="s">
        <v>47</v>
      </c>
      <c r="C363" s="25" t="s">
        <v>572</v>
      </c>
      <c r="D363" s="25">
        <v>2.0</v>
      </c>
      <c r="E363" s="25">
        <v>27.0</v>
      </c>
      <c r="F363" s="28">
        <v>2.0</v>
      </c>
      <c r="G363" s="28">
        <v>13.5</v>
      </c>
      <c r="H363" s="28">
        <v>5.0</v>
      </c>
      <c r="I363" s="28">
        <v>5.0</v>
      </c>
      <c r="J363" s="28">
        <v>1.0</v>
      </c>
      <c r="K363" s="28">
        <v>0.0</v>
      </c>
      <c r="L363" s="28">
        <v>0.0</v>
      </c>
    </row>
    <row r="364" ht="15.75" customHeight="1">
      <c r="A364" s="25" t="s">
        <v>523</v>
      </c>
      <c r="B364" s="25" t="s">
        <v>47</v>
      </c>
      <c r="C364" s="25" t="s">
        <v>572</v>
      </c>
      <c r="D364" s="25">
        <v>4.0</v>
      </c>
      <c r="E364" s="25">
        <v>17.0</v>
      </c>
      <c r="F364" s="28">
        <v>3.0</v>
      </c>
      <c r="G364" s="28">
        <v>4.25</v>
      </c>
      <c r="H364" s="28">
        <v>12.0</v>
      </c>
      <c r="I364" s="28">
        <v>0.0</v>
      </c>
      <c r="J364" s="28">
        <v>1.0</v>
      </c>
      <c r="K364" s="28">
        <v>0.0</v>
      </c>
      <c r="L364" s="28">
        <v>0.0</v>
      </c>
    </row>
    <row r="365" ht="15.75" customHeight="1">
      <c r="A365" s="25" t="s">
        <v>521</v>
      </c>
      <c r="B365" s="25" t="s">
        <v>47</v>
      </c>
      <c r="C365" s="25" t="s">
        <v>572</v>
      </c>
      <c r="D365" s="25">
        <v>3.2</v>
      </c>
      <c r="E365" s="25">
        <v>42.0</v>
      </c>
      <c r="F365" s="28">
        <v>1.0</v>
      </c>
      <c r="G365" s="28">
        <v>12.6</v>
      </c>
      <c r="H365" s="28">
        <v>5.0</v>
      </c>
      <c r="I365" s="28">
        <v>5.0</v>
      </c>
      <c r="J365" s="28">
        <v>2.0</v>
      </c>
      <c r="K365" s="28">
        <v>1.0</v>
      </c>
      <c r="L365" s="28">
        <v>0.0</v>
      </c>
    </row>
    <row r="366" ht="15.75" customHeight="1">
      <c r="A366" s="25" t="s">
        <v>522</v>
      </c>
      <c r="B366" s="25" t="s">
        <v>47</v>
      </c>
      <c r="C366" s="25" t="s">
        <v>572</v>
      </c>
      <c r="D366" s="25">
        <v>4.0</v>
      </c>
      <c r="E366" s="25">
        <v>49.0</v>
      </c>
      <c r="F366" s="28">
        <v>0.0</v>
      </c>
      <c r="G366" s="28">
        <v>12.25</v>
      </c>
      <c r="H366" s="28">
        <v>7.0</v>
      </c>
      <c r="I366" s="28">
        <v>3.0</v>
      </c>
      <c r="J366" s="28">
        <v>4.0</v>
      </c>
      <c r="K366" s="28">
        <v>1.0</v>
      </c>
      <c r="L366" s="28">
        <v>0.0</v>
      </c>
    </row>
    <row r="367" ht="15.75" customHeight="1">
      <c r="A367" s="25" t="s">
        <v>167</v>
      </c>
      <c r="B367" s="25" t="s">
        <v>47</v>
      </c>
      <c r="C367" s="25" t="s">
        <v>572</v>
      </c>
      <c r="D367" s="25">
        <v>2.0</v>
      </c>
      <c r="E367" s="25">
        <v>22.0</v>
      </c>
      <c r="F367" s="28">
        <v>0.0</v>
      </c>
      <c r="G367" s="28">
        <v>11.0</v>
      </c>
      <c r="H367" s="28">
        <v>2.0</v>
      </c>
      <c r="I367" s="28">
        <v>4.0</v>
      </c>
      <c r="J367" s="28">
        <v>0.0</v>
      </c>
      <c r="K367" s="28">
        <v>0.0</v>
      </c>
      <c r="L367" s="28">
        <v>0.0</v>
      </c>
    </row>
    <row r="368" ht="15.75" customHeight="1">
      <c r="A368" s="25" t="s">
        <v>607</v>
      </c>
      <c r="B368" s="25" t="s">
        <v>58</v>
      </c>
      <c r="C368" s="25" t="s">
        <v>59</v>
      </c>
      <c r="D368" s="25">
        <v>4.0</v>
      </c>
      <c r="E368" s="25">
        <v>41.0</v>
      </c>
      <c r="F368" s="28">
        <v>0.0</v>
      </c>
      <c r="G368" s="28">
        <v>10.25</v>
      </c>
      <c r="H368" s="28">
        <v>4.0</v>
      </c>
      <c r="I368" s="28">
        <v>4.0</v>
      </c>
      <c r="J368" s="28">
        <v>1.0</v>
      </c>
      <c r="K368" s="28">
        <v>2.0</v>
      </c>
      <c r="L368" s="28">
        <v>0.0</v>
      </c>
    </row>
    <row r="369" ht="15.75" customHeight="1">
      <c r="A369" s="25" t="s">
        <v>545</v>
      </c>
      <c r="B369" s="25" t="s">
        <v>58</v>
      </c>
      <c r="C369" s="25" t="s">
        <v>59</v>
      </c>
      <c r="D369" s="25">
        <v>4.0</v>
      </c>
      <c r="E369" s="25">
        <v>30.0</v>
      </c>
      <c r="F369" s="28">
        <v>1.0</v>
      </c>
      <c r="G369" s="28">
        <v>7.5</v>
      </c>
      <c r="H369" s="28">
        <v>8.0</v>
      </c>
      <c r="I369" s="28">
        <v>3.0</v>
      </c>
      <c r="J369" s="28">
        <v>1.0</v>
      </c>
      <c r="K369" s="28">
        <v>0.0</v>
      </c>
      <c r="L369" s="28">
        <v>0.0</v>
      </c>
    </row>
    <row r="370" ht="15.75" customHeight="1">
      <c r="A370" s="25" t="s">
        <v>563</v>
      </c>
      <c r="B370" s="25" t="s">
        <v>58</v>
      </c>
      <c r="C370" s="25" t="s">
        <v>59</v>
      </c>
      <c r="D370" s="25">
        <v>4.0</v>
      </c>
      <c r="E370" s="25">
        <v>24.0</v>
      </c>
      <c r="F370" s="28">
        <v>3.0</v>
      </c>
      <c r="G370" s="28">
        <v>6.0</v>
      </c>
      <c r="H370" s="28">
        <v>9.0</v>
      </c>
      <c r="I370" s="28">
        <v>1.0</v>
      </c>
      <c r="J370" s="28">
        <v>1.0</v>
      </c>
      <c r="K370" s="28">
        <v>0.0</v>
      </c>
      <c r="L370" s="28">
        <v>0.0</v>
      </c>
    </row>
    <row r="371" ht="15.75" customHeight="1">
      <c r="A371" s="25" t="s">
        <v>608</v>
      </c>
      <c r="B371" s="25" t="s">
        <v>58</v>
      </c>
      <c r="C371" s="25" t="s">
        <v>59</v>
      </c>
      <c r="D371" s="25">
        <v>2.0</v>
      </c>
      <c r="E371" s="25">
        <v>13.0</v>
      </c>
      <c r="F371" s="28">
        <v>0.0</v>
      </c>
      <c r="G371" s="28">
        <v>6.5</v>
      </c>
      <c r="H371" s="28">
        <v>2.0</v>
      </c>
      <c r="I371" s="28">
        <v>1.0</v>
      </c>
      <c r="J371" s="28">
        <v>0.0</v>
      </c>
      <c r="K371" s="28">
        <v>0.0</v>
      </c>
      <c r="L371" s="28">
        <v>0.0</v>
      </c>
    </row>
    <row r="372" ht="15.75" customHeight="1">
      <c r="A372" s="25" t="s">
        <v>548</v>
      </c>
      <c r="B372" s="25" t="s">
        <v>58</v>
      </c>
      <c r="C372" s="25" t="s">
        <v>59</v>
      </c>
      <c r="D372" s="25">
        <v>4.0</v>
      </c>
      <c r="E372" s="25">
        <v>27.0</v>
      </c>
      <c r="F372" s="28">
        <v>2.0</v>
      </c>
      <c r="G372" s="28">
        <v>6.75</v>
      </c>
      <c r="H372" s="28">
        <v>8.0</v>
      </c>
      <c r="I372" s="28">
        <v>0.0</v>
      </c>
      <c r="J372" s="28">
        <v>1.0</v>
      </c>
      <c r="K372" s="28">
        <v>1.0</v>
      </c>
      <c r="L372" s="28">
        <v>0.0</v>
      </c>
    </row>
    <row r="373" ht="15.75" customHeight="1">
      <c r="A373" s="25" t="s">
        <v>496</v>
      </c>
      <c r="B373" s="25" t="s">
        <v>58</v>
      </c>
      <c r="C373" s="25" t="s">
        <v>59</v>
      </c>
      <c r="D373" s="25">
        <v>2.0</v>
      </c>
      <c r="E373" s="25">
        <v>23.0</v>
      </c>
      <c r="F373" s="28">
        <v>1.0</v>
      </c>
      <c r="G373" s="28">
        <v>11.5</v>
      </c>
      <c r="H373" s="28">
        <v>1.0</v>
      </c>
      <c r="I373" s="28">
        <v>1.0</v>
      </c>
      <c r="J373" s="28">
        <v>1.0</v>
      </c>
      <c r="K373" s="28">
        <v>1.0</v>
      </c>
      <c r="L373" s="28">
        <v>0.0</v>
      </c>
    </row>
    <row r="374" ht="15.75" customHeight="1">
      <c r="A374" s="25" t="s">
        <v>613</v>
      </c>
      <c r="B374" s="25" t="s">
        <v>59</v>
      </c>
      <c r="C374" s="25" t="s">
        <v>58</v>
      </c>
      <c r="D374" s="25">
        <v>4.0</v>
      </c>
      <c r="E374" s="25">
        <v>41.0</v>
      </c>
      <c r="F374" s="28">
        <v>0.0</v>
      </c>
      <c r="G374" s="28">
        <v>10.25</v>
      </c>
      <c r="H374" s="28">
        <v>9.0</v>
      </c>
      <c r="I374" s="28">
        <v>7.0</v>
      </c>
      <c r="J374" s="28">
        <v>0.0</v>
      </c>
      <c r="K374" s="28">
        <v>1.0</v>
      </c>
      <c r="L374" s="28">
        <v>0.0</v>
      </c>
    </row>
    <row r="375" ht="15.75" customHeight="1">
      <c r="A375" s="25" t="s">
        <v>614</v>
      </c>
      <c r="B375" s="25" t="s">
        <v>59</v>
      </c>
      <c r="C375" s="25" t="s">
        <v>58</v>
      </c>
      <c r="D375" s="25">
        <v>4.0</v>
      </c>
      <c r="E375" s="25">
        <v>20.0</v>
      </c>
      <c r="F375" s="28">
        <v>0.0</v>
      </c>
      <c r="G375" s="28">
        <v>5.0</v>
      </c>
      <c r="H375" s="28">
        <v>9.0</v>
      </c>
      <c r="I375" s="28">
        <v>1.0</v>
      </c>
      <c r="J375" s="28">
        <v>0.0</v>
      </c>
      <c r="K375" s="28">
        <v>0.0</v>
      </c>
      <c r="L375" s="28">
        <v>0.0</v>
      </c>
    </row>
    <row r="376" ht="15.75" customHeight="1">
      <c r="A376" s="25" t="s">
        <v>615</v>
      </c>
      <c r="B376" s="25" t="s">
        <v>59</v>
      </c>
      <c r="C376" s="25" t="s">
        <v>58</v>
      </c>
      <c r="D376" s="25">
        <v>3.2</v>
      </c>
      <c r="E376" s="25">
        <v>38.0</v>
      </c>
      <c r="F376" s="28">
        <v>1.0</v>
      </c>
      <c r="G376" s="28">
        <v>11.4</v>
      </c>
      <c r="H376" s="28">
        <v>6.0</v>
      </c>
      <c r="I376" s="28">
        <v>8.0</v>
      </c>
      <c r="J376" s="28">
        <v>0.0</v>
      </c>
      <c r="K376" s="28">
        <v>0.0</v>
      </c>
      <c r="L376" s="28">
        <v>0.0</v>
      </c>
    </row>
    <row r="377" ht="15.75" customHeight="1">
      <c r="A377" s="25" t="s">
        <v>556</v>
      </c>
      <c r="B377" s="25" t="s">
        <v>59</v>
      </c>
      <c r="C377" s="25" t="s">
        <v>58</v>
      </c>
      <c r="D377" s="25">
        <v>4.0</v>
      </c>
      <c r="E377" s="25">
        <v>23.0</v>
      </c>
      <c r="F377" s="28">
        <v>1.0</v>
      </c>
      <c r="G377" s="28">
        <v>5.75</v>
      </c>
      <c r="H377" s="28">
        <v>8.0</v>
      </c>
      <c r="I377" s="28">
        <v>2.0</v>
      </c>
      <c r="J377" s="28">
        <v>0.0</v>
      </c>
      <c r="K377" s="28">
        <v>0.0</v>
      </c>
      <c r="L377" s="28">
        <v>0.0</v>
      </c>
    </row>
    <row r="378" ht="15.75" customHeight="1">
      <c r="A378" s="25" t="s">
        <v>596</v>
      </c>
      <c r="B378" s="25" t="s">
        <v>59</v>
      </c>
      <c r="C378" s="25" t="s">
        <v>58</v>
      </c>
      <c r="D378" s="25">
        <v>4.0</v>
      </c>
      <c r="E378" s="25">
        <v>36.0</v>
      </c>
      <c r="F378" s="28">
        <v>2.0</v>
      </c>
      <c r="G378" s="28">
        <v>9.0</v>
      </c>
      <c r="H378" s="28">
        <v>4.0</v>
      </c>
      <c r="I378" s="28">
        <v>3.0</v>
      </c>
      <c r="J378" s="28">
        <v>1.0</v>
      </c>
      <c r="K378" s="28">
        <v>0.0</v>
      </c>
      <c r="L378" s="28">
        <v>0.0</v>
      </c>
    </row>
    <row r="379" ht="15.75" customHeight="1">
      <c r="A379" s="25" t="s">
        <v>167</v>
      </c>
      <c r="B379" s="25" t="s">
        <v>47</v>
      </c>
      <c r="C379" s="25" t="s">
        <v>572</v>
      </c>
      <c r="D379" s="25">
        <v>1.0</v>
      </c>
      <c r="E379" s="25">
        <v>10.0</v>
      </c>
      <c r="F379" s="28">
        <v>0.0</v>
      </c>
      <c r="G379" s="28">
        <v>10.0</v>
      </c>
      <c r="H379" s="28">
        <v>2.0</v>
      </c>
      <c r="I379" s="28">
        <v>2.0</v>
      </c>
      <c r="J379" s="28">
        <v>0.0</v>
      </c>
      <c r="K379" s="28">
        <v>0.0</v>
      </c>
      <c r="L379" s="28">
        <v>0.0</v>
      </c>
    </row>
    <row r="380" ht="15.75" customHeight="1">
      <c r="A380" s="25" t="s">
        <v>523</v>
      </c>
      <c r="B380" s="25" t="s">
        <v>47</v>
      </c>
      <c r="C380" s="25" t="s">
        <v>572</v>
      </c>
      <c r="D380" s="25">
        <v>2.0</v>
      </c>
      <c r="E380" s="25">
        <v>13.0</v>
      </c>
      <c r="F380" s="28">
        <v>2.0</v>
      </c>
      <c r="G380" s="28">
        <v>6.5</v>
      </c>
      <c r="H380" s="28">
        <v>8.0</v>
      </c>
      <c r="I380" s="28">
        <v>3.0</v>
      </c>
      <c r="J380" s="28">
        <v>0.0</v>
      </c>
      <c r="K380" s="28">
        <v>0.0</v>
      </c>
      <c r="L380" s="28">
        <v>0.0</v>
      </c>
    </row>
    <row r="381" ht="15.75" customHeight="1">
      <c r="A381" s="25" t="s">
        <v>521</v>
      </c>
      <c r="B381" s="25" t="s">
        <v>47</v>
      </c>
      <c r="C381" s="25" t="s">
        <v>572</v>
      </c>
      <c r="D381" s="25">
        <v>1.0</v>
      </c>
      <c r="E381" s="25">
        <v>12.0</v>
      </c>
      <c r="F381" s="28">
        <v>0.0</v>
      </c>
      <c r="G381" s="28">
        <v>12.0</v>
      </c>
      <c r="H381" s="28">
        <v>0.0</v>
      </c>
      <c r="I381" s="28">
        <v>0.0</v>
      </c>
      <c r="J381" s="28">
        <v>1.0</v>
      </c>
      <c r="K381" s="28">
        <v>0.0</v>
      </c>
      <c r="L381" s="28">
        <v>0.0</v>
      </c>
    </row>
    <row r="382" ht="15.75" customHeight="1">
      <c r="A382" s="25" t="s">
        <v>173</v>
      </c>
      <c r="B382" s="25" t="s">
        <v>47</v>
      </c>
      <c r="C382" s="25" t="s">
        <v>572</v>
      </c>
      <c r="D382" s="25">
        <v>2.0</v>
      </c>
      <c r="E382" s="25">
        <v>23.0</v>
      </c>
      <c r="F382" s="28">
        <v>1.0</v>
      </c>
      <c r="G382" s="28">
        <v>11.5</v>
      </c>
      <c r="H382" s="28">
        <v>1.0</v>
      </c>
      <c r="I382" s="28">
        <v>3.0</v>
      </c>
      <c r="J382" s="28">
        <v>0.0</v>
      </c>
      <c r="K382" s="28">
        <v>1.0</v>
      </c>
      <c r="L382" s="28">
        <v>0.0</v>
      </c>
    </row>
    <row r="383" ht="15.75" customHeight="1">
      <c r="A383" s="25" t="s">
        <v>522</v>
      </c>
      <c r="B383" s="25" t="s">
        <v>47</v>
      </c>
      <c r="C383" s="25" t="s">
        <v>572</v>
      </c>
      <c r="D383" s="25">
        <v>2.0</v>
      </c>
      <c r="E383" s="25">
        <v>32.0</v>
      </c>
      <c r="F383" s="28">
        <v>0.0</v>
      </c>
      <c r="G383" s="28">
        <v>16.0</v>
      </c>
      <c r="H383" s="28">
        <v>2.0</v>
      </c>
      <c r="I383" s="28">
        <v>2.0</v>
      </c>
      <c r="J383" s="28">
        <v>3.0</v>
      </c>
      <c r="K383" s="28">
        <v>0.0</v>
      </c>
      <c r="L383" s="28">
        <v>0.0</v>
      </c>
    </row>
    <row r="384" ht="15.75" customHeight="1">
      <c r="A384" s="25" t="s">
        <v>575</v>
      </c>
      <c r="B384" s="25" t="s">
        <v>572</v>
      </c>
      <c r="C384" s="25" t="s">
        <v>47</v>
      </c>
      <c r="D384" s="25">
        <v>1.0</v>
      </c>
      <c r="E384" s="25">
        <v>20.0</v>
      </c>
      <c r="F384" s="28">
        <v>0.0</v>
      </c>
      <c r="G384" s="28">
        <v>20.0</v>
      </c>
      <c r="H384" s="28">
        <v>1.0</v>
      </c>
      <c r="I384" s="28">
        <v>0.0</v>
      </c>
      <c r="J384" s="28">
        <v>3.0</v>
      </c>
      <c r="K384" s="28">
        <v>0.0</v>
      </c>
      <c r="L384" s="28">
        <v>0.0</v>
      </c>
    </row>
    <row r="385" ht="15.75" customHeight="1">
      <c r="A385" s="25" t="s">
        <v>463</v>
      </c>
      <c r="B385" s="25" t="s">
        <v>572</v>
      </c>
      <c r="C385" s="25" t="s">
        <v>47</v>
      </c>
      <c r="D385" s="25">
        <v>2.0</v>
      </c>
      <c r="E385" s="25">
        <v>23.0</v>
      </c>
      <c r="F385" s="28">
        <v>1.0</v>
      </c>
      <c r="G385" s="28">
        <v>11.5</v>
      </c>
      <c r="H385" s="28">
        <v>5.0</v>
      </c>
      <c r="I385" s="28">
        <v>2.0</v>
      </c>
      <c r="J385" s="28">
        <v>1.0</v>
      </c>
      <c r="K385" s="28">
        <v>3.0</v>
      </c>
      <c r="L385" s="28">
        <v>0.0</v>
      </c>
    </row>
    <row r="386" ht="15.75" customHeight="1">
      <c r="A386" s="25" t="s">
        <v>576</v>
      </c>
      <c r="B386" s="25" t="s">
        <v>572</v>
      </c>
      <c r="C386" s="25" t="s">
        <v>47</v>
      </c>
      <c r="D386" s="25">
        <v>2.0</v>
      </c>
      <c r="E386" s="25">
        <v>16.0</v>
      </c>
      <c r="F386" s="28">
        <v>3.0</v>
      </c>
      <c r="G386" s="28">
        <v>8.0</v>
      </c>
      <c r="H386" s="28">
        <v>4.0</v>
      </c>
      <c r="I386" s="28">
        <v>1.0</v>
      </c>
      <c r="J386" s="28">
        <v>1.0</v>
      </c>
      <c r="K386" s="28">
        <v>0.0</v>
      </c>
      <c r="L386" s="28">
        <v>0.0</v>
      </c>
    </row>
    <row r="387" ht="15.75" customHeight="1">
      <c r="A387" s="25" t="s">
        <v>579</v>
      </c>
      <c r="B387" s="25" t="s">
        <v>572</v>
      </c>
      <c r="C387" s="25" t="s">
        <v>47</v>
      </c>
      <c r="D387" s="25">
        <v>1.2</v>
      </c>
      <c r="E387" s="25">
        <v>20.0</v>
      </c>
      <c r="F387" s="28">
        <v>0.0</v>
      </c>
      <c r="G387" s="28">
        <v>15.0</v>
      </c>
      <c r="H387" s="28">
        <v>2.0</v>
      </c>
      <c r="I387" s="28">
        <v>3.0</v>
      </c>
      <c r="J387" s="28">
        <v>1.0</v>
      </c>
      <c r="K387" s="28">
        <v>0.0</v>
      </c>
      <c r="L387" s="28">
        <v>0.0</v>
      </c>
    </row>
    <row r="388" ht="15.75" customHeight="1">
      <c r="A388" s="25" t="s">
        <v>592</v>
      </c>
      <c r="B388" s="25" t="s">
        <v>572</v>
      </c>
      <c r="C388" s="25" t="s">
        <v>47</v>
      </c>
      <c r="D388" s="25">
        <v>1.0</v>
      </c>
      <c r="E388" s="25">
        <v>11.0</v>
      </c>
      <c r="F388" s="28">
        <v>0.0</v>
      </c>
      <c r="G388" s="28">
        <v>11.0</v>
      </c>
      <c r="H388" s="28">
        <v>2.0</v>
      </c>
      <c r="I388" s="28">
        <v>2.0</v>
      </c>
      <c r="J388" s="28">
        <v>0.0</v>
      </c>
      <c r="K388" s="28">
        <v>1.0</v>
      </c>
      <c r="L388" s="28">
        <v>0.0</v>
      </c>
    </row>
    <row r="389" ht="15.75" customHeight="1">
      <c r="A389" s="25" t="s">
        <v>616</v>
      </c>
      <c r="B389" s="25" t="s">
        <v>59</v>
      </c>
      <c r="C389" s="25" t="s">
        <v>58</v>
      </c>
      <c r="D389" s="25">
        <v>4.0</v>
      </c>
      <c r="E389" s="25">
        <v>51.0</v>
      </c>
      <c r="F389" s="28">
        <v>0.0</v>
      </c>
      <c r="G389" s="28">
        <v>12.75</v>
      </c>
      <c r="H389" s="28">
        <v>7.0</v>
      </c>
      <c r="I389" s="28">
        <v>3.0</v>
      </c>
      <c r="J389" s="28">
        <v>4.0</v>
      </c>
      <c r="K389" s="28">
        <v>0.0</v>
      </c>
      <c r="L389" s="28">
        <v>1.0</v>
      </c>
    </row>
    <row r="390" ht="15.75" customHeight="1">
      <c r="A390" s="25" t="s">
        <v>614</v>
      </c>
      <c r="B390" s="25" t="s">
        <v>59</v>
      </c>
      <c r="C390" s="25" t="s">
        <v>58</v>
      </c>
      <c r="D390" s="25">
        <v>4.0</v>
      </c>
      <c r="E390" s="25">
        <v>40.0</v>
      </c>
      <c r="F390" s="28">
        <v>1.0</v>
      </c>
      <c r="G390" s="28">
        <v>10.0</v>
      </c>
      <c r="H390" s="28">
        <v>5.0</v>
      </c>
      <c r="I390" s="28">
        <v>4.0</v>
      </c>
      <c r="J390" s="28">
        <v>1.0</v>
      </c>
      <c r="K390" s="28">
        <v>0.0</v>
      </c>
      <c r="L390" s="28">
        <v>0.0</v>
      </c>
    </row>
    <row r="391" ht="15.75" customHeight="1">
      <c r="A391" s="25" t="s">
        <v>615</v>
      </c>
      <c r="B391" s="25" t="s">
        <v>59</v>
      </c>
      <c r="C391" s="25" t="s">
        <v>58</v>
      </c>
      <c r="D391" s="25">
        <v>4.0</v>
      </c>
      <c r="E391" s="25">
        <v>37.0</v>
      </c>
      <c r="F391" s="28">
        <v>2.0</v>
      </c>
      <c r="G391" s="28">
        <v>9.25</v>
      </c>
      <c r="H391" s="28">
        <v>8.0</v>
      </c>
      <c r="I391" s="28">
        <v>4.0</v>
      </c>
      <c r="J391" s="28">
        <v>1.0</v>
      </c>
      <c r="K391" s="28">
        <v>1.0</v>
      </c>
      <c r="L391" s="28">
        <v>0.0</v>
      </c>
    </row>
    <row r="392" ht="15.75" customHeight="1">
      <c r="A392" s="25" t="s">
        <v>556</v>
      </c>
      <c r="B392" s="25" t="s">
        <v>59</v>
      </c>
      <c r="C392" s="25" t="s">
        <v>58</v>
      </c>
      <c r="D392" s="25">
        <v>4.0</v>
      </c>
      <c r="E392" s="25">
        <v>30.0</v>
      </c>
      <c r="F392" s="28">
        <v>2.0</v>
      </c>
      <c r="G392" s="28">
        <v>7.5</v>
      </c>
      <c r="H392" s="28">
        <v>10.0</v>
      </c>
      <c r="I392" s="28">
        <v>3.0</v>
      </c>
      <c r="J392" s="28">
        <v>1.0</v>
      </c>
      <c r="K392" s="28">
        <v>0.0</v>
      </c>
      <c r="L392" s="28">
        <v>0.0</v>
      </c>
    </row>
    <row r="393" ht="15.75" customHeight="1">
      <c r="A393" s="25" t="s">
        <v>596</v>
      </c>
      <c r="B393" s="25" t="s">
        <v>59</v>
      </c>
      <c r="C393" s="25" t="s">
        <v>58</v>
      </c>
      <c r="D393" s="25">
        <v>4.0</v>
      </c>
      <c r="E393" s="25">
        <v>41.0</v>
      </c>
      <c r="F393" s="28">
        <v>0.0</v>
      </c>
      <c r="G393" s="28">
        <v>10.25</v>
      </c>
      <c r="H393" s="28">
        <v>6.0</v>
      </c>
      <c r="I393" s="28">
        <v>3.0</v>
      </c>
      <c r="J393" s="28">
        <v>2.0</v>
      </c>
      <c r="K393" s="28">
        <v>1.0</v>
      </c>
      <c r="L393" s="28">
        <v>0.0</v>
      </c>
    </row>
    <row r="394" ht="15.75" customHeight="1">
      <c r="A394" s="25" t="s">
        <v>607</v>
      </c>
      <c r="B394" s="25" t="s">
        <v>58</v>
      </c>
      <c r="C394" s="25" t="s">
        <v>59</v>
      </c>
      <c r="D394" s="25">
        <v>3.3</v>
      </c>
      <c r="E394" s="25">
        <v>44.0</v>
      </c>
      <c r="F394" s="28">
        <v>0.0</v>
      </c>
      <c r="G394" s="28">
        <v>12.57</v>
      </c>
      <c r="H394" s="28">
        <v>1.0</v>
      </c>
      <c r="I394" s="28">
        <v>4.0</v>
      </c>
      <c r="J394" s="28">
        <v>2.0</v>
      </c>
      <c r="K394" s="28">
        <v>0.0</v>
      </c>
      <c r="L394" s="28">
        <v>0.0</v>
      </c>
    </row>
    <row r="395" ht="15.75" customHeight="1">
      <c r="A395" s="25" t="s">
        <v>617</v>
      </c>
      <c r="B395" s="25" t="s">
        <v>58</v>
      </c>
      <c r="C395" s="25" t="s">
        <v>59</v>
      </c>
      <c r="D395" s="25">
        <v>4.0</v>
      </c>
      <c r="E395" s="25">
        <v>26.0</v>
      </c>
      <c r="F395" s="28">
        <v>0.0</v>
      </c>
      <c r="G395" s="28">
        <v>6.5</v>
      </c>
      <c r="H395" s="28">
        <v>7.0</v>
      </c>
      <c r="I395" s="28">
        <v>1.0</v>
      </c>
      <c r="J395" s="28">
        <v>1.0</v>
      </c>
      <c r="K395" s="28">
        <v>0.0</v>
      </c>
      <c r="L395" s="28">
        <v>0.0</v>
      </c>
    </row>
    <row r="396" ht="15.75" customHeight="1">
      <c r="A396" s="25" t="s">
        <v>545</v>
      </c>
      <c r="B396" s="25" t="s">
        <v>58</v>
      </c>
      <c r="C396" s="25" t="s">
        <v>59</v>
      </c>
      <c r="D396" s="25">
        <v>4.0</v>
      </c>
      <c r="E396" s="25">
        <v>29.0</v>
      </c>
      <c r="F396" s="28">
        <v>0.0</v>
      </c>
      <c r="G396" s="28">
        <v>7.25</v>
      </c>
      <c r="H396" s="28">
        <v>7.0</v>
      </c>
      <c r="I396" s="28">
        <v>3.0</v>
      </c>
      <c r="J396" s="28">
        <v>0.0</v>
      </c>
      <c r="K396" s="28">
        <v>0.0</v>
      </c>
      <c r="L396" s="28">
        <v>0.0</v>
      </c>
    </row>
    <row r="397" ht="15.75" customHeight="1">
      <c r="A397" s="25" t="s">
        <v>563</v>
      </c>
      <c r="B397" s="25" t="s">
        <v>58</v>
      </c>
      <c r="C397" s="25" t="s">
        <v>59</v>
      </c>
      <c r="D397" s="25">
        <v>4.0</v>
      </c>
      <c r="E397" s="25">
        <v>49.0</v>
      </c>
      <c r="F397" s="28">
        <v>0.0</v>
      </c>
      <c r="G397" s="28">
        <v>12.25</v>
      </c>
      <c r="H397" s="28">
        <v>5.0</v>
      </c>
      <c r="I397" s="28">
        <v>5.0</v>
      </c>
      <c r="J397" s="28">
        <v>1.0</v>
      </c>
      <c r="K397" s="28">
        <v>5.0</v>
      </c>
      <c r="L397" s="28">
        <v>0.0</v>
      </c>
    </row>
    <row r="398" ht="15.75" customHeight="1">
      <c r="A398" s="25" t="s">
        <v>548</v>
      </c>
      <c r="B398" s="25" t="s">
        <v>58</v>
      </c>
      <c r="C398" s="25" t="s">
        <v>59</v>
      </c>
      <c r="D398" s="25">
        <v>3.0</v>
      </c>
      <c r="E398" s="25">
        <v>34.0</v>
      </c>
      <c r="F398" s="28">
        <v>0.0</v>
      </c>
      <c r="G398" s="28">
        <v>11.33</v>
      </c>
      <c r="H398" s="28">
        <v>4.0</v>
      </c>
      <c r="I398" s="28">
        <v>3.0</v>
      </c>
      <c r="J398" s="28">
        <v>2.0</v>
      </c>
      <c r="K398" s="28">
        <v>0.0</v>
      </c>
      <c r="L398" s="28">
        <v>0.0</v>
      </c>
    </row>
    <row r="399" ht="15.75" customHeight="1">
      <c r="A399" s="25" t="s">
        <v>496</v>
      </c>
      <c r="B399" s="25" t="s">
        <v>58</v>
      </c>
      <c r="C399" s="25" t="s">
        <v>59</v>
      </c>
      <c r="D399" s="25">
        <v>1.0</v>
      </c>
      <c r="E399" s="25">
        <v>21.0</v>
      </c>
      <c r="F399" s="28">
        <v>0.0</v>
      </c>
      <c r="G399" s="28">
        <v>21.0</v>
      </c>
      <c r="H399" s="28">
        <v>0.0</v>
      </c>
      <c r="I399" s="28">
        <v>0.0</v>
      </c>
      <c r="J399" s="28">
        <v>3.0</v>
      </c>
      <c r="K399" s="28">
        <v>0.0</v>
      </c>
      <c r="L399" s="28">
        <v>0.0</v>
      </c>
    </row>
    <row r="400" ht="15.75" customHeight="1">
      <c r="D400" s="28"/>
      <c r="E400" s="28"/>
      <c r="F400" s="28"/>
      <c r="G400" s="28"/>
      <c r="H400" s="28"/>
      <c r="I400" s="28"/>
      <c r="J400" s="28"/>
      <c r="K400" s="28"/>
      <c r="L400" s="28"/>
    </row>
    <row r="401" ht="15.75" customHeight="1">
      <c r="D401" s="28"/>
      <c r="E401" s="28"/>
      <c r="F401" s="28"/>
      <c r="G401" s="28"/>
      <c r="H401" s="28"/>
      <c r="I401" s="28"/>
      <c r="J401" s="28"/>
      <c r="K401" s="28"/>
      <c r="L401" s="28"/>
    </row>
    <row r="402" ht="15.75" customHeight="1">
      <c r="D402" s="28"/>
      <c r="E402" s="28"/>
      <c r="F402" s="28"/>
      <c r="G402" s="28"/>
      <c r="H402" s="28"/>
      <c r="I402" s="28"/>
      <c r="J402" s="28"/>
      <c r="K402" s="28"/>
      <c r="L402" s="28"/>
    </row>
    <row r="403" ht="15.75" customHeight="1">
      <c r="D403" s="28"/>
      <c r="E403" s="28"/>
      <c r="F403" s="28"/>
      <c r="G403" s="28"/>
      <c r="H403" s="28"/>
      <c r="I403" s="28"/>
      <c r="J403" s="28"/>
      <c r="K403" s="28"/>
      <c r="L403" s="28"/>
    </row>
    <row r="404" ht="15.75" customHeight="1">
      <c r="D404" s="28"/>
      <c r="E404" s="28"/>
      <c r="F404" s="28"/>
      <c r="G404" s="28"/>
      <c r="H404" s="28"/>
      <c r="I404" s="28"/>
      <c r="J404" s="28"/>
      <c r="K404" s="28"/>
      <c r="L404" s="28"/>
    </row>
    <row r="405" ht="15.75" customHeight="1">
      <c r="D405" s="28"/>
      <c r="E405" s="28"/>
      <c r="F405" s="28"/>
      <c r="G405" s="28"/>
      <c r="H405" s="28"/>
      <c r="I405" s="28"/>
      <c r="J405" s="28"/>
      <c r="K405" s="28"/>
      <c r="L405" s="28"/>
    </row>
    <row r="406" ht="15.75" customHeight="1">
      <c r="D406" s="28"/>
      <c r="E406" s="28"/>
      <c r="F406" s="28"/>
      <c r="G406" s="28"/>
      <c r="H406" s="28"/>
      <c r="I406" s="28"/>
      <c r="J406" s="28"/>
      <c r="K406" s="28"/>
      <c r="L406" s="28"/>
    </row>
    <row r="407" ht="15.75" customHeight="1">
      <c r="D407" s="28"/>
      <c r="E407" s="28"/>
      <c r="F407" s="28"/>
      <c r="G407" s="28"/>
      <c r="H407" s="28"/>
      <c r="I407" s="28"/>
      <c r="J407" s="28"/>
      <c r="K407" s="28"/>
      <c r="L407" s="28"/>
    </row>
    <row r="408" ht="15.75" customHeight="1">
      <c r="D408" s="28"/>
      <c r="E408" s="28"/>
      <c r="F408" s="28"/>
      <c r="G408" s="28"/>
      <c r="H408" s="28"/>
      <c r="I408" s="28"/>
      <c r="J408" s="28"/>
      <c r="K408" s="28"/>
      <c r="L408" s="28"/>
    </row>
    <row r="409" ht="15.75" customHeight="1">
      <c r="D409" s="28"/>
      <c r="E409" s="28"/>
      <c r="F409" s="28"/>
      <c r="G409" s="28"/>
      <c r="H409" s="28"/>
      <c r="I409" s="28"/>
      <c r="J409" s="28"/>
      <c r="K409" s="28"/>
      <c r="L409" s="28"/>
    </row>
    <row r="410" ht="15.75" customHeight="1">
      <c r="D410" s="28"/>
      <c r="E410" s="28"/>
      <c r="F410" s="28"/>
      <c r="G410" s="28"/>
      <c r="H410" s="28"/>
      <c r="I410" s="28"/>
      <c r="J410" s="28"/>
      <c r="K410" s="28"/>
      <c r="L410" s="28"/>
    </row>
    <row r="411" ht="15.75" customHeight="1">
      <c r="D411" s="28"/>
      <c r="E411" s="28"/>
      <c r="F411" s="28"/>
      <c r="G411" s="28"/>
      <c r="H411" s="28"/>
      <c r="I411" s="28"/>
      <c r="J411" s="28"/>
      <c r="K411" s="28"/>
      <c r="L411" s="28"/>
    </row>
    <row r="412" ht="15.75" customHeight="1">
      <c r="D412" s="28"/>
      <c r="E412" s="28"/>
      <c r="F412" s="28"/>
      <c r="G412" s="28"/>
      <c r="H412" s="28"/>
      <c r="I412" s="28"/>
      <c r="J412" s="28"/>
      <c r="K412" s="28"/>
      <c r="L412" s="28"/>
    </row>
    <row r="413" ht="15.75" customHeight="1">
      <c r="D413" s="28"/>
      <c r="E413" s="28"/>
      <c r="F413" s="28"/>
      <c r="G413" s="28"/>
      <c r="H413" s="28"/>
      <c r="I413" s="28"/>
      <c r="J413" s="28"/>
      <c r="K413" s="28"/>
      <c r="L413" s="28"/>
    </row>
    <row r="414" ht="15.75" customHeight="1">
      <c r="D414" s="28"/>
      <c r="E414" s="28"/>
      <c r="F414" s="28"/>
      <c r="G414" s="28"/>
      <c r="H414" s="28"/>
      <c r="I414" s="28"/>
      <c r="J414" s="28"/>
      <c r="K414" s="28"/>
      <c r="L414" s="28"/>
    </row>
    <row r="415" ht="15.75" customHeight="1">
      <c r="D415" s="28"/>
      <c r="E415" s="28"/>
      <c r="F415" s="28"/>
      <c r="G415" s="28"/>
      <c r="H415" s="28"/>
      <c r="I415" s="28"/>
      <c r="J415" s="28"/>
      <c r="K415" s="28"/>
      <c r="L415" s="28"/>
    </row>
    <row r="416" ht="15.75" customHeight="1">
      <c r="D416" s="28"/>
      <c r="E416" s="28"/>
      <c r="F416" s="28"/>
      <c r="G416" s="28"/>
      <c r="H416" s="28"/>
      <c r="I416" s="28"/>
      <c r="J416" s="28"/>
      <c r="K416" s="28"/>
      <c r="L416" s="28"/>
    </row>
    <row r="417" ht="15.75" customHeight="1">
      <c r="D417" s="28"/>
      <c r="E417" s="28"/>
      <c r="F417" s="28"/>
      <c r="G417" s="28"/>
      <c r="H417" s="28"/>
      <c r="I417" s="28"/>
      <c r="J417" s="28"/>
      <c r="K417" s="28"/>
      <c r="L417" s="28"/>
    </row>
    <row r="418" ht="15.75" customHeight="1">
      <c r="D418" s="28"/>
      <c r="E418" s="28"/>
      <c r="F418" s="28"/>
      <c r="G418" s="28"/>
      <c r="H418" s="28"/>
      <c r="I418" s="28"/>
      <c r="J418" s="28"/>
      <c r="K418" s="28"/>
      <c r="L418" s="28"/>
    </row>
    <row r="419" ht="15.75" customHeight="1">
      <c r="D419" s="28"/>
      <c r="E419" s="28"/>
      <c r="F419" s="28"/>
      <c r="G419" s="28"/>
      <c r="H419" s="28"/>
      <c r="I419" s="28"/>
      <c r="J419" s="28"/>
      <c r="K419" s="28"/>
      <c r="L419" s="28"/>
    </row>
    <row r="420" ht="15.75" customHeight="1">
      <c r="D420" s="28"/>
      <c r="E420" s="28"/>
      <c r="F420" s="28"/>
      <c r="G420" s="28"/>
      <c r="H420" s="28"/>
      <c r="I420" s="28"/>
      <c r="J420" s="28"/>
      <c r="K420" s="28"/>
      <c r="L420" s="28"/>
    </row>
    <row r="421" ht="15.75" customHeight="1">
      <c r="D421" s="28"/>
      <c r="E421" s="28"/>
      <c r="F421" s="28"/>
      <c r="G421" s="28"/>
      <c r="H421" s="28"/>
      <c r="I421" s="28"/>
      <c r="J421" s="28"/>
      <c r="K421" s="28"/>
      <c r="L421" s="28"/>
    </row>
    <row r="422" ht="15.75" customHeight="1">
      <c r="D422" s="28"/>
      <c r="E422" s="28"/>
      <c r="F422" s="28"/>
      <c r="G422" s="28"/>
      <c r="H422" s="28"/>
      <c r="I422" s="28"/>
      <c r="J422" s="28"/>
      <c r="K422" s="28"/>
      <c r="L422" s="28"/>
    </row>
    <row r="423" ht="15.75" customHeight="1">
      <c r="D423" s="28"/>
      <c r="E423" s="28"/>
      <c r="F423" s="28"/>
      <c r="G423" s="28"/>
      <c r="H423" s="28"/>
      <c r="I423" s="28"/>
      <c r="J423" s="28"/>
      <c r="K423" s="28"/>
      <c r="L423" s="28"/>
    </row>
    <row r="424" ht="15.75" customHeight="1">
      <c r="D424" s="28"/>
      <c r="E424" s="28"/>
      <c r="F424" s="28"/>
      <c r="G424" s="28"/>
      <c r="H424" s="28"/>
      <c r="I424" s="28"/>
      <c r="J424" s="28"/>
      <c r="K424" s="28"/>
      <c r="L424" s="28"/>
    </row>
    <row r="425" ht="15.75" customHeight="1">
      <c r="D425" s="28"/>
      <c r="E425" s="28"/>
      <c r="F425" s="28"/>
      <c r="G425" s="28"/>
      <c r="H425" s="28"/>
      <c r="I425" s="28"/>
      <c r="J425" s="28"/>
      <c r="K425" s="28"/>
      <c r="L425" s="28"/>
    </row>
    <row r="426" ht="15.75" customHeight="1">
      <c r="D426" s="28"/>
      <c r="E426" s="28"/>
      <c r="F426" s="28"/>
      <c r="G426" s="28"/>
      <c r="H426" s="28"/>
      <c r="I426" s="28"/>
      <c r="J426" s="28"/>
      <c r="K426" s="28"/>
      <c r="L426" s="28"/>
    </row>
    <row r="427" ht="15.75" customHeight="1">
      <c r="D427" s="28"/>
      <c r="E427" s="28"/>
      <c r="F427" s="28"/>
      <c r="G427" s="28"/>
      <c r="H427" s="28"/>
      <c r="I427" s="28"/>
      <c r="J427" s="28"/>
      <c r="K427" s="28"/>
      <c r="L427" s="28"/>
    </row>
    <row r="428" ht="15.75" customHeight="1">
      <c r="D428" s="28"/>
      <c r="E428" s="28"/>
      <c r="F428" s="28"/>
      <c r="G428" s="28"/>
      <c r="H428" s="28"/>
      <c r="I428" s="28"/>
      <c r="J428" s="28"/>
      <c r="K428" s="28"/>
      <c r="L428" s="28"/>
    </row>
    <row r="429" ht="15.75" customHeight="1">
      <c r="D429" s="28"/>
      <c r="E429" s="28"/>
      <c r="F429" s="28"/>
      <c r="G429" s="28"/>
      <c r="H429" s="28"/>
      <c r="I429" s="28"/>
      <c r="J429" s="28"/>
      <c r="K429" s="28"/>
      <c r="L429" s="28"/>
    </row>
    <row r="430" ht="15.75" customHeight="1">
      <c r="D430" s="28"/>
      <c r="E430" s="28"/>
      <c r="F430" s="28"/>
      <c r="G430" s="28"/>
      <c r="H430" s="28"/>
      <c r="I430" s="28"/>
      <c r="J430" s="28"/>
      <c r="K430" s="28"/>
      <c r="L430" s="28"/>
    </row>
    <row r="431" ht="15.75" customHeight="1">
      <c r="D431" s="28"/>
      <c r="E431" s="28"/>
      <c r="F431" s="28"/>
      <c r="G431" s="28"/>
      <c r="H431" s="28"/>
      <c r="I431" s="28"/>
      <c r="J431" s="28"/>
      <c r="K431" s="28"/>
      <c r="L431" s="28"/>
    </row>
    <row r="432" ht="15.75" customHeight="1">
      <c r="D432" s="28"/>
      <c r="E432" s="28"/>
      <c r="F432" s="28"/>
      <c r="G432" s="28"/>
      <c r="H432" s="28"/>
      <c r="I432" s="28"/>
      <c r="J432" s="28"/>
      <c r="K432" s="28"/>
      <c r="L432" s="28"/>
    </row>
    <row r="433" ht="15.75" customHeight="1">
      <c r="D433" s="28"/>
      <c r="E433" s="28"/>
      <c r="F433" s="28"/>
      <c r="G433" s="28"/>
      <c r="H433" s="28"/>
      <c r="I433" s="28"/>
      <c r="J433" s="28"/>
      <c r="K433" s="28"/>
      <c r="L433" s="28"/>
    </row>
    <row r="434" ht="15.75" customHeight="1">
      <c r="D434" s="28"/>
      <c r="E434" s="28"/>
      <c r="F434" s="28"/>
      <c r="G434" s="28"/>
      <c r="H434" s="28"/>
      <c r="I434" s="28"/>
      <c r="J434" s="28"/>
      <c r="K434" s="28"/>
      <c r="L434" s="28"/>
    </row>
    <row r="435" ht="15.75" customHeight="1">
      <c r="D435" s="28"/>
      <c r="E435" s="28"/>
      <c r="F435" s="28"/>
      <c r="G435" s="28"/>
      <c r="H435" s="28"/>
      <c r="I435" s="28"/>
      <c r="J435" s="28"/>
      <c r="K435" s="28"/>
      <c r="L435" s="28"/>
    </row>
    <row r="436" ht="15.75" customHeight="1">
      <c r="D436" s="28"/>
      <c r="E436" s="28"/>
      <c r="F436" s="28"/>
      <c r="G436" s="28"/>
      <c r="H436" s="28"/>
      <c r="I436" s="28"/>
      <c r="J436" s="28"/>
      <c r="K436" s="28"/>
      <c r="L436" s="28"/>
    </row>
    <row r="437" ht="15.75" customHeight="1">
      <c r="D437" s="28"/>
      <c r="E437" s="28"/>
      <c r="F437" s="28"/>
      <c r="G437" s="28"/>
      <c r="H437" s="28"/>
      <c r="I437" s="28"/>
      <c r="J437" s="28"/>
      <c r="K437" s="28"/>
      <c r="L437" s="28"/>
    </row>
    <row r="438" ht="15.75" customHeight="1">
      <c r="D438" s="28"/>
      <c r="E438" s="28"/>
      <c r="F438" s="28"/>
      <c r="G438" s="28"/>
      <c r="H438" s="28"/>
      <c r="I438" s="28"/>
      <c r="J438" s="28"/>
      <c r="K438" s="28"/>
      <c r="L438" s="28"/>
    </row>
    <row r="439" ht="15.75" customHeight="1">
      <c r="D439" s="28"/>
      <c r="E439" s="28"/>
      <c r="F439" s="28"/>
      <c r="G439" s="28"/>
      <c r="H439" s="28"/>
      <c r="I439" s="28"/>
      <c r="J439" s="28"/>
      <c r="K439" s="28"/>
      <c r="L439" s="28"/>
    </row>
    <row r="440" ht="15.75" customHeight="1">
      <c r="D440" s="28"/>
      <c r="E440" s="28"/>
      <c r="F440" s="28"/>
      <c r="G440" s="28"/>
      <c r="H440" s="28"/>
      <c r="I440" s="28"/>
      <c r="J440" s="28"/>
      <c r="K440" s="28"/>
      <c r="L440" s="28"/>
    </row>
    <row r="441" ht="15.75" customHeight="1">
      <c r="D441" s="28"/>
      <c r="E441" s="28"/>
      <c r="F441" s="28"/>
      <c r="G441" s="28"/>
      <c r="H441" s="28"/>
      <c r="I441" s="28"/>
      <c r="J441" s="28"/>
      <c r="K441" s="28"/>
      <c r="L441" s="28"/>
    </row>
    <row r="442" ht="15.75" customHeight="1">
      <c r="D442" s="28"/>
      <c r="E442" s="28"/>
      <c r="F442" s="28"/>
      <c r="G442" s="28"/>
      <c r="H442" s="28"/>
      <c r="I442" s="28"/>
      <c r="J442" s="28"/>
      <c r="K442" s="28"/>
      <c r="L442" s="28"/>
    </row>
    <row r="443" ht="15.75" customHeight="1">
      <c r="D443" s="28"/>
      <c r="E443" s="28"/>
      <c r="F443" s="28"/>
      <c r="G443" s="28"/>
      <c r="H443" s="28"/>
      <c r="I443" s="28"/>
      <c r="J443" s="28"/>
      <c r="K443" s="28"/>
      <c r="L443" s="28"/>
    </row>
    <row r="444" ht="15.75" customHeight="1">
      <c r="D444" s="28"/>
      <c r="E444" s="28"/>
      <c r="F444" s="28"/>
      <c r="G444" s="28"/>
      <c r="H444" s="28"/>
      <c r="I444" s="28"/>
      <c r="J444" s="28"/>
      <c r="K444" s="28"/>
      <c r="L444" s="28"/>
    </row>
    <row r="445" ht="15.75" customHeight="1">
      <c r="D445" s="28"/>
      <c r="E445" s="28"/>
      <c r="F445" s="28"/>
      <c r="G445" s="28"/>
      <c r="H445" s="28"/>
      <c r="I445" s="28"/>
      <c r="J445" s="28"/>
      <c r="K445" s="28"/>
      <c r="L445" s="28"/>
    </row>
    <row r="446" ht="15.75" customHeight="1">
      <c r="D446" s="28"/>
      <c r="E446" s="28"/>
      <c r="F446" s="28"/>
      <c r="G446" s="28"/>
      <c r="H446" s="28"/>
      <c r="I446" s="28"/>
      <c r="J446" s="28"/>
      <c r="K446" s="28"/>
      <c r="L446" s="28"/>
    </row>
    <row r="447" ht="15.75" customHeight="1">
      <c r="D447" s="28"/>
      <c r="E447" s="28"/>
      <c r="F447" s="28"/>
      <c r="G447" s="28"/>
      <c r="H447" s="28"/>
      <c r="I447" s="28"/>
      <c r="J447" s="28"/>
      <c r="K447" s="28"/>
      <c r="L447" s="28"/>
    </row>
    <row r="448" ht="15.75" customHeight="1">
      <c r="D448" s="28"/>
      <c r="E448" s="28"/>
      <c r="F448" s="28"/>
      <c r="G448" s="28"/>
      <c r="H448" s="28"/>
      <c r="I448" s="28"/>
      <c r="J448" s="28"/>
      <c r="K448" s="28"/>
      <c r="L448" s="28"/>
    </row>
    <row r="449" ht="15.75" customHeight="1">
      <c r="D449" s="28"/>
      <c r="E449" s="28"/>
      <c r="F449" s="28"/>
      <c r="G449" s="28"/>
      <c r="H449" s="28"/>
      <c r="I449" s="28"/>
      <c r="J449" s="28"/>
      <c r="K449" s="28"/>
      <c r="L449" s="28"/>
    </row>
    <row r="450" ht="15.75" customHeight="1">
      <c r="D450" s="28"/>
      <c r="E450" s="28"/>
      <c r="F450" s="28"/>
      <c r="G450" s="28"/>
      <c r="H450" s="28"/>
      <c r="I450" s="28"/>
      <c r="J450" s="28"/>
      <c r="K450" s="28"/>
      <c r="L450" s="28"/>
    </row>
    <row r="451" ht="15.75" customHeight="1">
      <c r="D451" s="28"/>
      <c r="E451" s="28"/>
      <c r="F451" s="28"/>
      <c r="G451" s="28"/>
      <c r="H451" s="28"/>
      <c r="I451" s="28"/>
      <c r="J451" s="28"/>
      <c r="K451" s="28"/>
      <c r="L451" s="28"/>
    </row>
    <row r="452" ht="15.75" customHeight="1">
      <c r="D452" s="28"/>
      <c r="E452" s="28"/>
      <c r="F452" s="28"/>
      <c r="G452" s="28"/>
      <c r="H452" s="28"/>
      <c r="I452" s="28"/>
      <c r="J452" s="28"/>
      <c r="K452" s="28"/>
      <c r="L452" s="28"/>
    </row>
    <row r="453" ht="15.75" customHeight="1">
      <c r="D453" s="28"/>
      <c r="E453" s="28"/>
      <c r="F453" s="28"/>
      <c r="G453" s="28"/>
      <c r="H453" s="28"/>
      <c r="I453" s="28"/>
      <c r="J453" s="28"/>
      <c r="K453" s="28"/>
      <c r="L453" s="28"/>
    </row>
    <row r="454" ht="15.75" customHeight="1">
      <c r="D454" s="28"/>
      <c r="E454" s="28"/>
      <c r="F454" s="28"/>
      <c r="G454" s="28"/>
      <c r="H454" s="28"/>
      <c r="I454" s="28"/>
      <c r="J454" s="28"/>
      <c r="K454" s="28"/>
      <c r="L454" s="28"/>
    </row>
    <row r="455" ht="15.75" customHeight="1">
      <c r="D455" s="28"/>
      <c r="E455" s="28"/>
      <c r="F455" s="28"/>
      <c r="G455" s="28"/>
      <c r="H455" s="28"/>
      <c r="I455" s="28"/>
      <c r="J455" s="28"/>
      <c r="K455" s="28"/>
      <c r="L455" s="28"/>
    </row>
    <row r="456" ht="15.75" customHeight="1">
      <c r="D456" s="28"/>
      <c r="E456" s="28"/>
      <c r="F456" s="28"/>
      <c r="G456" s="28"/>
      <c r="H456" s="28"/>
      <c r="I456" s="28"/>
      <c r="J456" s="28"/>
      <c r="K456" s="28"/>
      <c r="L456" s="28"/>
    </row>
    <row r="457" ht="15.75" customHeight="1">
      <c r="D457" s="28"/>
      <c r="E457" s="28"/>
      <c r="F457" s="28"/>
      <c r="G457" s="28"/>
      <c r="H457" s="28"/>
      <c r="I457" s="28"/>
      <c r="J457" s="28"/>
      <c r="K457" s="28"/>
      <c r="L457" s="28"/>
    </row>
    <row r="458" ht="15.75" customHeight="1">
      <c r="D458" s="28"/>
      <c r="E458" s="28"/>
      <c r="F458" s="28"/>
      <c r="G458" s="28"/>
      <c r="H458" s="28"/>
      <c r="I458" s="28"/>
      <c r="J458" s="28"/>
      <c r="K458" s="28"/>
      <c r="L458" s="28"/>
    </row>
    <row r="459" ht="15.75" customHeight="1">
      <c r="D459" s="28"/>
      <c r="E459" s="28"/>
      <c r="F459" s="28"/>
      <c r="G459" s="28"/>
      <c r="H459" s="28"/>
      <c r="I459" s="28"/>
      <c r="J459" s="28"/>
      <c r="K459" s="28"/>
      <c r="L459" s="28"/>
    </row>
    <row r="460" ht="15.75" customHeight="1">
      <c r="D460" s="28"/>
      <c r="E460" s="28"/>
      <c r="F460" s="28"/>
      <c r="G460" s="28"/>
      <c r="H460" s="28"/>
      <c r="I460" s="28"/>
      <c r="J460" s="28"/>
      <c r="K460" s="28"/>
      <c r="L460" s="28"/>
    </row>
    <row r="461" ht="15.75" customHeight="1">
      <c r="D461" s="28"/>
      <c r="E461" s="28"/>
      <c r="F461" s="28"/>
      <c r="G461" s="28"/>
      <c r="H461" s="28"/>
      <c r="I461" s="28"/>
      <c r="J461" s="28"/>
      <c r="K461" s="28"/>
      <c r="L461" s="28"/>
    </row>
    <row r="462" ht="15.75" customHeight="1">
      <c r="D462" s="28"/>
      <c r="E462" s="28"/>
      <c r="F462" s="28"/>
      <c r="G462" s="28"/>
      <c r="H462" s="28"/>
      <c r="I462" s="28"/>
      <c r="J462" s="28"/>
      <c r="K462" s="28"/>
      <c r="L462" s="28"/>
    </row>
    <row r="463" ht="15.75" customHeight="1">
      <c r="D463" s="28"/>
      <c r="E463" s="28"/>
      <c r="F463" s="28"/>
      <c r="G463" s="28"/>
      <c r="H463" s="28"/>
      <c r="I463" s="28"/>
      <c r="J463" s="28"/>
      <c r="K463" s="28"/>
      <c r="L463" s="28"/>
    </row>
    <row r="464" ht="15.75" customHeight="1">
      <c r="D464" s="28"/>
      <c r="E464" s="28"/>
      <c r="F464" s="28"/>
      <c r="G464" s="28"/>
      <c r="H464" s="28"/>
      <c r="I464" s="28"/>
      <c r="J464" s="28"/>
      <c r="K464" s="28"/>
      <c r="L464" s="28"/>
    </row>
    <row r="465" ht="15.75" customHeight="1">
      <c r="D465" s="28"/>
      <c r="E465" s="28"/>
      <c r="F465" s="28"/>
      <c r="G465" s="28"/>
      <c r="H465" s="28"/>
      <c r="I465" s="28"/>
      <c r="J465" s="28"/>
      <c r="K465" s="28"/>
      <c r="L465" s="28"/>
    </row>
    <row r="466" ht="15.75" customHeight="1">
      <c r="D466" s="28"/>
      <c r="E466" s="28"/>
      <c r="F466" s="28"/>
      <c r="G466" s="28"/>
      <c r="H466" s="28"/>
      <c r="I466" s="28"/>
      <c r="J466" s="28"/>
      <c r="K466" s="28"/>
      <c r="L466" s="28"/>
    </row>
    <row r="467" ht="15.75" customHeight="1">
      <c r="D467" s="28"/>
      <c r="E467" s="28"/>
      <c r="F467" s="28"/>
      <c r="G467" s="28"/>
      <c r="H467" s="28"/>
      <c r="I467" s="28"/>
      <c r="J467" s="28"/>
      <c r="K467" s="28"/>
      <c r="L467" s="28"/>
    </row>
    <row r="468" ht="15.75" customHeight="1">
      <c r="D468" s="28"/>
      <c r="E468" s="28"/>
      <c r="F468" s="28"/>
      <c r="G468" s="28"/>
      <c r="H468" s="28"/>
      <c r="I468" s="28"/>
      <c r="J468" s="28"/>
      <c r="K468" s="28"/>
      <c r="L468" s="28"/>
    </row>
    <row r="469" ht="15.75" customHeight="1">
      <c r="D469" s="28"/>
      <c r="E469" s="28"/>
      <c r="F469" s="28"/>
      <c r="G469" s="28"/>
      <c r="H469" s="28"/>
      <c r="I469" s="28"/>
      <c r="J469" s="28"/>
      <c r="K469" s="28"/>
      <c r="L469" s="28"/>
    </row>
    <row r="470" ht="15.75" customHeight="1">
      <c r="D470" s="28"/>
      <c r="E470" s="28"/>
      <c r="F470" s="28"/>
      <c r="G470" s="28"/>
      <c r="H470" s="28"/>
      <c r="I470" s="28"/>
      <c r="J470" s="28"/>
      <c r="K470" s="28"/>
      <c r="L470" s="28"/>
    </row>
    <row r="471" ht="15.75" customHeight="1">
      <c r="D471" s="28"/>
      <c r="E471" s="28"/>
      <c r="F471" s="28"/>
      <c r="G471" s="28"/>
      <c r="H471" s="28"/>
      <c r="I471" s="28"/>
      <c r="J471" s="28"/>
      <c r="K471" s="28"/>
      <c r="L471" s="28"/>
    </row>
    <row r="472" ht="15.75" customHeight="1">
      <c r="D472" s="28"/>
      <c r="E472" s="28"/>
      <c r="F472" s="28"/>
      <c r="G472" s="28"/>
      <c r="H472" s="28"/>
      <c r="I472" s="28"/>
      <c r="J472" s="28"/>
      <c r="K472" s="28"/>
      <c r="L472" s="28"/>
    </row>
    <row r="473" ht="15.75" customHeight="1">
      <c r="D473" s="28"/>
      <c r="E473" s="28"/>
      <c r="F473" s="28"/>
      <c r="G473" s="28"/>
      <c r="H473" s="28"/>
      <c r="I473" s="28"/>
      <c r="J473" s="28"/>
      <c r="K473" s="28"/>
      <c r="L473" s="28"/>
    </row>
    <row r="474" ht="15.75" customHeight="1">
      <c r="D474" s="28"/>
      <c r="E474" s="28"/>
      <c r="F474" s="28"/>
      <c r="G474" s="28"/>
      <c r="H474" s="28"/>
      <c r="I474" s="28"/>
      <c r="J474" s="28"/>
      <c r="K474" s="28"/>
      <c r="L474" s="28"/>
    </row>
    <row r="475" ht="15.75" customHeight="1">
      <c r="D475" s="28"/>
      <c r="E475" s="28"/>
      <c r="F475" s="28"/>
      <c r="G475" s="28"/>
      <c r="H475" s="28"/>
      <c r="I475" s="28"/>
      <c r="J475" s="28"/>
      <c r="K475" s="28"/>
      <c r="L475" s="28"/>
    </row>
    <row r="476" ht="15.75" customHeight="1">
      <c r="D476" s="28"/>
      <c r="E476" s="28"/>
      <c r="F476" s="28"/>
      <c r="G476" s="28"/>
      <c r="H476" s="28"/>
      <c r="I476" s="28"/>
      <c r="J476" s="28"/>
      <c r="K476" s="28"/>
      <c r="L476" s="28"/>
    </row>
    <row r="477" ht="15.75" customHeight="1">
      <c r="D477" s="28"/>
      <c r="E477" s="28"/>
      <c r="F477" s="28"/>
      <c r="G477" s="28"/>
      <c r="H477" s="28"/>
      <c r="I477" s="28"/>
      <c r="J477" s="28"/>
      <c r="K477" s="28"/>
      <c r="L477" s="28"/>
    </row>
    <row r="478" ht="15.75" customHeight="1">
      <c r="D478" s="28"/>
      <c r="E478" s="28"/>
      <c r="F478" s="28"/>
      <c r="G478" s="28"/>
      <c r="H478" s="28"/>
      <c r="I478" s="28"/>
      <c r="J478" s="28"/>
      <c r="K478" s="28"/>
      <c r="L478" s="28"/>
    </row>
    <row r="479" ht="15.75" customHeight="1">
      <c r="D479" s="28"/>
      <c r="E479" s="28"/>
      <c r="F479" s="28"/>
      <c r="G479" s="28"/>
      <c r="H479" s="28"/>
      <c r="I479" s="28"/>
      <c r="J479" s="28"/>
      <c r="K479" s="28"/>
      <c r="L479" s="28"/>
    </row>
    <row r="480" ht="15.75" customHeight="1">
      <c r="D480" s="28"/>
      <c r="E480" s="28"/>
      <c r="F480" s="28"/>
      <c r="G480" s="28"/>
      <c r="H480" s="28"/>
      <c r="I480" s="28"/>
      <c r="J480" s="28"/>
      <c r="K480" s="28"/>
      <c r="L480" s="28"/>
    </row>
    <row r="481" ht="15.75" customHeight="1">
      <c r="D481" s="28"/>
      <c r="E481" s="28"/>
      <c r="F481" s="28"/>
      <c r="G481" s="28"/>
      <c r="H481" s="28"/>
      <c r="I481" s="28"/>
      <c r="J481" s="28"/>
      <c r="K481" s="28"/>
      <c r="L481" s="28"/>
    </row>
    <row r="482" ht="15.75" customHeight="1">
      <c r="D482" s="28"/>
      <c r="E482" s="28"/>
      <c r="F482" s="28"/>
      <c r="G482" s="28"/>
      <c r="H482" s="28"/>
      <c r="I482" s="28"/>
      <c r="J482" s="28"/>
      <c r="K482" s="28"/>
      <c r="L482" s="28"/>
    </row>
    <row r="483" ht="15.75" customHeight="1">
      <c r="D483" s="28"/>
      <c r="E483" s="28"/>
      <c r="F483" s="28"/>
      <c r="G483" s="28"/>
      <c r="H483" s="28"/>
      <c r="I483" s="28"/>
      <c r="J483" s="28"/>
      <c r="K483" s="28"/>
      <c r="L483" s="28"/>
    </row>
    <row r="484" ht="15.75" customHeight="1">
      <c r="D484" s="28"/>
      <c r="E484" s="28"/>
      <c r="F484" s="28"/>
      <c r="G484" s="28"/>
      <c r="H484" s="28"/>
      <c r="I484" s="28"/>
      <c r="J484" s="28"/>
      <c r="K484" s="28"/>
      <c r="L484" s="28"/>
    </row>
    <row r="485" ht="15.75" customHeight="1">
      <c r="D485" s="28"/>
      <c r="E485" s="28"/>
      <c r="F485" s="28"/>
      <c r="G485" s="28"/>
      <c r="H485" s="28"/>
      <c r="I485" s="28"/>
      <c r="J485" s="28"/>
      <c r="K485" s="28"/>
      <c r="L485" s="28"/>
    </row>
    <row r="486" ht="15.75" customHeight="1">
      <c r="D486" s="28"/>
      <c r="E486" s="28"/>
      <c r="F486" s="28"/>
      <c r="G486" s="28"/>
      <c r="H486" s="28"/>
      <c r="I486" s="28"/>
      <c r="J486" s="28"/>
      <c r="K486" s="28"/>
      <c r="L486" s="28"/>
    </row>
    <row r="487" ht="15.75" customHeight="1">
      <c r="D487" s="28"/>
      <c r="E487" s="28"/>
      <c r="F487" s="28"/>
      <c r="G487" s="28"/>
      <c r="H487" s="28"/>
      <c r="I487" s="28"/>
      <c r="J487" s="28"/>
      <c r="K487" s="28"/>
      <c r="L487" s="28"/>
    </row>
    <row r="488" ht="15.75" customHeight="1">
      <c r="D488" s="28"/>
      <c r="E488" s="28"/>
      <c r="F488" s="28"/>
      <c r="G488" s="28"/>
      <c r="H488" s="28"/>
      <c r="I488" s="28"/>
      <c r="J488" s="28"/>
      <c r="K488" s="28"/>
      <c r="L488" s="28"/>
    </row>
    <row r="489" ht="15.75" customHeight="1">
      <c r="D489" s="28"/>
      <c r="E489" s="28"/>
      <c r="F489" s="28"/>
      <c r="G489" s="28"/>
      <c r="H489" s="28"/>
      <c r="I489" s="28"/>
      <c r="J489" s="28"/>
      <c r="K489" s="28"/>
      <c r="L489" s="28"/>
    </row>
    <row r="490" ht="15.75" customHeight="1">
      <c r="D490" s="28"/>
      <c r="E490" s="28"/>
      <c r="F490" s="28"/>
      <c r="G490" s="28"/>
      <c r="H490" s="28"/>
      <c r="I490" s="28"/>
      <c r="J490" s="28"/>
      <c r="K490" s="28"/>
      <c r="L490" s="28"/>
    </row>
    <row r="491" ht="15.75" customHeight="1">
      <c r="D491" s="28"/>
      <c r="E491" s="28"/>
      <c r="F491" s="28"/>
      <c r="G491" s="28"/>
      <c r="H491" s="28"/>
      <c r="I491" s="28"/>
      <c r="J491" s="28"/>
      <c r="K491" s="28"/>
      <c r="L491" s="28"/>
    </row>
    <row r="492" ht="15.75" customHeight="1">
      <c r="D492" s="28"/>
      <c r="E492" s="28"/>
      <c r="F492" s="28"/>
      <c r="G492" s="28"/>
      <c r="H492" s="28"/>
      <c r="I492" s="28"/>
      <c r="J492" s="28"/>
      <c r="K492" s="28"/>
      <c r="L492" s="28"/>
    </row>
    <row r="493" ht="15.75" customHeight="1">
      <c r="D493" s="28"/>
      <c r="E493" s="28"/>
      <c r="F493" s="28"/>
      <c r="G493" s="28"/>
      <c r="H493" s="28"/>
      <c r="I493" s="28"/>
      <c r="J493" s="28"/>
      <c r="K493" s="28"/>
      <c r="L493" s="28"/>
    </row>
    <row r="494" ht="15.75" customHeight="1">
      <c r="D494" s="28"/>
      <c r="E494" s="28"/>
      <c r="F494" s="28"/>
      <c r="G494" s="28"/>
      <c r="H494" s="28"/>
      <c r="I494" s="28"/>
      <c r="J494" s="28"/>
      <c r="K494" s="28"/>
      <c r="L494" s="28"/>
    </row>
    <row r="495" ht="15.75" customHeight="1">
      <c r="D495" s="28"/>
      <c r="E495" s="28"/>
      <c r="F495" s="28"/>
      <c r="G495" s="28"/>
      <c r="H495" s="28"/>
      <c r="I495" s="28"/>
      <c r="J495" s="28"/>
      <c r="K495" s="28"/>
      <c r="L495" s="28"/>
    </row>
    <row r="496" ht="15.75" customHeight="1">
      <c r="D496" s="28"/>
      <c r="E496" s="28"/>
      <c r="F496" s="28"/>
      <c r="G496" s="28"/>
      <c r="H496" s="28"/>
      <c r="I496" s="28"/>
      <c r="J496" s="28"/>
      <c r="K496" s="28"/>
      <c r="L496" s="28"/>
    </row>
    <row r="497" ht="15.75" customHeight="1">
      <c r="D497" s="28"/>
      <c r="E497" s="28"/>
      <c r="F497" s="28"/>
      <c r="G497" s="28"/>
      <c r="H497" s="28"/>
      <c r="I497" s="28"/>
      <c r="J497" s="28"/>
      <c r="K497" s="28"/>
      <c r="L497" s="28"/>
    </row>
    <row r="498" ht="15.75" customHeight="1">
      <c r="D498" s="28"/>
      <c r="E498" s="28"/>
      <c r="F498" s="28"/>
      <c r="G498" s="28"/>
      <c r="H498" s="28"/>
      <c r="I498" s="28"/>
      <c r="J498" s="28"/>
      <c r="K498" s="28"/>
      <c r="L498" s="28"/>
    </row>
    <row r="499" ht="15.75" customHeight="1">
      <c r="D499" s="28"/>
      <c r="E499" s="28"/>
      <c r="F499" s="28"/>
      <c r="G499" s="28"/>
      <c r="H499" s="28"/>
      <c r="I499" s="28"/>
      <c r="J499" s="28"/>
      <c r="K499" s="28"/>
      <c r="L499" s="28"/>
    </row>
    <row r="500" ht="15.75" customHeight="1">
      <c r="D500" s="28"/>
      <c r="E500" s="28"/>
      <c r="F500" s="28"/>
      <c r="G500" s="28"/>
      <c r="H500" s="28"/>
      <c r="I500" s="28"/>
      <c r="J500" s="28"/>
      <c r="K500" s="28"/>
      <c r="L500" s="28"/>
    </row>
    <row r="501" ht="15.75" customHeight="1">
      <c r="D501" s="28"/>
      <c r="E501" s="28"/>
      <c r="F501" s="28"/>
      <c r="G501" s="28"/>
      <c r="H501" s="28"/>
      <c r="I501" s="28"/>
      <c r="J501" s="28"/>
      <c r="K501" s="28"/>
      <c r="L501" s="28"/>
    </row>
    <row r="502" ht="15.75" customHeight="1">
      <c r="D502" s="28"/>
      <c r="E502" s="28"/>
      <c r="F502" s="28"/>
      <c r="G502" s="28"/>
      <c r="H502" s="28"/>
      <c r="I502" s="28"/>
      <c r="J502" s="28"/>
      <c r="K502" s="28"/>
      <c r="L502" s="28"/>
    </row>
    <row r="503" ht="15.75" customHeight="1">
      <c r="D503" s="28"/>
      <c r="E503" s="28"/>
      <c r="F503" s="28"/>
      <c r="G503" s="28"/>
      <c r="H503" s="28"/>
      <c r="I503" s="28"/>
      <c r="J503" s="28"/>
      <c r="K503" s="28"/>
      <c r="L503" s="28"/>
    </row>
    <row r="504" ht="15.75" customHeight="1">
      <c r="D504" s="28"/>
      <c r="E504" s="28"/>
      <c r="F504" s="28"/>
      <c r="G504" s="28"/>
      <c r="H504" s="28"/>
      <c r="I504" s="28"/>
      <c r="J504" s="28"/>
      <c r="K504" s="28"/>
      <c r="L504" s="28"/>
    </row>
    <row r="505" ht="15.75" customHeight="1">
      <c r="D505" s="28"/>
      <c r="E505" s="28"/>
      <c r="F505" s="28"/>
      <c r="G505" s="28"/>
      <c r="H505" s="28"/>
      <c r="I505" s="28"/>
      <c r="J505" s="28"/>
      <c r="K505" s="28"/>
      <c r="L505" s="28"/>
    </row>
    <row r="506" ht="15.75" customHeight="1">
      <c r="D506" s="28"/>
      <c r="E506" s="28"/>
      <c r="F506" s="28"/>
      <c r="G506" s="28"/>
      <c r="H506" s="28"/>
      <c r="I506" s="28"/>
      <c r="J506" s="28"/>
      <c r="K506" s="28"/>
      <c r="L506" s="28"/>
    </row>
    <row r="507" ht="15.75" customHeight="1">
      <c r="D507" s="28"/>
      <c r="E507" s="28"/>
      <c r="F507" s="28"/>
      <c r="G507" s="28"/>
      <c r="H507" s="28"/>
      <c r="I507" s="28"/>
      <c r="J507" s="28"/>
      <c r="K507" s="28"/>
      <c r="L507" s="28"/>
    </row>
    <row r="508" ht="15.75" customHeight="1">
      <c r="D508" s="28"/>
      <c r="E508" s="28"/>
      <c r="F508" s="28"/>
      <c r="G508" s="28"/>
      <c r="H508" s="28"/>
      <c r="I508" s="28"/>
      <c r="J508" s="28"/>
      <c r="K508" s="28"/>
      <c r="L508" s="28"/>
    </row>
    <row r="509" ht="15.75" customHeight="1">
      <c r="D509" s="28"/>
      <c r="E509" s="28"/>
      <c r="F509" s="28"/>
      <c r="G509" s="28"/>
      <c r="H509" s="28"/>
      <c r="I509" s="28"/>
      <c r="J509" s="28"/>
      <c r="K509" s="28"/>
      <c r="L509" s="28"/>
    </row>
    <row r="510" ht="15.75" customHeight="1">
      <c r="D510" s="28"/>
      <c r="E510" s="28"/>
      <c r="F510" s="28"/>
      <c r="G510" s="28"/>
      <c r="H510" s="28"/>
      <c r="I510" s="28"/>
      <c r="J510" s="28"/>
      <c r="K510" s="28"/>
      <c r="L510" s="28"/>
    </row>
    <row r="511" ht="15.75" customHeight="1">
      <c r="D511" s="28"/>
      <c r="E511" s="28"/>
      <c r="F511" s="28"/>
      <c r="G511" s="28"/>
      <c r="H511" s="28"/>
      <c r="I511" s="28"/>
      <c r="J511" s="28"/>
      <c r="K511" s="28"/>
      <c r="L511" s="28"/>
    </row>
    <row r="512" ht="15.75" customHeight="1">
      <c r="D512" s="28"/>
      <c r="E512" s="28"/>
      <c r="F512" s="28"/>
      <c r="G512" s="28"/>
      <c r="H512" s="28"/>
      <c r="I512" s="28"/>
      <c r="J512" s="28"/>
      <c r="K512" s="28"/>
      <c r="L512" s="28"/>
    </row>
    <row r="513" ht="15.75" customHeight="1">
      <c r="D513" s="28"/>
      <c r="E513" s="28"/>
      <c r="F513" s="28"/>
      <c r="G513" s="28"/>
      <c r="H513" s="28"/>
      <c r="I513" s="28"/>
      <c r="J513" s="28"/>
      <c r="K513" s="28"/>
      <c r="L513" s="28"/>
    </row>
    <row r="514" ht="15.75" customHeight="1">
      <c r="D514" s="28"/>
      <c r="E514" s="28"/>
      <c r="F514" s="28"/>
      <c r="G514" s="28"/>
      <c r="H514" s="28"/>
      <c r="I514" s="28"/>
      <c r="J514" s="28"/>
      <c r="K514" s="28"/>
      <c r="L514" s="28"/>
    </row>
    <row r="515" ht="15.75" customHeight="1">
      <c r="D515" s="28"/>
      <c r="E515" s="28"/>
      <c r="F515" s="28"/>
      <c r="G515" s="28"/>
      <c r="H515" s="28"/>
      <c r="I515" s="28"/>
      <c r="J515" s="28"/>
      <c r="K515" s="28"/>
      <c r="L515" s="28"/>
    </row>
    <row r="516" ht="15.75" customHeight="1">
      <c r="D516" s="28"/>
      <c r="E516" s="28"/>
      <c r="F516" s="28"/>
      <c r="G516" s="28"/>
      <c r="H516" s="28"/>
      <c r="I516" s="28"/>
      <c r="J516" s="28"/>
      <c r="K516" s="28"/>
      <c r="L516" s="28"/>
    </row>
    <row r="517" ht="15.75" customHeight="1">
      <c r="D517" s="28"/>
      <c r="E517" s="28"/>
      <c r="F517" s="28"/>
      <c r="G517" s="28"/>
      <c r="H517" s="28"/>
      <c r="I517" s="28"/>
      <c r="J517" s="28"/>
      <c r="K517" s="28"/>
      <c r="L517" s="28"/>
    </row>
    <row r="518" ht="15.75" customHeight="1">
      <c r="D518" s="28"/>
      <c r="E518" s="28"/>
      <c r="F518" s="28"/>
      <c r="G518" s="28"/>
      <c r="H518" s="28"/>
      <c r="I518" s="28"/>
      <c r="J518" s="28"/>
      <c r="K518" s="28"/>
      <c r="L518" s="28"/>
    </row>
    <row r="519" ht="15.75" customHeight="1">
      <c r="D519" s="28"/>
      <c r="E519" s="28"/>
      <c r="F519" s="28"/>
      <c r="G519" s="28"/>
      <c r="H519" s="28"/>
      <c r="I519" s="28"/>
      <c r="J519" s="28"/>
      <c r="K519" s="28"/>
      <c r="L519" s="28"/>
    </row>
    <row r="520" ht="15.75" customHeight="1">
      <c r="D520" s="28"/>
      <c r="E520" s="28"/>
      <c r="F520" s="28"/>
      <c r="G520" s="28"/>
      <c r="H520" s="28"/>
      <c r="I520" s="28"/>
      <c r="J520" s="28"/>
      <c r="K520" s="28"/>
      <c r="L520" s="28"/>
    </row>
    <row r="521" ht="15.75" customHeight="1">
      <c r="D521" s="28"/>
      <c r="E521" s="28"/>
      <c r="F521" s="28"/>
      <c r="G521" s="28"/>
      <c r="H521" s="28"/>
      <c r="I521" s="28"/>
      <c r="J521" s="28"/>
      <c r="K521" s="28"/>
      <c r="L521" s="28"/>
    </row>
    <row r="522" ht="15.75" customHeight="1">
      <c r="D522" s="28"/>
      <c r="E522" s="28"/>
      <c r="F522" s="28"/>
      <c r="G522" s="28"/>
      <c r="H522" s="28"/>
      <c r="I522" s="28"/>
      <c r="J522" s="28"/>
      <c r="K522" s="28"/>
      <c r="L522" s="28"/>
    </row>
    <row r="523" ht="15.75" customHeight="1">
      <c r="D523" s="28"/>
      <c r="E523" s="28"/>
      <c r="F523" s="28"/>
      <c r="G523" s="28"/>
      <c r="H523" s="28"/>
      <c r="I523" s="28"/>
      <c r="J523" s="28"/>
      <c r="K523" s="28"/>
      <c r="L523" s="28"/>
    </row>
    <row r="524" ht="15.75" customHeight="1">
      <c r="D524" s="28"/>
      <c r="E524" s="28"/>
      <c r="F524" s="28"/>
      <c r="G524" s="28"/>
      <c r="H524" s="28"/>
      <c r="I524" s="28"/>
      <c r="J524" s="28"/>
      <c r="K524" s="28"/>
      <c r="L524" s="28"/>
    </row>
    <row r="525" ht="15.75" customHeight="1">
      <c r="D525" s="28"/>
      <c r="E525" s="28"/>
      <c r="F525" s="28"/>
      <c r="G525" s="28"/>
      <c r="H525" s="28"/>
      <c r="I525" s="28"/>
      <c r="J525" s="28"/>
      <c r="K525" s="28"/>
      <c r="L525" s="28"/>
    </row>
    <row r="526" ht="15.75" customHeight="1">
      <c r="D526" s="28"/>
      <c r="E526" s="28"/>
      <c r="F526" s="28"/>
      <c r="G526" s="28"/>
      <c r="H526" s="28"/>
      <c r="I526" s="28"/>
      <c r="J526" s="28"/>
      <c r="K526" s="28"/>
      <c r="L526" s="28"/>
    </row>
    <row r="527" ht="15.75" customHeight="1">
      <c r="D527" s="28"/>
      <c r="E527" s="28"/>
      <c r="F527" s="28"/>
      <c r="G527" s="28"/>
      <c r="H527" s="28"/>
      <c r="I527" s="28"/>
      <c r="J527" s="28"/>
      <c r="K527" s="28"/>
      <c r="L527" s="28"/>
    </row>
    <row r="528" ht="15.75" customHeight="1">
      <c r="D528" s="28"/>
      <c r="E528" s="28"/>
      <c r="F528" s="28"/>
      <c r="G528" s="28"/>
      <c r="H528" s="28"/>
      <c r="I528" s="28"/>
      <c r="J528" s="28"/>
      <c r="K528" s="28"/>
      <c r="L528" s="28"/>
    </row>
    <row r="529" ht="15.75" customHeight="1">
      <c r="D529" s="28"/>
      <c r="E529" s="28"/>
      <c r="F529" s="28"/>
      <c r="G529" s="28"/>
      <c r="H529" s="28"/>
      <c r="I529" s="28"/>
      <c r="J529" s="28"/>
      <c r="K529" s="28"/>
      <c r="L529" s="28"/>
    </row>
    <row r="530" ht="15.75" customHeight="1">
      <c r="D530" s="28"/>
      <c r="E530" s="28"/>
      <c r="F530" s="28"/>
      <c r="G530" s="28"/>
      <c r="H530" s="28"/>
      <c r="I530" s="28"/>
      <c r="J530" s="28"/>
      <c r="K530" s="28"/>
      <c r="L530" s="28"/>
    </row>
    <row r="531" ht="15.75" customHeight="1">
      <c r="D531" s="28"/>
      <c r="E531" s="28"/>
      <c r="F531" s="28"/>
      <c r="G531" s="28"/>
      <c r="H531" s="28"/>
      <c r="I531" s="28"/>
      <c r="J531" s="28"/>
      <c r="K531" s="28"/>
      <c r="L531" s="28"/>
    </row>
    <row r="532" ht="15.75" customHeight="1">
      <c r="D532" s="28"/>
      <c r="E532" s="28"/>
      <c r="F532" s="28"/>
      <c r="G532" s="28"/>
      <c r="H532" s="28"/>
      <c r="I532" s="28"/>
      <c r="J532" s="28"/>
      <c r="K532" s="28"/>
      <c r="L532" s="28"/>
    </row>
    <row r="533" ht="15.75" customHeight="1">
      <c r="D533" s="28"/>
      <c r="E533" s="28"/>
      <c r="F533" s="28"/>
      <c r="G533" s="28"/>
      <c r="H533" s="28"/>
      <c r="I533" s="28"/>
      <c r="J533" s="28"/>
      <c r="K533" s="28"/>
      <c r="L533" s="28"/>
    </row>
    <row r="534" ht="15.75" customHeight="1">
      <c r="D534" s="28"/>
      <c r="E534" s="28"/>
      <c r="F534" s="28"/>
      <c r="G534" s="28"/>
      <c r="H534" s="28"/>
      <c r="I534" s="28"/>
      <c r="J534" s="28"/>
      <c r="K534" s="28"/>
      <c r="L534" s="28"/>
    </row>
    <row r="535" ht="15.75" customHeight="1">
      <c r="D535" s="28"/>
      <c r="E535" s="28"/>
      <c r="F535" s="28"/>
      <c r="G535" s="28"/>
      <c r="H535" s="28"/>
      <c r="I535" s="28"/>
      <c r="J535" s="28"/>
      <c r="K535" s="28"/>
      <c r="L535" s="28"/>
    </row>
    <row r="536" ht="15.75" customHeight="1">
      <c r="D536" s="28"/>
      <c r="E536" s="28"/>
      <c r="F536" s="28"/>
      <c r="G536" s="28"/>
      <c r="H536" s="28"/>
      <c r="I536" s="28"/>
      <c r="J536" s="28"/>
      <c r="K536" s="28"/>
      <c r="L536" s="28"/>
    </row>
    <row r="537" ht="15.75" customHeight="1">
      <c r="D537" s="28"/>
      <c r="E537" s="28"/>
      <c r="F537" s="28"/>
      <c r="G537" s="28"/>
      <c r="H537" s="28"/>
      <c r="I537" s="28"/>
      <c r="J537" s="28"/>
      <c r="K537" s="28"/>
      <c r="L537" s="28"/>
    </row>
    <row r="538" ht="15.75" customHeight="1">
      <c r="D538" s="28"/>
      <c r="E538" s="28"/>
      <c r="F538" s="28"/>
      <c r="G538" s="28"/>
      <c r="H538" s="28"/>
      <c r="I538" s="28"/>
      <c r="J538" s="28"/>
      <c r="K538" s="28"/>
      <c r="L538" s="28"/>
    </row>
    <row r="539" ht="15.75" customHeight="1">
      <c r="D539" s="28"/>
      <c r="E539" s="28"/>
      <c r="F539" s="28"/>
      <c r="G539" s="28"/>
      <c r="H539" s="28"/>
      <c r="I539" s="28"/>
      <c r="J539" s="28"/>
      <c r="K539" s="28"/>
      <c r="L539" s="28"/>
    </row>
    <row r="540" ht="15.75" customHeight="1">
      <c r="D540" s="28"/>
      <c r="E540" s="28"/>
      <c r="F540" s="28"/>
      <c r="G540" s="28"/>
      <c r="H540" s="28"/>
      <c r="I540" s="28"/>
      <c r="J540" s="28"/>
      <c r="K540" s="28"/>
      <c r="L540" s="28"/>
    </row>
    <row r="541" ht="15.75" customHeight="1">
      <c r="D541" s="28"/>
      <c r="E541" s="28"/>
      <c r="F541" s="28"/>
      <c r="G541" s="28"/>
      <c r="H541" s="28"/>
      <c r="I541" s="28"/>
      <c r="J541" s="28"/>
      <c r="K541" s="28"/>
      <c r="L541" s="28"/>
    </row>
    <row r="542" ht="15.75" customHeight="1">
      <c r="D542" s="28"/>
      <c r="E542" s="28"/>
      <c r="F542" s="28"/>
      <c r="G542" s="28"/>
      <c r="H542" s="28"/>
      <c r="I542" s="28"/>
      <c r="J542" s="28"/>
      <c r="K542" s="28"/>
      <c r="L542" s="28"/>
    </row>
    <row r="543" ht="15.75" customHeight="1">
      <c r="D543" s="28"/>
      <c r="E543" s="28"/>
      <c r="F543" s="28"/>
      <c r="G543" s="28"/>
      <c r="H543" s="28"/>
      <c r="I543" s="28"/>
      <c r="J543" s="28"/>
      <c r="K543" s="28"/>
      <c r="L543" s="28"/>
    </row>
    <row r="544" ht="15.75" customHeight="1">
      <c r="D544" s="28"/>
      <c r="E544" s="28"/>
      <c r="F544" s="28"/>
      <c r="G544" s="28"/>
      <c r="H544" s="28"/>
      <c r="I544" s="28"/>
      <c r="J544" s="28"/>
      <c r="K544" s="28"/>
      <c r="L544" s="28"/>
    </row>
    <row r="545" ht="15.75" customHeight="1">
      <c r="D545" s="28"/>
      <c r="E545" s="28"/>
      <c r="F545" s="28"/>
      <c r="G545" s="28"/>
      <c r="H545" s="28"/>
      <c r="I545" s="28"/>
      <c r="J545" s="28"/>
      <c r="K545" s="28"/>
      <c r="L545" s="28"/>
    </row>
    <row r="546" ht="15.75" customHeight="1">
      <c r="D546" s="28"/>
      <c r="E546" s="28"/>
      <c r="F546" s="28"/>
      <c r="G546" s="28"/>
      <c r="H546" s="28"/>
      <c r="I546" s="28"/>
      <c r="J546" s="28"/>
      <c r="K546" s="28"/>
      <c r="L546" s="28"/>
    </row>
    <row r="547" ht="15.75" customHeight="1">
      <c r="D547" s="28"/>
      <c r="E547" s="28"/>
      <c r="F547" s="28"/>
      <c r="G547" s="28"/>
      <c r="H547" s="28"/>
      <c r="I547" s="28"/>
      <c r="J547" s="28"/>
      <c r="K547" s="28"/>
      <c r="L547" s="28"/>
    </row>
    <row r="548" ht="15.75" customHeight="1">
      <c r="D548" s="28"/>
      <c r="E548" s="28"/>
      <c r="F548" s="28"/>
      <c r="G548" s="28"/>
      <c r="H548" s="28"/>
      <c r="I548" s="28"/>
      <c r="J548" s="28"/>
      <c r="K548" s="28"/>
      <c r="L548" s="28"/>
    </row>
    <row r="549" ht="15.75" customHeight="1">
      <c r="D549" s="28"/>
      <c r="E549" s="28"/>
      <c r="F549" s="28"/>
      <c r="G549" s="28"/>
      <c r="H549" s="28"/>
      <c r="I549" s="28"/>
      <c r="J549" s="28"/>
      <c r="K549" s="28"/>
      <c r="L549" s="28"/>
    </row>
    <row r="550" ht="15.75" customHeight="1">
      <c r="D550" s="28"/>
      <c r="E550" s="28"/>
      <c r="F550" s="28"/>
      <c r="G550" s="28"/>
      <c r="H550" s="28"/>
      <c r="I550" s="28"/>
      <c r="J550" s="28"/>
      <c r="K550" s="28"/>
      <c r="L550" s="28"/>
    </row>
    <row r="551" ht="15.75" customHeight="1">
      <c r="D551" s="28"/>
      <c r="E551" s="28"/>
      <c r="F551" s="28"/>
      <c r="G551" s="28"/>
      <c r="H551" s="28"/>
      <c r="I551" s="28"/>
      <c r="J551" s="28"/>
      <c r="K551" s="28"/>
      <c r="L551" s="28"/>
    </row>
    <row r="552" ht="15.75" customHeight="1">
      <c r="D552" s="28"/>
      <c r="E552" s="28"/>
      <c r="F552" s="28"/>
      <c r="G552" s="28"/>
      <c r="H552" s="28"/>
      <c r="I552" s="28"/>
      <c r="J552" s="28"/>
      <c r="K552" s="28"/>
      <c r="L552" s="28"/>
    </row>
    <row r="553" ht="15.75" customHeight="1">
      <c r="D553" s="28"/>
      <c r="E553" s="28"/>
      <c r="F553" s="28"/>
      <c r="G553" s="28"/>
      <c r="H553" s="28"/>
      <c r="I553" s="28"/>
      <c r="J553" s="28"/>
      <c r="K553" s="28"/>
      <c r="L553" s="28"/>
    </row>
    <row r="554" ht="15.75" customHeight="1">
      <c r="D554" s="28"/>
      <c r="E554" s="28"/>
      <c r="F554" s="28"/>
      <c r="G554" s="28"/>
      <c r="H554" s="28"/>
      <c r="I554" s="28"/>
      <c r="J554" s="28"/>
      <c r="K554" s="28"/>
      <c r="L554" s="28"/>
    </row>
    <row r="555" ht="15.75" customHeight="1">
      <c r="D555" s="28"/>
      <c r="E555" s="28"/>
      <c r="F555" s="28"/>
      <c r="G555" s="28"/>
      <c r="H555" s="28"/>
      <c r="I555" s="28"/>
      <c r="J555" s="28"/>
      <c r="K555" s="28"/>
      <c r="L555" s="28"/>
    </row>
    <row r="556" ht="15.75" customHeight="1">
      <c r="D556" s="28"/>
      <c r="E556" s="28"/>
      <c r="F556" s="28"/>
      <c r="G556" s="28"/>
      <c r="H556" s="28"/>
      <c r="I556" s="28"/>
      <c r="J556" s="28"/>
      <c r="K556" s="28"/>
      <c r="L556" s="28"/>
    </row>
    <row r="557" ht="15.75" customHeight="1">
      <c r="D557" s="28"/>
      <c r="E557" s="28"/>
      <c r="F557" s="28"/>
      <c r="G557" s="28"/>
      <c r="H557" s="28"/>
      <c r="I557" s="28"/>
      <c r="J557" s="28"/>
      <c r="K557" s="28"/>
      <c r="L557" s="28"/>
    </row>
    <row r="558" ht="15.75" customHeight="1">
      <c r="D558" s="28"/>
      <c r="E558" s="28"/>
      <c r="F558" s="28"/>
      <c r="G558" s="28"/>
      <c r="H558" s="28"/>
      <c r="I558" s="28"/>
      <c r="J558" s="28"/>
      <c r="K558" s="28"/>
      <c r="L558" s="28"/>
    </row>
    <row r="559" ht="15.75" customHeight="1">
      <c r="D559" s="28"/>
      <c r="E559" s="28"/>
      <c r="F559" s="28"/>
      <c r="G559" s="28"/>
      <c r="H559" s="28"/>
      <c r="I559" s="28"/>
      <c r="J559" s="28"/>
      <c r="K559" s="28"/>
      <c r="L559" s="28"/>
    </row>
    <row r="560" ht="15.75" customHeight="1">
      <c r="D560" s="28"/>
      <c r="E560" s="28"/>
      <c r="F560" s="28"/>
      <c r="G560" s="28"/>
      <c r="H560" s="28"/>
      <c r="I560" s="28"/>
      <c r="J560" s="28"/>
      <c r="K560" s="28"/>
      <c r="L560" s="28"/>
    </row>
    <row r="561" ht="15.75" customHeight="1">
      <c r="D561" s="28"/>
      <c r="E561" s="28"/>
      <c r="F561" s="28"/>
      <c r="G561" s="28"/>
      <c r="H561" s="28"/>
      <c r="I561" s="28"/>
      <c r="J561" s="28"/>
      <c r="K561" s="28"/>
      <c r="L561" s="28"/>
    </row>
    <row r="562" ht="15.75" customHeight="1">
      <c r="D562" s="28"/>
      <c r="E562" s="28"/>
      <c r="F562" s="28"/>
      <c r="G562" s="28"/>
      <c r="H562" s="28"/>
      <c r="I562" s="28"/>
      <c r="J562" s="28"/>
      <c r="K562" s="28"/>
      <c r="L562" s="28"/>
    </row>
    <row r="563" ht="15.75" customHeight="1">
      <c r="D563" s="28"/>
      <c r="E563" s="28"/>
      <c r="F563" s="28"/>
      <c r="G563" s="28"/>
      <c r="H563" s="28"/>
      <c r="I563" s="28"/>
      <c r="J563" s="28"/>
      <c r="K563" s="28"/>
      <c r="L563" s="28"/>
    </row>
    <row r="564" ht="15.75" customHeight="1">
      <c r="D564" s="28"/>
      <c r="E564" s="28"/>
      <c r="F564" s="28"/>
      <c r="G564" s="28"/>
      <c r="H564" s="28"/>
      <c r="I564" s="28"/>
      <c r="J564" s="28"/>
      <c r="K564" s="28"/>
      <c r="L564" s="28"/>
    </row>
    <row r="565" ht="15.75" customHeight="1">
      <c r="D565" s="28"/>
      <c r="E565" s="28"/>
      <c r="F565" s="28"/>
      <c r="G565" s="28"/>
      <c r="H565" s="28"/>
      <c r="I565" s="28"/>
      <c r="J565" s="28"/>
      <c r="K565" s="28"/>
      <c r="L565" s="28"/>
    </row>
    <row r="566" ht="15.75" customHeight="1">
      <c r="D566" s="28"/>
      <c r="E566" s="28"/>
      <c r="F566" s="28"/>
      <c r="G566" s="28"/>
      <c r="H566" s="28"/>
      <c r="I566" s="28"/>
      <c r="J566" s="28"/>
      <c r="K566" s="28"/>
      <c r="L566" s="28"/>
    </row>
    <row r="567" ht="15.75" customHeight="1">
      <c r="D567" s="28"/>
      <c r="E567" s="28"/>
      <c r="F567" s="28"/>
      <c r="G567" s="28"/>
      <c r="H567" s="28"/>
      <c r="I567" s="28"/>
      <c r="J567" s="28"/>
      <c r="K567" s="28"/>
      <c r="L567" s="28"/>
    </row>
    <row r="568" ht="15.75" customHeight="1">
      <c r="D568" s="28"/>
      <c r="E568" s="28"/>
      <c r="F568" s="28"/>
      <c r="G568" s="28"/>
      <c r="H568" s="28"/>
      <c r="I568" s="28"/>
      <c r="J568" s="28"/>
      <c r="K568" s="28"/>
      <c r="L568" s="28"/>
    </row>
    <row r="569" ht="15.75" customHeight="1">
      <c r="D569" s="28"/>
      <c r="E569" s="28"/>
      <c r="F569" s="28"/>
      <c r="G569" s="28"/>
      <c r="H569" s="28"/>
      <c r="I569" s="28"/>
      <c r="J569" s="28"/>
      <c r="K569" s="28"/>
      <c r="L569" s="28"/>
    </row>
    <row r="570" ht="15.75" customHeight="1">
      <c r="D570" s="28"/>
      <c r="E570" s="28"/>
      <c r="F570" s="28"/>
      <c r="G570" s="28"/>
      <c r="H570" s="28"/>
      <c r="I570" s="28"/>
      <c r="J570" s="28"/>
      <c r="K570" s="28"/>
      <c r="L570" s="28"/>
    </row>
    <row r="571" ht="15.75" customHeight="1">
      <c r="D571" s="28"/>
      <c r="E571" s="28"/>
      <c r="F571" s="28"/>
      <c r="G571" s="28"/>
      <c r="H571" s="28"/>
      <c r="I571" s="28"/>
      <c r="J571" s="28"/>
      <c r="K571" s="28"/>
      <c r="L571" s="28"/>
    </row>
    <row r="572" ht="15.75" customHeight="1">
      <c r="D572" s="28"/>
      <c r="E572" s="28"/>
      <c r="F572" s="28"/>
      <c r="G572" s="28"/>
      <c r="H572" s="28"/>
      <c r="I572" s="28"/>
      <c r="J572" s="28"/>
      <c r="K572" s="28"/>
      <c r="L572" s="28"/>
    </row>
    <row r="573" ht="15.75" customHeight="1">
      <c r="D573" s="28"/>
      <c r="E573" s="28"/>
      <c r="F573" s="28"/>
      <c r="G573" s="28"/>
      <c r="H573" s="28"/>
      <c r="I573" s="28"/>
      <c r="J573" s="28"/>
      <c r="K573" s="28"/>
      <c r="L573" s="28"/>
    </row>
    <row r="574" ht="15.75" customHeight="1">
      <c r="D574" s="28"/>
      <c r="E574" s="28"/>
      <c r="F574" s="28"/>
      <c r="G574" s="28"/>
      <c r="H574" s="28"/>
      <c r="I574" s="28"/>
      <c r="J574" s="28"/>
      <c r="K574" s="28"/>
      <c r="L574" s="28"/>
    </row>
    <row r="575" ht="15.75" customHeight="1">
      <c r="D575" s="28"/>
      <c r="E575" s="28"/>
      <c r="F575" s="28"/>
      <c r="G575" s="28"/>
      <c r="H575" s="28"/>
      <c r="I575" s="28"/>
      <c r="J575" s="28"/>
      <c r="K575" s="28"/>
      <c r="L575" s="28"/>
    </row>
    <row r="576" ht="15.75" customHeight="1">
      <c r="D576" s="28"/>
      <c r="E576" s="28"/>
      <c r="F576" s="28"/>
      <c r="G576" s="28"/>
      <c r="H576" s="28"/>
      <c r="I576" s="28"/>
      <c r="J576" s="28"/>
      <c r="K576" s="28"/>
      <c r="L576" s="28"/>
    </row>
    <row r="577" ht="15.75" customHeight="1">
      <c r="D577" s="28"/>
      <c r="E577" s="28"/>
      <c r="F577" s="28"/>
      <c r="G577" s="28"/>
      <c r="H577" s="28"/>
      <c r="I577" s="28"/>
      <c r="J577" s="28"/>
      <c r="K577" s="28"/>
      <c r="L577" s="28"/>
    </row>
    <row r="578" ht="15.75" customHeight="1">
      <c r="D578" s="28"/>
      <c r="E578" s="28"/>
      <c r="F578" s="28"/>
      <c r="G578" s="28"/>
      <c r="H578" s="28"/>
      <c r="I578" s="28"/>
      <c r="J578" s="28"/>
      <c r="K578" s="28"/>
      <c r="L578" s="28"/>
    </row>
    <row r="579" ht="15.75" customHeight="1">
      <c r="D579" s="28"/>
      <c r="E579" s="28"/>
      <c r="F579" s="28"/>
      <c r="G579" s="28"/>
      <c r="H579" s="28"/>
      <c r="I579" s="28"/>
      <c r="J579" s="28"/>
      <c r="K579" s="28"/>
      <c r="L579" s="28"/>
    </row>
    <row r="580" ht="15.75" customHeight="1">
      <c r="D580" s="28"/>
      <c r="E580" s="28"/>
      <c r="F580" s="28"/>
      <c r="G580" s="28"/>
      <c r="H580" s="28"/>
      <c r="I580" s="28"/>
      <c r="J580" s="28"/>
      <c r="K580" s="28"/>
      <c r="L580" s="28"/>
    </row>
    <row r="581" ht="15.75" customHeight="1">
      <c r="D581" s="28"/>
      <c r="E581" s="28"/>
      <c r="F581" s="28"/>
      <c r="G581" s="28"/>
      <c r="H581" s="28"/>
      <c r="I581" s="28"/>
      <c r="J581" s="28"/>
      <c r="K581" s="28"/>
      <c r="L581" s="28"/>
    </row>
    <row r="582" ht="15.75" customHeight="1">
      <c r="D582" s="28"/>
      <c r="E582" s="28"/>
      <c r="F582" s="28"/>
      <c r="G582" s="28"/>
      <c r="H582" s="28"/>
      <c r="I582" s="28"/>
      <c r="J582" s="28"/>
      <c r="K582" s="28"/>
      <c r="L582" s="28"/>
    </row>
    <row r="583" ht="15.75" customHeight="1">
      <c r="D583" s="28"/>
      <c r="E583" s="28"/>
      <c r="F583" s="28"/>
      <c r="G583" s="28"/>
      <c r="H583" s="28"/>
      <c r="I583" s="28"/>
      <c r="J583" s="28"/>
      <c r="K583" s="28"/>
      <c r="L583" s="28"/>
    </row>
    <row r="584" ht="15.75" customHeight="1">
      <c r="D584" s="28"/>
      <c r="E584" s="28"/>
      <c r="F584" s="28"/>
      <c r="G584" s="28"/>
      <c r="H584" s="28"/>
      <c r="I584" s="28"/>
      <c r="J584" s="28"/>
      <c r="K584" s="28"/>
      <c r="L584" s="28"/>
    </row>
    <row r="585" ht="15.75" customHeight="1">
      <c r="D585" s="28"/>
      <c r="E585" s="28"/>
      <c r="F585" s="28"/>
      <c r="G585" s="28"/>
      <c r="H585" s="28"/>
      <c r="I585" s="28"/>
      <c r="J585" s="28"/>
      <c r="K585" s="28"/>
      <c r="L585" s="28"/>
    </row>
    <row r="586" ht="15.75" customHeight="1">
      <c r="D586" s="28"/>
      <c r="E586" s="28"/>
      <c r="F586" s="28"/>
      <c r="G586" s="28"/>
      <c r="H586" s="28"/>
      <c r="I586" s="28"/>
      <c r="J586" s="28"/>
      <c r="K586" s="28"/>
      <c r="L586" s="28"/>
    </row>
    <row r="587" ht="15.75" customHeight="1">
      <c r="D587" s="28"/>
      <c r="E587" s="28"/>
      <c r="F587" s="28"/>
      <c r="G587" s="28"/>
      <c r="H587" s="28"/>
      <c r="I587" s="28"/>
      <c r="J587" s="28"/>
      <c r="K587" s="28"/>
      <c r="L587" s="28"/>
    </row>
    <row r="588" ht="15.75" customHeight="1">
      <c r="D588" s="28"/>
      <c r="E588" s="28"/>
      <c r="F588" s="28"/>
      <c r="G588" s="28"/>
      <c r="H588" s="28"/>
      <c r="I588" s="28"/>
      <c r="J588" s="28"/>
      <c r="K588" s="28"/>
      <c r="L588" s="28"/>
    </row>
    <row r="589" ht="15.75" customHeight="1">
      <c r="D589" s="28"/>
      <c r="E589" s="28"/>
      <c r="F589" s="28"/>
      <c r="G589" s="28"/>
      <c r="H589" s="28"/>
      <c r="I589" s="28"/>
      <c r="J589" s="28"/>
      <c r="K589" s="28"/>
      <c r="L589" s="28"/>
    </row>
    <row r="590" ht="15.75" customHeight="1">
      <c r="D590" s="28"/>
      <c r="E590" s="28"/>
      <c r="F590" s="28"/>
      <c r="G590" s="28"/>
      <c r="H590" s="28"/>
      <c r="I590" s="28"/>
      <c r="J590" s="28"/>
      <c r="K590" s="28"/>
      <c r="L590" s="28"/>
    </row>
    <row r="591" ht="15.75" customHeight="1">
      <c r="D591" s="28"/>
      <c r="E591" s="28"/>
      <c r="F591" s="28"/>
      <c r="G591" s="28"/>
      <c r="H591" s="28"/>
      <c r="I591" s="28"/>
      <c r="J591" s="28"/>
      <c r="K591" s="28"/>
      <c r="L591" s="28"/>
    </row>
    <row r="592" ht="15.75" customHeight="1">
      <c r="D592" s="28"/>
      <c r="E592" s="28"/>
      <c r="F592" s="28"/>
      <c r="G592" s="28"/>
      <c r="H592" s="28"/>
      <c r="I592" s="28"/>
      <c r="J592" s="28"/>
      <c r="K592" s="28"/>
      <c r="L592" s="28"/>
    </row>
    <row r="593" ht="15.75" customHeight="1">
      <c r="D593" s="28"/>
      <c r="E593" s="28"/>
      <c r="F593" s="28"/>
      <c r="G593" s="28"/>
      <c r="H593" s="28"/>
      <c r="I593" s="28"/>
      <c r="J593" s="28"/>
      <c r="K593" s="28"/>
      <c r="L593" s="28"/>
    </row>
    <row r="594" ht="15.75" customHeight="1">
      <c r="D594" s="28"/>
      <c r="E594" s="28"/>
      <c r="F594" s="28"/>
      <c r="G594" s="28"/>
      <c r="H594" s="28"/>
      <c r="I594" s="28"/>
      <c r="J594" s="28"/>
      <c r="K594" s="28"/>
      <c r="L594" s="28"/>
    </row>
    <row r="595" ht="15.75" customHeight="1">
      <c r="D595" s="28"/>
      <c r="E595" s="28"/>
      <c r="F595" s="28"/>
      <c r="G595" s="28"/>
      <c r="H595" s="28"/>
      <c r="I595" s="28"/>
      <c r="J595" s="28"/>
      <c r="K595" s="28"/>
      <c r="L595" s="28"/>
    </row>
    <row r="596" ht="15.75" customHeight="1">
      <c r="D596" s="28"/>
      <c r="E596" s="28"/>
      <c r="F596" s="28"/>
      <c r="G596" s="28"/>
      <c r="H596" s="28"/>
      <c r="I596" s="28"/>
      <c r="J596" s="28"/>
      <c r="K596" s="28"/>
      <c r="L596" s="28"/>
    </row>
    <row r="597" ht="15.75" customHeight="1">
      <c r="D597" s="28"/>
      <c r="E597" s="28"/>
      <c r="F597" s="28"/>
      <c r="G597" s="28"/>
      <c r="H597" s="28"/>
      <c r="I597" s="28"/>
      <c r="J597" s="28"/>
      <c r="K597" s="28"/>
      <c r="L597" s="28"/>
    </row>
    <row r="598" ht="15.75" customHeight="1">
      <c r="D598" s="28"/>
      <c r="E598" s="28"/>
      <c r="F598" s="28"/>
      <c r="G598" s="28"/>
      <c r="H598" s="28"/>
      <c r="I598" s="28"/>
      <c r="J598" s="28"/>
      <c r="K598" s="28"/>
      <c r="L598" s="28"/>
    </row>
    <row r="599" ht="15.75" customHeight="1">
      <c r="D599" s="28"/>
      <c r="E599" s="28"/>
      <c r="F599" s="28"/>
      <c r="G599" s="28"/>
      <c r="H599" s="28"/>
      <c r="I599" s="28"/>
      <c r="J599" s="28"/>
      <c r="K599" s="28"/>
      <c r="L599" s="28"/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