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neyder\Downloads\"/>
    </mc:Choice>
  </mc:AlternateContent>
  <xr:revisionPtr revIDLastSave="0" documentId="13_ncr:2001_{2EC4B824-A9C3-48DB-8DB4-F77DCEA54087}" xr6:coauthVersionLast="47" xr6:coauthVersionMax="47" xr10:uidLastSave="{00000000-0000-0000-0000-000000000000}"/>
  <bookViews>
    <workbookView xWindow="-120" yWindow="-120" windowWidth="29040" windowHeight="15720" xr2:uid="{1B87BCEB-B6AE-4C0A-8D22-4EAFFC05ED3F}"/>
  </bookViews>
  <sheets>
    <sheet name="S-PLAN" sheetId="1" r:id="rId1"/>
    <sheet name="Ejes" sheetId="7" r:id="rId2"/>
    <sheet name="Proyectos" sheetId="6" r:id="rId3"/>
    <sheet name="Responsables" sheetId="8" r:id="rId4"/>
  </sheets>
  <externalReferences>
    <externalReference r:id="rId5"/>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528" i="1" l="1"/>
  <c r="AO527" i="1"/>
  <c r="AO526" i="1"/>
  <c r="AO525" i="1"/>
  <c r="AO524" i="1"/>
  <c r="AO523" i="1"/>
  <c r="AO522" i="1"/>
  <c r="AO521" i="1"/>
  <c r="AO520" i="1"/>
  <c r="AO519" i="1"/>
  <c r="AO518" i="1"/>
  <c r="AO517" i="1"/>
  <c r="AO516" i="1"/>
  <c r="AO515" i="1"/>
  <c r="AO514" i="1"/>
  <c r="AO513" i="1"/>
  <c r="AO512" i="1"/>
  <c r="AO511" i="1"/>
  <c r="AO510" i="1"/>
  <c r="AO509" i="1"/>
  <c r="AO508" i="1"/>
  <c r="AO507" i="1"/>
  <c r="AO506" i="1"/>
  <c r="AO505" i="1"/>
  <c r="AO504" i="1"/>
  <c r="AO503" i="1"/>
  <c r="AO502" i="1"/>
  <c r="AO501" i="1"/>
  <c r="AO500" i="1"/>
  <c r="AO499" i="1"/>
  <c r="AO498" i="1"/>
  <c r="AO497" i="1"/>
  <c r="AO496" i="1"/>
  <c r="AO495" i="1"/>
  <c r="AO494" i="1"/>
  <c r="AO493" i="1"/>
  <c r="AO492" i="1"/>
  <c r="AO491" i="1"/>
  <c r="AO490" i="1"/>
  <c r="AO489" i="1"/>
  <c r="AO488" i="1"/>
  <c r="AO487" i="1"/>
  <c r="AO486" i="1"/>
  <c r="AO485" i="1"/>
  <c r="AO484" i="1"/>
  <c r="AO483" i="1"/>
  <c r="AO482" i="1"/>
  <c r="AO481" i="1"/>
  <c r="AO480" i="1"/>
  <c r="AO479" i="1"/>
  <c r="AO478" i="1"/>
  <c r="AO477" i="1"/>
  <c r="AO476" i="1"/>
  <c r="AO475" i="1"/>
  <c r="AO474" i="1"/>
  <c r="AO473" i="1"/>
  <c r="AO472" i="1"/>
  <c r="AO471" i="1"/>
  <c r="AO470" i="1"/>
  <c r="AO469" i="1"/>
  <c r="AO468" i="1"/>
  <c r="AO467" i="1"/>
  <c r="AO466" i="1"/>
  <c r="AO465" i="1"/>
  <c r="AO464" i="1"/>
  <c r="AO463" i="1"/>
  <c r="AO462" i="1"/>
  <c r="AO461" i="1"/>
  <c r="AO460" i="1"/>
  <c r="AO459" i="1"/>
  <c r="AO458" i="1"/>
  <c r="AO457" i="1"/>
  <c r="AO456" i="1"/>
  <c r="AO455" i="1"/>
  <c r="AO454" i="1"/>
  <c r="AO453" i="1"/>
  <c r="AO452" i="1"/>
  <c r="AO451" i="1"/>
  <c r="AO450" i="1"/>
  <c r="AO449" i="1"/>
  <c r="AO448" i="1"/>
  <c r="AO447" i="1"/>
  <c r="AO446" i="1"/>
  <c r="AO445" i="1"/>
  <c r="AO444" i="1"/>
  <c r="AO443" i="1"/>
  <c r="AO442" i="1"/>
  <c r="AO441" i="1"/>
  <c r="AO440" i="1"/>
  <c r="AO439" i="1"/>
  <c r="AO438" i="1"/>
  <c r="AO437" i="1"/>
  <c r="AO436" i="1"/>
  <c r="AO435" i="1"/>
  <c r="AO434" i="1"/>
  <c r="AO433" i="1"/>
  <c r="AO432" i="1"/>
  <c r="AO431" i="1"/>
  <c r="AO430" i="1"/>
  <c r="AO429" i="1"/>
  <c r="AO428" i="1"/>
  <c r="AO427" i="1"/>
  <c r="AO426" i="1"/>
  <c r="AO425" i="1"/>
  <c r="AO424" i="1"/>
  <c r="AO423" i="1"/>
  <c r="AO422" i="1"/>
  <c r="AO421" i="1"/>
  <c r="AO420" i="1"/>
  <c r="AO419" i="1"/>
  <c r="AO418" i="1"/>
  <c r="AO417" i="1"/>
  <c r="AO416" i="1"/>
  <c r="AO415" i="1"/>
  <c r="AO414" i="1"/>
  <c r="AO413" i="1"/>
  <c r="AO412" i="1"/>
  <c r="AO411" i="1"/>
  <c r="AO410" i="1"/>
  <c r="AO409" i="1"/>
  <c r="AO408" i="1"/>
  <c r="AO407" i="1"/>
  <c r="AO406" i="1"/>
  <c r="AO405" i="1"/>
  <c r="AO404" i="1"/>
  <c r="AO403" i="1"/>
  <c r="AO402" i="1"/>
  <c r="AO401" i="1"/>
  <c r="AO400" i="1"/>
  <c r="AO399" i="1"/>
  <c r="AO398" i="1"/>
  <c r="AO397" i="1"/>
  <c r="AO396" i="1"/>
  <c r="AO395" i="1"/>
  <c r="AO394" i="1"/>
  <c r="AO393" i="1"/>
  <c r="AO392" i="1"/>
  <c r="AO391" i="1"/>
  <c r="AO390" i="1"/>
  <c r="AO389" i="1"/>
  <c r="AO388" i="1"/>
  <c r="AO387" i="1"/>
  <c r="AO386" i="1"/>
  <c r="AO385" i="1"/>
  <c r="AO384" i="1"/>
  <c r="AO383" i="1"/>
  <c r="AO382" i="1"/>
  <c r="AO381" i="1"/>
  <c r="AO380" i="1"/>
  <c r="AO379" i="1"/>
  <c r="AO378" i="1"/>
  <c r="AO377" i="1"/>
  <c r="AO376" i="1"/>
  <c r="AO375" i="1"/>
  <c r="AO374" i="1"/>
  <c r="AO373" i="1"/>
  <c r="AO372" i="1"/>
  <c r="AO371" i="1"/>
  <c r="AO370" i="1"/>
  <c r="AO369" i="1"/>
  <c r="AO368" i="1"/>
  <c r="AO367" i="1"/>
  <c r="AO366" i="1"/>
  <c r="AO365" i="1"/>
  <c r="AO364" i="1"/>
  <c r="AO363" i="1"/>
  <c r="AO362" i="1"/>
  <c r="AO361" i="1"/>
  <c r="AO360" i="1"/>
  <c r="AO359" i="1"/>
  <c r="AO358" i="1"/>
  <c r="AO357" i="1"/>
  <c r="AO356" i="1"/>
  <c r="AO355" i="1"/>
  <c r="AO354" i="1"/>
  <c r="AO353" i="1"/>
  <c r="AO352" i="1"/>
  <c r="AO351" i="1"/>
  <c r="AO350" i="1"/>
  <c r="AO349" i="1"/>
  <c r="AO348" i="1"/>
  <c r="AO347" i="1"/>
  <c r="AO346" i="1"/>
  <c r="AO345" i="1"/>
  <c r="AO344" i="1"/>
  <c r="AO343" i="1"/>
  <c r="AO342" i="1"/>
  <c r="AO341" i="1"/>
  <c r="AO340" i="1"/>
  <c r="AO339" i="1"/>
  <c r="AO338" i="1"/>
  <c r="AO337" i="1"/>
  <c r="AO336" i="1"/>
  <c r="AO335" i="1"/>
  <c r="AO334" i="1"/>
  <c r="AO333" i="1"/>
  <c r="AO332" i="1"/>
  <c r="AO331" i="1"/>
  <c r="AO330" i="1"/>
  <c r="AO329" i="1"/>
  <c r="AO328" i="1"/>
  <c r="AO327" i="1"/>
  <c r="AO326" i="1"/>
  <c r="AO325" i="1"/>
  <c r="AO324" i="1"/>
  <c r="AO323" i="1"/>
  <c r="AO322" i="1"/>
  <c r="AO321" i="1"/>
  <c r="AO320" i="1"/>
  <c r="AO319" i="1"/>
  <c r="AO318" i="1"/>
  <c r="AO317" i="1"/>
  <c r="AO316" i="1"/>
  <c r="AO315" i="1"/>
  <c r="AO314" i="1"/>
  <c r="AO313" i="1"/>
  <c r="AO312" i="1"/>
  <c r="AO311" i="1"/>
  <c r="AO310" i="1"/>
  <c r="AO309" i="1"/>
  <c r="AO308" i="1"/>
  <c r="AO307" i="1"/>
  <c r="AO306" i="1"/>
  <c r="AO305" i="1"/>
  <c r="AO304" i="1"/>
  <c r="AO303" i="1"/>
  <c r="AO302" i="1"/>
  <c r="AO301" i="1"/>
  <c r="AO300" i="1"/>
  <c r="AO299" i="1"/>
  <c r="AO298" i="1"/>
  <c r="AO297" i="1"/>
  <c r="AO296" i="1"/>
  <c r="AO295" i="1"/>
  <c r="AO294" i="1"/>
  <c r="AO293" i="1"/>
  <c r="AO292" i="1"/>
  <c r="AO291" i="1"/>
  <c r="AO290" i="1"/>
  <c r="AO289" i="1"/>
  <c r="AO288" i="1"/>
  <c r="AO287" i="1"/>
  <c r="AO286" i="1"/>
  <c r="AO285" i="1"/>
  <c r="AO284" i="1"/>
  <c r="AO283" i="1"/>
  <c r="AO282" i="1"/>
  <c r="AO281" i="1"/>
  <c r="AO280" i="1"/>
  <c r="AO279" i="1"/>
  <c r="AO278" i="1"/>
  <c r="AO277" i="1"/>
  <c r="AO276" i="1"/>
  <c r="AO275" i="1"/>
  <c r="AO274" i="1"/>
  <c r="AO273" i="1"/>
  <c r="AO272" i="1"/>
  <c r="AO271" i="1"/>
  <c r="AO270" i="1"/>
  <c r="AO269" i="1"/>
  <c r="AO268" i="1"/>
  <c r="AO267" i="1"/>
  <c r="AO266" i="1"/>
  <c r="AO265" i="1"/>
  <c r="AO264" i="1"/>
  <c r="AO263" i="1"/>
  <c r="AO262" i="1"/>
  <c r="AO261" i="1"/>
  <c r="AO260" i="1"/>
  <c r="AO259" i="1"/>
  <c r="AO258" i="1"/>
  <c r="AO257" i="1"/>
  <c r="AO256" i="1"/>
  <c r="AO255" i="1"/>
  <c r="AO254" i="1"/>
  <c r="AO253" i="1"/>
  <c r="AO252" i="1"/>
  <c r="AO251" i="1"/>
  <c r="AO250" i="1"/>
  <c r="AO249" i="1"/>
  <c r="AO248" i="1"/>
  <c r="AO247" i="1"/>
  <c r="AO246" i="1"/>
  <c r="AO245" i="1"/>
  <c r="AO244" i="1"/>
  <c r="AO243" i="1"/>
  <c r="AO242" i="1"/>
  <c r="AO241" i="1"/>
  <c r="AO240" i="1"/>
  <c r="AO239" i="1"/>
  <c r="AO238" i="1"/>
  <c r="AO237" i="1"/>
  <c r="AO236" i="1"/>
  <c r="AO235" i="1"/>
  <c r="AO234" i="1"/>
  <c r="AO233" i="1"/>
  <c r="AO232" i="1"/>
  <c r="AO231" i="1"/>
  <c r="AO230" i="1"/>
  <c r="AO229" i="1"/>
  <c r="AO228" i="1"/>
  <c r="AO227" i="1"/>
  <c r="AO226" i="1"/>
  <c r="AO225" i="1"/>
  <c r="AO224" i="1"/>
  <c r="AO223" i="1"/>
  <c r="AO222" i="1"/>
  <c r="AO221" i="1"/>
  <c r="AO220" i="1"/>
  <c r="AO219" i="1"/>
  <c r="AO218" i="1"/>
  <c r="AO217" i="1"/>
  <c r="AO216" i="1"/>
  <c r="AO215" i="1"/>
  <c r="AO214" i="1"/>
  <c r="AO213" i="1"/>
  <c r="AO212" i="1"/>
  <c r="AO211" i="1"/>
  <c r="AO210" i="1"/>
  <c r="AO209"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O182" i="1"/>
  <c r="AO181" i="1"/>
  <c r="AO180" i="1"/>
  <c r="AO179" i="1"/>
  <c r="AO178" i="1"/>
  <c r="AO177" i="1"/>
  <c r="AO176" i="1"/>
  <c r="AO175" i="1"/>
  <c r="AO174" i="1"/>
  <c r="AO173" i="1"/>
  <c r="AO172" i="1"/>
  <c r="AO171" i="1"/>
  <c r="AO170" i="1"/>
  <c r="AO169" i="1"/>
  <c r="AO168" i="1"/>
  <c r="AO167" i="1"/>
  <c r="AO166" i="1"/>
  <c r="AO165" i="1"/>
  <c r="AO164" i="1"/>
  <c r="AO163" i="1"/>
  <c r="AO162" i="1"/>
  <c r="AO161" i="1"/>
  <c r="AO160" i="1"/>
  <c r="AO159" i="1"/>
  <c r="AO158" i="1"/>
  <c r="AO157" i="1"/>
  <c r="AO156" i="1"/>
  <c r="AO155" i="1"/>
  <c r="AO154" i="1"/>
  <c r="AO153" i="1"/>
  <c r="AO152" i="1"/>
  <c r="AO151" i="1"/>
  <c r="AO150" i="1"/>
  <c r="AO149" i="1"/>
  <c r="AO148" i="1"/>
  <c r="AO147" i="1"/>
  <c r="AO146" i="1"/>
  <c r="AO145" i="1"/>
  <c r="AO144" i="1"/>
  <c r="AO143" i="1"/>
  <c r="AO142" i="1"/>
  <c r="AO141" i="1"/>
  <c r="AO140" i="1"/>
  <c r="AO139" i="1"/>
  <c r="AO138" i="1"/>
  <c r="AO137" i="1"/>
  <c r="AO136" i="1"/>
  <c r="AO135" i="1"/>
  <c r="AO134" i="1"/>
  <c r="AO133" i="1"/>
  <c r="AO132" i="1"/>
  <c r="AO131" i="1"/>
  <c r="AO130" i="1"/>
  <c r="AO129" i="1"/>
  <c r="AO128" i="1"/>
  <c r="AO127" i="1"/>
  <c r="AO126" i="1"/>
  <c r="AO125" i="1"/>
  <c r="AO124" i="1"/>
  <c r="AO123" i="1"/>
  <c r="AO122" i="1"/>
  <c r="AO121" i="1"/>
  <c r="AO120" i="1"/>
  <c r="AO119" i="1"/>
  <c r="AO118" i="1"/>
  <c r="AO117" i="1"/>
  <c r="AO116" i="1"/>
  <c r="AO115" i="1"/>
  <c r="AO114" i="1"/>
  <c r="AO113" i="1"/>
  <c r="AO112" i="1"/>
  <c r="AO111" i="1"/>
  <c r="AO110" i="1"/>
  <c r="AO109" i="1"/>
  <c r="AO108" i="1"/>
  <c r="AO107" i="1"/>
  <c r="AO106" i="1"/>
  <c r="AO105" i="1"/>
  <c r="AO104" i="1"/>
  <c r="AO103" i="1"/>
  <c r="AO102" i="1"/>
  <c r="AO101" i="1"/>
  <c r="AO100" i="1"/>
  <c r="AO99" i="1"/>
  <c r="AO98" i="1"/>
  <c r="AO97" i="1"/>
  <c r="AO96" i="1"/>
  <c r="AO95" i="1"/>
  <c r="AO94" i="1"/>
  <c r="AO93" i="1"/>
  <c r="AO92" i="1"/>
  <c r="AO91" i="1"/>
  <c r="AO90" i="1"/>
  <c r="AO89" i="1"/>
  <c r="AO88" i="1"/>
  <c r="AO87" i="1"/>
  <c r="AO86" i="1"/>
  <c r="AO85" i="1"/>
  <c r="AO84" i="1"/>
  <c r="AO83" i="1"/>
  <c r="AO82" i="1"/>
  <c r="AO81" i="1"/>
  <c r="AO80" i="1"/>
  <c r="AO79" i="1"/>
  <c r="AO78" i="1"/>
  <c r="AO77" i="1"/>
  <c r="AO76" i="1"/>
  <c r="AO75" i="1"/>
  <c r="AO74" i="1"/>
  <c r="AO73" i="1"/>
  <c r="AO72" i="1"/>
  <c r="AO71" i="1"/>
  <c r="AO70" i="1"/>
  <c r="AO69" i="1"/>
  <c r="AO68" i="1"/>
  <c r="AO67" i="1"/>
  <c r="AO66" i="1"/>
  <c r="AO65" i="1"/>
  <c r="AO64" i="1"/>
  <c r="AO63" i="1"/>
  <c r="AO62" i="1"/>
  <c r="AO61" i="1"/>
  <c r="AO60" i="1"/>
  <c r="AO59" i="1"/>
  <c r="AO58" i="1"/>
  <c r="AO57" i="1"/>
  <c r="AO56" i="1"/>
  <c r="AO55" i="1"/>
  <c r="AO54" i="1"/>
  <c r="AO53" i="1"/>
  <c r="AO52" i="1"/>
  <c r="AO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O5" i="1"/>
  <c r="AO4" i="1"/>
  <c r="AO3" i="1"/>
  <c r="AO2" i="1"/>
  <c r="AP27" i="1" l="1"/>
  <c r="AC528" i="1"/>
  <c r="AB2" i="1"/>
  <c r="AC2" i="1" s="1"/>
  <c r="AP415" i="1" l="1"/>
  <c r="AP414" i="1"/>
  <c r="AP413" i="1"/>
  <c r="AP528" i="1"/>
  <c r="AP527" i="1"/>
  <c r="AP525" i="1"/>
  <c r="AP524" i="1"/>
  <c r="AP523" i="1"/>
  <c r="AP522" i="1"/>
  <c r="AP517" i="1"/>
  <c r="AP518" i="1"/>
  <c r="AP519" i="1"/>
  <c r="AP520" i="1"/>
  <c r="AP508" i="1"/>
  <c r="AP509" i="1"/>
  <c r="AP510" i="1"/>
  <c r="AP511" i="1"/>
  <c r="AP512" i="1"/>
  <c r="AP513" i="1"/>
  <c r="AP514" i="1"/>
  <c r="AP515" i="1"/>
  <c r="AP506" i="1"/>
  <c r="AP505" i="1"/>
  <c r="AP504" i="1"/>
  <c r="AP501" i="1"/>
  <c r="AP502" i="1"/>
  <c r="AP499" i="1"/>
  <c r="AP498" i="1"/>
  <c r="AP497" i="1"/>
  <c r="AP495" i="1"/>
  <c r="AP494" i="1"/>
  <c r="AP493" i="1"/>
  <c r="AP491" i="1"/>
  <c r="AP486" i="1"/>
  <c r="AP485" i="1"/>
  <c r="AP487" i="1"/>
  <c r="AP488" i="1"/>
  <c r="AP489" i="1"/>
  <c r="AP490" i="1"/>
  <c r="AP482" i="1"/>
  <c r="AP480" i="1"/>
  <c r="AP481" i="1"/>
  <c r="AP483" i="1"/>
  <c r="AP476" i="1"/>
  <c r="AP477" i="1"/>
  <c r="AP478" i="1"/>
  <c r="AP473" i="1"/>
  <c r="AP474" i="1"/>
  <c r="AP471" i="1"/>
  <c r="AP470" i="1"/>
  <c r="AP468" i="1"/>
  <c r="AP466" i="1"/>
  <c r="AP467" i="1"/>
  <c r="AP469" i="1"/>
  <c r="AP464" i="1"/>
  <c r="AP463" i="1"/>
  <c r="AP462" i="1"/>
  <c r="AP460" i="1"/>
  <c r="AP450" i="1"/>
  <c r="AP451" i="1"/>
  <c r="AP452" i="1"/>
  <c r="AP453" i="1"/>
  <c r="AP454" i="1"/>
  <c r="AP455" i="1"/>
  <c r="AP456" i="1"/>
  <c r="AP457" i="1"/>
  <c r="AP448" i="1"/>
  <c r="AP447" i="1"/>
  <c r="AP446" i="1"/>
  <c r="AP445" i="1"/>
  <c r="AP444" i="1"/>
  <c r="AP442" i="1"/>
  <c r="AP438" i="1"/>
  <c r="AP439" i="1"/>
  <c r="AP440" i="1"/>
  <c r="AP441" i="1"/>
  <c r="AP436" i="1"/>
  <c r="AP433" i="1"/>
  <c r="AP434" i="1"/>
  <c r="AP435" i="1"/>
  <c r="AP430" i="1"/>
  <c r="AP431" i="1"/>
  <c r="AP429" i="1"/>
  <c r="AP427" i="1"/>
  <c r="AP426" i="1"/>
  <c r="AP425" i="1"/>
  <c r="AP422" i="1"/>
  <c r="AP421" i="1"/>
  <c r="AP423" i="1"/>
  <c r="AP419" i="1"/>
  <c r="AP418" i="1"/>
  <c r="AP417" i="1"/>
  <c r="AP410" i="1"/>
  <c r="AP411" i="1"/>
  <c r="AP408" i="1"/>
  <c r="AP407" i="1"/>
  <c r="AP406" i="1"/>
  <c r="AP403" i="1"/>
  <c r="AP404" i="1"/>
  <c r="AP400" i="1"/>
  <c r="AP399" i="1"/>
  <c r="AP401" i="1"/>
  <c r="AP396" i="1"/>
  <c r="AP397" i="1"/>
  <c r="AP394" i="1"/>
  <c r="AP390" i="1"/>
  <c r="AP391" i="1"/>
  <c r="AP392" i="1"/>
  <c r="AP388" i="1"/>
  <c r="AP384" i="1"/>
  <c r="AP386" i="1"/>
  <c r="AP381" i="1"/>
  <c r="AP382" i="1"/>
  <c r="AP379" i="1"/>
  <c r="AP376" i="1"/>
  <c r="AP373" i="1"/>
  <c r="AP371" i="1"/>
  <c r="AP370" i="1"/>
  <c r="AP372" i="1"/>
  <c r="AP367" i="1"/>
  <c r="AP366" i="1"/>
  <c r="AP365" i="1"/>
  <c r="AP368" i="1"/>
  <c r="AP363" i="1"/>
  <c r="AP362" i="1"/>
  <c r="AP361" i="1"/>
  <c r="AP359" i="1"/>
  <c r="AP358" i="1"/>
  <c r="AP357" i="1"/>
  <c r="AP356" i="1"/>
  <c r="AP354" i="1"/>
  <c r="AP353" i="1"/>
  <c r="AP352" i="1"/>
  <c r="AP349" i="1"/>
  <c r="AP350" i="1"/>
  <c r="AP347" i="1"/>
  <c r="AP346" i="1"/>
  <c r="AB345" i="1"/>
  <c r="AS345" i="1"/>
  <c r="AP343" i="1"/>
  <c r="AP342" i="1"/>
  <c r="AP341" i="1"/>
  <c r="AP344" i="1"/>
  <c r="AP338" i="1"/>
  <c r="AP337" i="1"/>
  <c r="AP334" i="1"/>
  <c r="AP335" i="1"/>
  <c r="AP336" i="1"/>
  <c r="AP339" i="1"/>
  <c r="AP329" i="1"/>
  <c r="AP330" i="1"/>
  <c r="AP331" i="1"/>
  <c r="AP332" i="1"/>
  <c r="AB328" i="1"/>
  <c r="AP324" i="1"/>
  <c r="AP325" i="1"/>
  <c r="AP326" i="1"/>
  <c r="AP327" i="1"/>
  <c r="AP319" i="1"/>
  <c r="AP320" i="1"/>
  <c r="AP321" i="1"/>
  <c r="AP322" i="1"/>
  <c r="AS318" i="1"/>
  <c r="AP5" i="1"/>
  <c r="AP4" i="1"/>
  <c r="AP3" i="1"/>
  <c r="AP313" i="1"/>
  <c r="AP314" i="1"/>
  <c r="AP315" i="1"/>
  <c r="AP316" i="1"/>
  <c r="AP317" i="1"/>
  <c r="AP311" i="1"/>
  <c r="AP308" i="1"/>
  <c r="AP307" i="1"/>
  <c r="AP309" i="1"/>
  <c r="AP310" i="1"/>
  <c r="AS306" i="1"/>
  <c r="AP303" i="1"/>
  <c r="AP304" i="1"/>
  <c r="AP305" i="1"/>
  <c r="AP301" i="1"/>
  <c r="AP300" i="1"/>
  <c r="AP299" i="1"/>
  <c r="AP297" i="1"/>
  <c r="AP293" i="1"/>
  <c r="AP294" i="1"/>
  <c r="AP295" i="1"/>
  <c r="AP296" i="1"/>
  <c r="AP289" i="1"/>
  <c r="AP290" i="1"/>
  <c r="AP291" i="1"/>
  <c r="AP286" i="1"/>
  <c r="AP287" i="1"/>
  <c r="AP277" i="1"/>
  <c r="AP278" i="1"/>
  <c r="AP279" i="1"/>
  <c r="AP280" i="1"/>
  <c r="AP281" i="1"/>
  <c r="AP282" i="1"/>
  <c r="AP283" i="1"/>
  <c r="AP284" i="1"/>
  <c r="AP271" i="1"/>
  <c r="AP272" i="1"/>
  <c r="AP273" i="1"/>
  <c r="AP274" i="1"/>
  <c r="AP275" i="1"/>
  <c r="AP269" i="1"/>
  <c r="AP265" i="1"/>
  <c r="AP266" i="1"/>
  <c r="AP267" i="1"/>
  <c r="AP268" i="1"/>
  <c r="AP263" i="1"/>
  <c r="AP259" i="1"/>
  <c r="AP260" i="1"/>
  <c r="AP261" i="1"/>
  <c r="AP262" i="1"/>
  <c r="AP256" i="1"/>
  <c r="AP257" i="1"/>
  <c r="AP253" i="1"/>
  <c r="AP254" i="1"/>
  <c r="AP250" i="1"/>
  <c r="AP251" i="1"/>
  <c r="AP248" i="1"/>
  <c r="AP247" i="1"/>
  <c r="AP245" i="1"/>
  <c r="AP244" i="1"/>
  <c r="AP239" i="1"/>
  <c r="AP240" i="1"/>
  <c r="AP241" i="1"/>
  <c r="AP242" i="1"/>
  <c r="AP237" i="1"/>
  <c r="AP236" i="1"/>
  <c r="AP235" i="1"/>
  <c r="AP230" i="1"/>
  <c r="AP231" i="1"/>
  <c r="AP232" i="1"/>
  <c r="AP233" i="1"/>
  <c r="AP225" i="1"/>
  <c r="AP226" i="1"/>
  <c r="AP227" i="1"/>
  <c r="AP228" i="1"/>
  <c r="AP222" i="1"/>
  <c r="AP221" i="1"/>
  <c r="AP220" i="1"/>
  <c r="AP223" i="1"/>
  <c r="AP215" i="1"/>
  <c r="AP216" i="1"/>
  <c r="AP217" i="1"/>
  <c r="AP218" i="1"/>
  <c r="AP213" i="1"/>
  <c r="AP212" i="1"/>
  <c r="AP211" i="1"/>
  <c r="AB210" i="1"/>
  <c r="AP209" i="1"/>
  <c r="AP206" i="1"/>
  <c r="AP207" i="1"/>
  <c r="AP208" i="1"/>
  <c r="AP202" i="1"/>
  <c r="AP203" i="1"/>
  <c r="AP204" i="1"/>
  <c r="AP198" i="1"/>
  <c r="AP199" i="1"/>
  <c r="AP200" i="1"/>
  <c r="AP196" i="1"/>
  <c r="AP193" i="1"/>
  <c r="AP194" i="1"/>
  <c r="AP195" i="1"/>
  <c r="AP190" i="1"/>
  <c r="AP191" i="1"/>
  <c r="AP188" i="1"/>
  <c r="AP187" i="1"/>
  <c r="AP183" i="1"/>
  <c r="AP184" i="1"/>
  <c r="AP185" i="1"/>
  <c r="AP181" i="1"/>
  <c r="AS180" i="1"/>
  <c r="AP178" i="1"/>
  <c r="AP179" i="1"/>
  <c r="AP175" i="1"/>
  <c r="AP176" i="1"/>
  <c r="AP171" i="1"/>
  <c r="AP172" i="1"/>
  <c r="AP173" i="1"/>
  <c r="AP168" i="1"/>
  <c r="AP169" i="1"/>
  <c r="AP166" i="1"/>
  <c r="AP164" i="1"/>
  <c r="AP165" i="1"/>
  <c r="AP162" i="1"/>
  <c r="AP161" i="1"/>
  <c r="AP158" i="1"/>
  <c r="AP159" i="1"/>
  <c r="AP155" i="1"/>
  <c r="AP156" i="1"/>
  <c r="AP151" i="1"/>
  <c r="AP152" i="1"/>
  <c r="AP153" i="1"/>
  <c r="AP147" i="1"/>
  <c r="AP148" i="1"/>
  <c r="AP149" i="1"/>
  <c r="AP145" i="1"/>
  <c r="AP142" i="1"/>
  <c r="AP143" i="1"/>
  <c r="AP144" i="1"/>
  <c r="AP139" i="1"/>
  <c r="AP138" i="1"/>
  <c r="AP140" i="1"/>
  <c r="AA137" i="1"/>
  <c r="AB135" i="1"/>
  <c r="AP135" i="1"/>
  <c r="AS134" i="1"/>
  <c r="AP134" i="1"/>
  <c r="AP131" i="1"/>
  <c r="AP132" i="1"/>
  <c r="AP133" i="1"/>
  <c r="AP128" i="1"/>
  <c r="AP129" i="1"/>
  <c r="AP123" i="1"/>
  <c r="AP124" i="1"/>
  <c r="AP125" i="1"/>
  <c r="AP126" i="1"/>
  <c r="AP121" i="1"/>
  <c r="AP120" i="1"/>
  <c r="AP119" i="1"/>
  <c r="AP117" i="1"/>
  <c r="AP116" i="1"/>
  <c r="AP115" i="1"/>
  <c r="AP109" i="1"/>
  <c r="AP110" i="1"/>
  <c r="AP111" i="1"/>
  <c r="AP112" i="1"/>
  <c r="AP113" i="1"/>
  <c r="AP107" i="1"/>
  <c r="AP105" i="1"/>
  <c r="AP104" i="1"/>
  <c r="AP103" i="1"/>
  <c r="AP106" i="1"/>
  <c r="AP101" i="1"/>
  <c r="AP98" i="1"/>
  <c r="AP99" i="1"/>
  <c r="AP96" i="1"/>
  <c r="AP95" i="1"/>
  <c r="AP94" i="1"/>
  <c r="AP92" i="1"/>
  <c r="AP90" i="1"/>
  <c r="AP91" i="1"/>
  <c r="AP88" i="1"/>
  <c r="AP87" i="1"/>
  <c r="AP86" i="1"/>
  <c r="AP84" i="1"/>
  <c r="AP82" i="1"/>
  <c r="AP83" i="1"/>
  <c r="AP80" i="1"/>
  <c r="AP79" i="1"/>
  <c r="AP78" i="1"/>
  <c r="AP76" i="1"/>
  <c r="AP75" i="1"/>
  <c r="AP74" i="1"/>
  <c r="AP73" i="1"/>
  <c r="AB63" i="1"/>
  <c r="AP64" i="1"/>
  <c r="AP65" i="1"/>
  <c r="AP66" i="1"/>
  <c r="AP67" i="1"/>
  <c r="AP68" i="1"/>
  <c r="AP69" i="1"/>
  <c r="AP70" i="1"/>
  <c r="AP71" i="1"/>
  <c r="AP61" i="1"/>
  <c r="AP60" i="1"/>
  <c r="AP59" i="1"/>
  <c r="AP58" i="1"/>
  <c r="AP62" i="1"/>
  <c r="AP56" i="1"/>
  <c r="AP55" i="1"/>
  <c r="AP54" i="1"/>
  <c r="AP53" i="1"/>
  <c r="AP51" i="1"/>
  <c r="AP50" i="1"/>
  <c r="AP49" i="1"/>
  <c r="AP48" i="1"/>
  <c r="AP46" i="1"/>
  <c r="AP45" i="1"/>
  <c r="AP44" i="1"/>
  <c r="AP43" i="1"/>
  <c r="AP41" i="1"/>
  <c r="AP40" i="1"/>
  <c r="AP39" i="1"/>
  <c r="AP33" i="1"/>
  <c r="AP34" i="1"/>
  <c r="AP35" i="1"/>
  <c r="AP36" i="1"/>
  <c r="AP37" i="1"/>
  <c r="AP31" i="1"/>
  <c r="AP30" i="1"/>
  <c r="AP29" i="1"/>
  <c r="AP26" i="1"/>
  <c r="AP25" i="1"/>
  <c r="AP24" i="1"/>
  <c r="AP22" i="1"/>
  <c r="AP21" i="1"/>
  <c r="AP20" i="1"/>
  <c r="AP19" i="1"/>
  <c r="AP18" i="1"/>
  <c r="AP16" i="1"/>
  <c r="AP15" i="1"/>
  <c r="AP14" i="1"/>
  <c r="AP13" i="1"/>
  <c r="AP12" i="1"/>
  <c r="AP10" i="1"/>
  <c r="AP9" i="1"/>
  <c r="AP8" i="1"/>
  <c r="AP7" i="1"/>
  <c r="AM364" i="1"/>
  <c r="AM249" i="1"/>
  <c r="AM243" i="1"/>
  <c r="AM224" i="1"/>
  <c r="AM205" i="1"/>
  <c r="AM197" i="1"/>
  <c r="AM192" i="1"/>
  <c r="AM38" i="1"/>
  <c r="AK249" i="1"/>
  <c r="AM398" i="1"/>
  <c r="AK243" i="1"/>
  <c r="AK197" i="1"/>
  <c r="AS348" i="1" l="1"/>
  <c r="AS360" i="1"/>
  <c r="AS298" i="1"/>
  <c r="AS323" i="1"/>
  <c r="AS328" i="1"/>
  <c r="AS288" i="1"/>
  <c r="AS302" i="1"/>
  <c r="AS312" i="1"/>
  <c r="AS472" i="1"/>
  <c r="AS52" i="1"/>
  <c r="AS449" i="1"/>
  <c r="AS47" i="1"/>
  <c r="AS23" i="1"/>
  <c r="AS507" i="1"/>
  <c r="AP459" i="1"/>
  <c r="AS458" i="1"/>
  <c r="AS17" i="1"/>
  <c r="AS42" i="1"/>
  <c r="AS38" i="1"/>
  <c r="AP28" i="1"/>
  <c r="AS27" i="1"/>
  <c r="AS2" i="1"/>
  <c r="AS77" i="1"/>
  <c r="AS6" i="1"/>
  <c r="AS32" i="1"/>
  <c r="AS108" i="1"/>
  <c r="AS154" i="1"/>
  <c r="AS97" i="1"/>
  <c r="AS167" i="1"/>
  <c r="AS130" i="1"/>
  <c r="AS11" i="1"/>
  <c r="AS177" i="1"/>
  <c r="AS201" i="1"/>
  <c r="AS157" i="1"/>
  <c r="AS205" i="1"/>
  <c r="AS93" i="1"/>
  <c r="AS163" i="1"/>
  <c r="AS234" i="1"/>
  <c r="AS72" i="1"/>
  <c r="AS141" i="1"/>
  <c r="AS189" i="1"/>
  <c r="AS214" i="1"/>
  <c r="AS122" i="1"/>
  <c r="AS85" i="1"/>
  <c r="AS89" i="1"/>
  <c r="AS160" i="1"/>
  <c r="AS81" i="1"/>
  <c r="AS146" i="1"/>
  <c r="AS170" i="1"/>
  <c r="AS432" i="1"/>
  <c r="AS127" i="1"/>
  <c r="AS63" i="1"/>
  <c r="AS57" i="1"/>
  <c r="AS150" i="1"/>
  <c r="AP345" i="1"/>
  <c r="AP364" i="1"/>
  <c r="AS364" i="1"/>
  <c r="AP393" i="1"/>
  <c r="AS393" i="1"/>
  <c r="AP340" i="1"/>
  <c r="AS340" i="1"/>
  <c r="AP395" i="1"/>
  <c r="AS395" i="1"/>
  <c r="AP348" i="1"/>
  <c r="AP424" i="1"/>
  <c r="AS424" i="1"/>
  <c r="AP420" i="1"/>
  <c r="AS420" i="1"/>
  <c r="AP369" i="1"/>
  <c r="AS369" i="1"/>
  <c r="AP328" i="1"/>
  <c r="AP351" i="1"/>
  <c r="AS351" i="1"/>
  <c r="AP374" i="1"/>
  <c r="AS373" i="1"/>
  <c r="AP398" i="1"/>
  <c r="AS398" i="1"/>
  <c r="AP416" i="1"/>
  <c r="AS416" i="1"/>
  <c r="AP428" i="1"/>
  <c r="AS428" i="1"/>
  <c r="AP389" i="1"/>
  <c r="AS389" i="1"/>
  <c r="AP409" i="1"/>
  <c r="AS409" i="1"/>
  <c r="AP387" i="1"/>
  <c r="AS387" i="1"/>
  <c r="AP402" i="1"/>
  <c r="AS402" i="1"/>
  <c r="AP355" i="1"/>
  <c r="AS355" i="1"/>
  <c r="AP377" i="1"/>
  <c r="AS376" i="1"/>
  <c r="AP405" i="1"/>
  <c r="AS405" i="1"/>
  <c r="AP412" i="1"/>
  <c r="AS412" i="1"/>
  <c r="AP383" i="1"/>
  <c r="AS383" i="1"/>
  <c r="AP333" i="1"/>
  <c r="AS333" i="1"/>
  <c r="AP380" i="1"/>
  <c r="AS380" i="1"/>
  <c r="AP360" i="1"/>
  <c r="AP385" i="1"/>
  <c r="AP375" i="1"/>
  <c r="AP378" i="1"/>
  <c r="AP298" i="1"/>
  <c r="AP302" i="1"/>
  <c r="AP270" i="1"/>
  <c r="AS270" i="1"/>
  <c r="AP258" i="1"/>
  <c r="AS258" i="1"/>
  <c r="AP318" i="1"/>
  <c r="AP276" i="1"/>
  <c r="AS276" i="1"/>
  <c r="AP288" i="1"/>
  <c r="AP285" i="1"/>
  <c r="AS285" i="1"/>
  <c r="AP306" i="1"/>
  <c r="AP264" i="1"/>
  <c r="AS264" i="1"/>
  <c r="AP312" i="1"/>
  <c r="AP292" i="1"/>
  <c r="AS292" i="1"/>
  <c r="AP323" i="1"/>
  <c r="AP437" i="1"/>
  <c r="AS437" i="1"/>
  <c r="AP461" i="1"/>
  <c r="AS461" i="1"/>
  <c r="AP472" i="1"/>
  <c r="AP496" i="1"/>
  <c r="AS496" i="1"/>
  <c r="AP449" i="1"/>
  <c r="AP521" i="1"/>
  <c r="AS521" i="1"/>
  <c r="AP465" i="1"/>
  <c r="AS465" i="1"/>
  <c r="AP443" i="1"/>
  <c r="AS443" i="1"/>
  <c r="AP492" i="1"/>
  <c r="AS492" i="1"/>
  <c r="AP516" i="1"/>
  <c r="AS516" i="1"/>
  <c r="AP503" i="1"/>
  <c r="AS503" i="1"/>
  <c r="AP458" i="1"/>
  <c r="AP475" i="1"/>
  <c r="AS475" i="1"/>
  <c r="AP507" i="1"/>
  <c r="AP500" i="1"/>
  <c r="AS500" i="1"/>
  <c r="AP526" i="1"/>
  <c r="AS526" i="1"/>
  <c r="AP479" i="1"/>
  <c r="AS479" i="1"/>
  <c r="AP484" i="1"/>
  <c r="AS484" i="1"/>
  <c r="AP432" i="1"/>
  <c r="AP224" i="1"/>
  <c r="AS224" i="1"/>
  <c r="AP249" i="1"/>
  <c r="AS249" i="1"/>
  <c r="AP205" i="1"/>
  <c r="AP252" i="1"/>
  <c r="AS252" i="1"/>
  <c r="AP229" i="1"/>
  <c r="AS229" i="1"/>
  <c r="AP255" i="1"/>
  <c r="AS255" i="1"/>
  <c r="AP210" i="1"/>
  <c r="AS210" i="1"/>
  <c r="AP246" i="1"/>
  <c r="AS246" i="1"/>
  <c r="AP214" i="1"/>
  <c r="AP243" i="1"/>
  <c r="AS243" i="1"/>
  <c r="AP197" i="1"/>
  <c r="AS197" i="1"/>
  <c r="AP201" i="1"/>
  <c r="AP234" i="1"/>
  <c r="AP238" i="1"/>
  <c r="AS238" i="1"/>
  <c r="AP192" i="1"/>
  <c r="AS192" i="1"/>
  <c r="AP219" i="1"/>
  <c r="AS219" i="1"/>
  <c r="AP177" i="1"/>
  <c r="AP180" i="1"/>
  <c r="AP160" i="1"/>
  <c r="AS137" i="1"/>
  <c r="AP182" i="1"/>
  <c r="AS182" i="1"/>
  <c r="AP189" i="1"/>
  <c r="AP163" i="1"/>
  <c r="AP170" i="1"/>
  <c r="AP186" i="1"/>
  <c r="AS186" i="1"/>
  <c r="AP167" i="1"/>
  <c r="AP174" i="1"/>
  <c r="AS174" i="1"/>
  <c r="AP137" i="1"/>
  <c r="AP157" i="1"/>
  <c r="AP146" i="1"/>
  <c r="AP141" i="1"/>
  <c r="AP154" i="1"/>
  <c r="AP150" i="1"/>
  <c r="AP136" i="1"/>
  <c r="AP130" i="1"/>
  <c r="AP122" i="1"/>
  <c r="AP127" i="1"/>
  <c r="AP85" i="1"/>
  <c r="AP114" i="1"/>
  <c r="AS114" i="1"/>
  <c r="AP108" i="1"/>
  <c r="AP100" i="1"/>
  <c r="AS100" i="1"/>
  <c r="AP89" i="1"/>
  <c r="AP93" i="1"/>
  <c r="AP77" i="1"/>
  <c r="AP63" i="1"/>
  <c r="AP72" i="1"/>
  <c r="AP102" i="1"/>
  <c r="AS102" i="1"/>
  <c r="AP81" i="1"/>
  <c r="AP118" i="1"/>
  <c r="AS118" i="1"/>
  <c r="AP97" i="1"/>
  <c r="AP57" i="1"/>
  <c r="AP11" i="1"/>
  <c r="AP42" i="1"/>
  <c r="AP23" i="1"/>
  <c r="AP52" i="1"/>
  <c r="AP17" i="1"/>
  <c r="AP47" i="1"/>
  <c r="AP2" i="1"/>
  <c r="AP38" i="1"/>
  <c r="AP6" i="1"/>
  <c r="AP32" i="1"/>
  <c r="AM134" i="1"/>
  <c r="AC328" i="1"/>
  <c r="AC135" i="1"/>
  <c r="G32" i="6"/>
  <c r="C32" i="6"/>
  <c r="AM2" i="1" l="1"/>
  <c r="AB384" i="1"/>
  <c r="AB383" i="1"/>
  <c r="AB323" i="1"/>
  <c r="AB324" i="1"/>
  <c r="AB325" i="1"/>
  <c r="AB326" i="1"/>
  <c r="AB327" i="1"/>
  <c r="AB319" i="1"/>
  <c r="AB320" i="1"/>
  <c r="AB321" i="1"/>
  <c r="AB322" i="1"/>
  <c r="AB318" i="1"/>
  <c r="AB317" i="1"/>
  <c r="AB316" i="1"/>
  <c r="AB315" i="1"/>
  <c r="AB314" i="1"/>
  <c r="AB313" i="1"/>
  <c r="AB312" i="1"/>
  <c r="AB145" i="1" l="1"/>
  <c r="AB146" i="1"/>
  <c r="AB137" i="1"/>
  <c r="AC137" i="1" s="1"/>
  <c r="AB142" i="1"/>
  <c r="AB141" i="1"/>
  <c r="AC136" i="1"/>
  <c r="AB504" i="1" l="1"/>
  <c r="AB505" i="1"/>
  <c r="AB461" i="1"/>
  <c r="AB503" i="1"/>
  <c r="AK500" i="1" l="1"/>
  <c r="AM500" i="1"/>
  <c r="AB496" i="1"/>
  <c r="AB476" i="1"/>
  <c r="AB477" i="1"/>
  <c r="AB478" i="1"/>
  <c r="AB475" i="1"/>
  <c r="AB380" i="1"/>
  <c r="AM479" i="1" l="1"/>
  <c r="AB213" i="1"/>
  <c r="AB212" i="1"/>
  <c r="AB211" i="1"/>
  <c r="AB191" i="1"/>
  <c r="AB35" i="1"/>
  <c r="AG180" i="1"/>
  <c r="AF180" i="1"/>
  <c r="AE180" i="1"/>
  <c r="AD180" i="1"/>
  <c r="AE189" i="1"/>
  <c r="AF205" i="1"/>
  <c r="AE130" i="1"/>
  <c r="AF130" i="1"/>
  <c r="AG130" i="1"/>
  <c r="AG127" i="1"/>
  <c r="AF127" i="1"/>
  <c r="AE127" i="1"/>
  <c r="AG100" i="1"/>
  <c r="AF100" i="1"/>
  <c r="AE100" i="1"/>
  <c r="AD100" i="1"/>
  <c r="AG23" i="1"/>
  <c r="AF23" i="1"/>
  <c r="AE23" i="1"/>
  <c r="AD23" i="1"/>
  <c r="AM210" i="1" l="1"/>
  <c r="AK210" i="1"/>
  <c r="AG167" i="1"/>
  <c r="AF167" i="1"/>
  <c r="AE167" i="1"/>
  <c r="AD167" i="1"/>
  <c r="AG32" i="1"/>
  <c r="AF32" i="1"/>
  <c r="AE32" i="1"/>
  <c r="AD32" i="1"/>
  <c r="AF516" i="1"/>
  <c r="AE516" i="1"/>
  <c r="AG507" i="1"/>
  <c r="AF507" i="1"/>
  <c r="AE507" i="1"/>
  <c r="AD507" i="1"/>
  <c r="AG500" i="1"/>
  <c r="AF500" i="1"/>
  <c r="AE500" i="1"/>
  <c r="AF479" i="1"/>
  <c r="AE479" i="1"/>
  <c r="AG475" i="1"/>
  <c r="AF475" i="1"/>
  <c r="AE475" i="1"/>
  <c r="AD475" i="1"/>
  <c r="AG472" i="1"/>
  <c r="AF472" i="1"/>
  <c r="AE472" i="1"/>
  <c r="AD472" i="1"/>
  <c r="AD458" i="1"/>
  <c r="AG461" i="1"/>
  <c r="AF461" i="1"/>
  <c r="AE461" i="1"/>
  <c r="AD461" i="1"/>
  <c r="AG458" i="1"/>
  <c r="AF458" i="1"/>
  <c r="AE458" i="1"/>
  <c r="AG449" i="1"/>
  <c r="AF449" i="1"/>
  <c r="AE449" i="1"/>
  <c r="AD449" i="1"/>
  <c r="AG416" i="1"/>
  <c r="AF416" i="1"/>
  <c r="AG409" i="1"/>
  <c r="AF409" i="1"/>
  <c r="AE409" i="1"/>
  <c r="AD409" i="1"/>
  <c r="AG405" i="1"/>
  <c r="AF405" i="1"/>
  <c r="AE405" i="1"/>
  <c r="AD405" i="1"/>
  <c r="AG402" i="1"/>
  <c r="AF402" i="1"/>
  <c r="AE402" i="1"/>
  <c r="AD402" i="1"/>
  <c r="AG395" i="1"/>
  <c r="AF395" i="1"/>
  <c r="AE395" i="1"/>
  <c r="AD395" i="1"/>
  <c r="AG393" i="1"/>
  <c r="AF393" i="1"/>
  <c r="AE393" i="1"/>
  <c r="AD393" i="1"/>
  <c r="AG389" i="1"/>
  <c r="AF389" i="1"/>
  <c r="AE389" i="1"/>
  <c r="AD389" i="1"/>
  <c r="AG387" i="1"/>
  <c r="AF387" i="1"/>
  <c r="AE387" i="1"/>
  <c r="AD387" i="1"/>
  <c r="AG383" i="1"/>
  <c r="AF383" i="1"/>
  <c r="AE383" i="1"/>
  <c r="AD383" i="1"/>
  <c r="AG376" i="1"/>
  <c r="AF376" i="1"/>
  <c r="AE376" i="1"/>
  <c r="AE373" i="1"/>
  <c r="AF373" i="1"/>
  <c r="AG373" i="1"/>
  <c r="AG328" i="1"/>
  <c r="AF328" i="1"/>
  <c r="AE328" i="1"/>
  <c r="AD328" i="1"/>
  <c r="AG323" i="1"/>
  <c r="AF323" i="1"/>
  <c r="AE323" i="1"/>
  <c r="AD323" i="1"/>
  <c r="AG318" i="1"/>
  <c r="AF318" i="1"/>
  <c r="AE318" i="1"/>
  <c r="AD318" i="1"/>
  <c r="AE285" i="1"/>
  <c r="AD285" i="1"/>
  <c r="AG255" i="1"/>
  <c r="AF255" i="1"/>
  <c r="AE255" i="1"/>
  <c r="AG252" i="1"/>
  <c r="AF252" i="1"/>
  <c r="AE252" i="1"/>
  <c r="AG249" i="1"/>
  <c r="AF249" i="1"/>
  <c r="AE249" i="1"/>
  <c r="AG246" i="1"/>
  <c r="AF246" i="1"/>
  <c r="AE246" i="1"/>
  <c r="AG238" i="1"/>
  <c r="AF238" i="1"/>
  <c r="AE234" i="1"/>
  <c r="AG229" i="1"/>
  <c r="AF229" i="1"/>
  <c r="AE229" i="1"/>
  <c r="AD229" i="1"/>
  <c r="AG224" i="1"/>
  <c r="AF224" i="1"/>
  <c r="AE224" i="1"/>
  <c r="AD224" i="1"/>
  <c r="AG210" i="1"/>
  <c r="AF210" i="1"/>
  <c r="AE210" i="1"/>
  <c r="AD210" i="1"/>
  <c r="AG205" i="1"/>
  <c r="AE205" i="1"/>
  <c r="AG201" i="1"/>
  <c r="AF201" i="1"/>
  <c r="AG197" i="1" l="1"/>
  <c r="AF197" i="1"/>
  <c r="AE197" i="1"/>
  <c r="AG189" i="1"/>
  <c r="AF189" i="1"/>
  <c r="AD189" i="1"/>
  <c r="AG186" i="1"/>
  <c r="AF186" i="1"/>
  <c r="AE186" i="1"/>
  <c r="AG182" i="1"/>
  <c r="AF182" i="1"/>
  <c r="AE182" i="1"/>
  <c r="AG177" i="1"/>
  <c r="AF177" i="1"/>
  <c r="AE177" i="1"/>
  <c r="AD177" i="1"/>
  <c r="AG174" i="1"/>
  <c r="AF174" i="1"/>
  <c r="AE174" i="1"/>
  <c r="AD174" i="1"/>
  <c r="AG170" i="1"/>
  <c r="AF170" i="1"/>
  <c r="AE170" i="1"/>
  <c r="AD170" i="1"/>
  <c r="AG163" i="1"/>
  <c r="AF163" i="1"/>
  <c r="AE163" i="1"/>
  <c r="AG160" i="1"/>
  <c r="AF160" i="1"/>
  <c r="AE160" i="1"/>
  <c r="AD160" i="1"/>
  <c r="AG157" i="1"/>
  <c r="AF157" i="1"/>
  <c r="AE157" i="1"/>
  <c r="AD157" i="1"/>
  <c r="AG150" i="1"/>
  <c r="AF150" i="1"/>
  <c r="AE150" i="1"/>
  <c r="AD150" i="1"/>
  <c r="AG146" i="1"/>
  <c r="AF146" i="1"/>
  <c r="AE146" i="1"/>
  <c r="AD146" i="1"/>
  <c r="AG141" i="1"/>
  <c r="AF141" i="1"/>
  <c r="AE141" i="1"/>
  <c r="AD141" i="1"/>
  <c r="AG154" i="1"/>
  <c r="AF154" i="1"/>
  <c r="AE154" i="1"/>
  <c r="AD154" i="1"/>
  <c r="AG137" i="1"/>
  <c r="AF137" i="1"/>
  <c r="AE137" i="1"/>
  <c r="AD137" i="1"/>
  <c r="AG134" i="1"/>
  <c r="AF134" i="1"/>
  <c r="AE134" i="1"/>
  <c r="AD134" i="1"/>
  <c r="AG122" i="1"/>
  <c r="AF122" i="1"/>
  <c r="AE122" i="1"/>
  <c r="AD122" i="1"/>
  <c r="AG108" i="1"/>
  <c r="AF108" i="1"/>
  <c r="AE108" i="1"/>
  <c r="AD108" i="1"/>
  <c r="AG97" i="1"/>
  <c r="AF97" i="1"/>
  <c r="AE97" i="1"/>
  <c r="AG57" i="1"/>
  <c r="AF57" i="1"/>
  <c r="AE57" i="1"/>
  <c r="AG47" i="1"/>
  <c r="AF47" i="1"/>
  <c r="AE47" i="1"/>
  <c r="AD47" i="1"/>
  <c r="AF38" i="1" l="1"/>
  <c r="AE38" i="1"/>
  <c r="AG27" i="1"/>
  <c r="AF27" i="1"/>
  <c r="AE27" i="1"/>
  <c r="AC527" i="1"/>
  <c r="AD6" i="1"/>
  <c r="AE6" i="1"/>
  <c r="AF6" i="1"/>
  <c r="AG6" i="1"/>
  <c r="AD11" i="1"/>
  <c r="AE11" i="1"/>
  <c r="AF11" i="1"/>
  <c r="AG11" i="1"/>
  <c r="AD17" i="1"/>
  <c r="AE17" i="1"/>
  <c r="AF17" i="1"/>
  <c r="AG17" i="1"/>
  <c r="AD27" i="1"/>
  <c r="AD38" i="1"/>
  <c r="AG38" i="1"/>
  <c r="AD42" i="1"/>
  <c r="AE42" i="1"/>
  <c r="AF42" i="1"/>
  <c r="AG42" i="1"/>
  <c r="AE52" i="1"/>
  <c r="AF52" i="1"/>
  <c r="AG52" i="1"/>
  <c r="AD63" i="1"/>
  <c r="AE63" i="1"/>
  <c r="AF63" i="1"/>
  <c r="AG63" i="1"/>
  <c r="AD72" i="1"/>
  <c r="AE72" i="1"/>
  <c r="AF72" i="1"/>
  <c r="AG72" i="1"/>
  <c r="AD77" i="1"/>
  <c r="AE77" i="1"/>
  <c r="AF77" i="1"/>
  <c r="AG77" i="1"/>
  <c r="AD81" i="1"/>
  <c r="AE81" i="1"/>
  <c r="AF81" i="1"/>
  <c r="AG81" i="1"/>
  <c r="AD85" i="1"/>
  <c r="AE85" i="1"/>
  <c r="AF85" i="1"/>
  <c r="AG85" i="1"/>
  <c r="AD89" i="1"/>
  <c r="AE89" i="1"/>
  <c r="AF89" i="1"/>
  <c r="AG89" i="1"/>
  <c r="AD93" i="1"/>
  <c r="AE93" i="1"/>
  <c r="AF93" i="1"/>
  <c r="AG93" i="1"/>
  <c r="AD97" i="1"/>
  <c r="AD102" i="1"/>
  <c r="AE102" i="1"/>
  <c r="AF102" i="1"/>
  <c r="AG102" i="1"/>
  <c r="AD114" i="1"/>
  <c r="AE114" i="1"/>
  <c r="AF114" i="1"/>
  <c r="AG114" i="1"/>
  <c r="AD118" i="1"/>
  <c r="AE118" i="1"/>
  <c r="AF118" i="1"/>
  <c r="AG118" i="1"/>
  <c r="AD163" i="1"/>
  <c r="AD182" i="1"/>
  <c r="AD186" i="1"/>
  <c r="AD192" i="1"/>
  <c r="AE192" i="1"/>
  <c r="AF192" i="1"/>
  <c r="AG192" i="1"/>
  <c r="AD197" i="1"/>
  <c r="AD201" i="1"/>
  <c r="AE201" i="1"/>
  <c r="AD205" i="1"/>
  <c r="AD214" i="1"/>
  <c r="AE214" i="1"/>
  <c r="AF214" i="1"/>
  <c r="AG214" i="1"/>
  <c r="AD219" i="1"/>
  <c r="AE219" i="1"/>
  <c r="AF219" i="1"/>
  <c r="AG219" i="1"/>
  <c r="AD234" i="1"/>
  <c r="AF234" i="1"/>
  <c r="AG234" i="1"/>
  <c r="AD238" i="1"/>
  <c r="AE238" i="1"/>
  <c r="AD243" i="1"/>
  <c r="AE243" i="1"/>
  <c r="AF243" i="1"/>
  <c r="AG243" i="1"/>
  <c r="AD246" i="1"/>
  <c r="AD249" i="1"/>
  <c r="AD252" i="1"/>
  <c r="AD255" i="1"/>
  <c r="AD258" i="1"/>
  <c r="AE258" i="1"/>
  <c r="AF258" i="1"/>
  <c r="AG258" i="1"/>
  <c r="AD264" i="1"/>
  <c r="AE264" i="1"/>
  <c r="AF264" i="1"/>
  <c r="AG264" i="1"/>
  <c r="AD270" i="1"/>
  <c r="AE270" i="1"/>
  <c r="AF270" i="1"/>
  <c r="AG270" i="1"/>
  <c r="AD276" i="1"/>
  <c r="AE276" i="1"/>
  <c r="AF276" i="1"/>
  <c r="AG276" i="1"/>
  <c r="AF285" i="1"/>
  <c r="AG285" i="1"/>
  <c r="AD288" i="1"/>
  <c r="AE288" i="1"/>
  <c r="AF288" i="1"/>
  <c r="AG288" i="1"/>
  <c r="AD292" i="1"/>
  <c r="AE292" i="1"/>
  <c r="AF292" i="1"/>
  <c r="AG292" i="1"/>
  <c r="AD298" i="1"/>
  <c r="AE298" i="1"/>
  <c r="AF298" i="1"/>
  <c r="AG298" i="1"/>
  <c r="AD302" i="1"/>
  <c r="AE302" i="1"/>
  <c r="AF302" i="1"/>
  <c r="AG302" i="1"/>
  <c r="AD306" i="1"/>
  <c r="AE306" i="1"/>
  <c r="AF306" i="1"/>
  <c r="AG306" i="1"/>
  <c r="AD312" i="1"/>
  <c r="AE312" i="1"/>
  <c r="AF312" i="1"/>
  <c r="AG312" i="1"/>
  <c r="AD333" i="1"/>
  <c r="AE333" i="1"/>
  <c r="AF333" i="1"/>
  <c r="AG333" i="1"/>
  <c r="AD340" i="1"/>
  <c r="AE340" i="1"/>
  <c r="AF340" i="1"/>
  <c r="AG340" i="1"/>
  <c r="AD345" i="1"/>
  <c r="AE345" i="1"/>
  <c r="AF345" i="1"/>
  <c r="AG345" i="1"/>
  <c r="AD348" i="1"/>
  <c r="AE348" i="1"/>
  <c r="AF348" i="1"/>
  <c r="AG348" i="1"/>
  <c r="AD351" i="1"/>
  <c r="AE351" i="1"/>
  <c r="AF351" i="1"/>
  <c r="AG351" i="1"/>
  <c r="AD355" i="1"/>
  <c r="AE355" i="1"/>
  <c r="AF355" i="1"/>
  <c r="AG355" i="1"/>
  <c r="AD360" i="1"/>
  <c r="AE360" i="1"/>
  <c r="AF360" i="1"/>
  <c r="AG360" i="1"/>
  <c r="AD364" i="1"/>
  <c r="AE364" i="1"/>
  <c r="AF364" i="1"/>
  <c r="AG364" i="1"/>
  <c r="AD369" i="1"/>
  <c r="AE369" i="1"/>
  <c r="AF369" i="1"/>
  <c r="AG369" i="1"/>
  <c r="AD373" i="1"/>
  <c r="AD376" i="1"/>
  <c r="AD380" i="1"/>
  <c r="AE380" i="1"/>
  <c r="AF380" i="1"/>
  <c r="AG380" i="1"/>
  <c r="AD398" i="1"/>
  <c r="AE398" i="1"/>
  <c r="AF398" i="1"/>
  <c r="AG398" i="1"/>
  <c r="AE412" i="1"/>
  <c r="AF412" i="1"/>
  <c r="AD416" i="1"/>
  <c r="AE416" i="1"/>
  <c r="AD420" i="1"/>
  <c r="AE420" i="1"/>
  <c r="AF420" i="1"/>
  <c r="AG420" i="1"/>
  <c r="AD424" i="1"/>
  <c r="AE424" i="1"/>
  <c r="AF424" i="1"/>
  <c r="AG424" i="1"/>
  <c r="AD428" i="1"/>
  <c r="AE428" i="1"/>
  <c r="AF428" i="1"/>
  <c r="AG428" i="1"/>
  <c r="AD432" i="1"/>
  <c r="AE432" i="1"/>
  <c r="AF432" i="1"/>
  <c r="AG432" i="1"/>
  <c r="AD437" i="1"/>
  <c r="AE437" i="1"/>
  <c r="AF437" i="1"/>
  <c r="AG437" i="1"/>
  <c r="AD443" i="1"/>
  <c r="AE443" i="1"/>
  <c r="AF443" i="1"/>
  <c r="AG443" i="1"/>
  <c r="AE465" i="1"/>
  <c r="AF465" i="1"/>
  <c r="AG465" i="1"/>
  <c r="AD479" i="1"/>
  <c r="AG479" i="1"/>
  <c r="AD484" i="1"/>
  <c r="AE484" i="1"/>
  <c r="AF484" i="1"/>
  <c r="AG484" i="1"/>
  <c r="AD492" i="1"/>
  <c r="AE492" i="1"/>
  <c r="AF492" i="1"/>
  <c r="AG492" i="1"/>
  <c r="AD496" i="1"/>
  <c r="AE496" i="1"/>
  <c r="AF496" i="1"/>
  <c r="AG496" i="1"/>
  <c r="AD500" i="1"/>
  <c r="AD503" i="1"/>
  <c r="AE503" i="1"/>
  <c r="AF503" i="1"/>
  <c r="AG503" i="1"/>
  <c r="AD516" i="1"/>
  <c r="AG516" i="1"/>
  <c r="AD521" i="1"/>
  <c r="AE521" i="1"/>
  <c r="AF521" i="1"/>
  <c r="AG521" i="1"/>
  <c r="AD526" i="1"/>
  <c r="AE526" i="1"/>
  <c r="AF526" i="1"/>
  <c r="AG526" i="1"/>
  <c r="AG2" i="1"/>
  <c r="AF2" i="1"/>
  <c r="AE2" i="1"/>
  <c r="AD2" i="1"/>
  <c r="AC3" i="1"/>
  <c r="AC4" i="1"/>
  <c r="AC5" i="1"/>
  <c r="AC6" i="1"/>
  <c r="AC7" i="1"/>
  <c r="AC8" i="1"/>
  <c r="AC9" i="1"/>
  <c r="AC10" i="1"/>
  <c r="AC11" i="1"/>
  <c r="AC12" i="1"/>
  <c r="AC13" i="1"/>
  <c r="AC14" i="1"/>
  <c r="AC15" i="1"/>
  <c r="AC16" i="1"/>
  <c r="AC18" i="1"/>
  <c r="AC19" i="1"/>
  <c r="AC20" i="1"/>
  <c r="AC21" i="1"/>
  <c r="AC22" i="1"/>
  <c r="AC23" i="1"/>
  <c r="AC24" i="1"/>
  <c r="AC25" i="1"/>
  <c r="AC26" i="1"/>
  <c r="AC27" i="1"/>
  <c r="AC28" i="1"/>
  <c r="AC29" i="1"/>
  <c r="AC30" i="1"/>
  <c r="AC31" i="1"/>
  <c r="AC32" i="1"/>
  <c r="AC33" i="1"/>
  <c r="AC36" i="1"/>
  <c r="AC37" i="1"/>
  <c r="AC42" i="1"/>
  <c r="AC43" i="1"/>
  <c r="AC44" i="1"/>
  <c r="AC45" i="1"/>
  <c r="AC46" i="1"/>
  <c r="AC47" i="1"/>
  <c r="AC48" i="1"/>
  <c r="AC49" i="1"/>
  <c r="AC50" i="1"/>
  <c r="AC51" i="1"/>
  <c r="AC52" i="1"/>
  <c r="AC53" i="1"/>
  <c r="AC54" i="1"/>
  <c r="AC55" i="1"/>
  <c r="AC56" i="1"/>
  <c r="AC57" i="1"/>
  <c r="AC58" i="1"/>
  <c r="AC59" i="1"/>
  <c r="AC60" i="1"/>
  <c r="AC61" i="1"/>
  <c r="AC62" i="1"/>
  <c r="AC73" i="1"/>
  <c r="AC74" i="1"/>
  <c r="AC75" i="1"/>
  <c r="AC76" i="1"/>
  <c r="AC77" i="1"/>
  <c r="AC78" i="1"/>
  <c r="AC79" i="1"/>
  <c r="AC80" i="1"/>
  <c r="AC81" i="1"/>
  <c r="AC82" i="1"/>
  <c r="AC83" i="1"/>
  <c r="AC84" i="1"/>
  <c r="AC85" i="1"/>
  <c r="AC86" i="1"/>
  <c r="AC87" i="1"/>
  <c r="AC88" i="1"/>
  <c r="AC90" i="1"/>
  <c r="AC91" i="1"/>
  <c r="AC92" i="1"/>
  <c r="AC93" i="1"/>
  <c r="AC94" i="1"/>
  <c r="AC95" i="1"/>
  <c r="AC96" i="1"/>
  <c r="AC99" i="1"/>
  <c r="AC100" i="1"/>
  <c r="AC101" i="1"/>
  <c r="AC102" i="1"/>
  <c r="AC103" i="1"/>
  <c r="AC104" i="1"/>
  <c r="AC105" i="1"/>
  <c r="AC106" i="1"/>
  <c r="AC107" i="1"/>
  <c r="AC114" i="1"/>
  <c r="AC115" i="1"/>
  <c r="AC116" i="1"/>
  <c r="AC117" i="1"/>
  <c r="AC118" i="1"/>
  <c r="AC119" i="1"/>
  <c r="AC120" i="1"/>
  <c r="AC121" i="1"/>
  <c r="AC122" i="1"/>
  <c r="AC123" i="1"/>
  <c r="AC124" i="1"/>
  <c r="AC125" i="1"/>
  <c r="AC126" i="1"/>
  <c r="AC127" i="1"/>
  <c r="AC128" i="1"/>
  <c r="AC129" i="1"/>
  <c r="AC130" i="1"/>
  <c r="AC131" i="1"/>
  <c r="AC132" i="1"/>
  <c r="AC133" i="1"/>
  <c r="AC134" i="1"/>
  <c r="AN134" i="1" s="1"/>
  <c r="AC138" i="1"/>
  <c r="AC139" i="1"/>
  <c r="AC140" i="1"/>
  <c r="AC143" i="1"/>
  <c r="AC144" i="1"/>
  <c r="AC147" i="1"/>
  <c r="AC148" i="1"/>
  <c r="AC149" i="1"/>
  <c r="AC152" i="1"/>
  <c r="AC153" i="1"/>
  <c r="AC155" i="1"/>
  <c r="AC156" i="1"/>
  <c r="AC158" i="1"/>
  <c r="AC159" i="1"/>
  <c r="AC161" i="1"/>
  <c r="AC162" i="1"/>
  <c r="AC163" i="1"/>
  <c r="AC164" i="1"/>
  <c r="AC165" i="1"/>
  <c r="AC166" i="1"/>
  <c r="AC168" i="1"/>
  <c r="AC169" i="1"/>
  <c r="AC170" i="1"/>
  <c r="AC171" i="1"/>
  <c r="AC172" i="1"/>
  <c r="AC173" i="1"/>
  <c r="AC174" i="1"/>
  <c r="AC175" i="1"/>
  <c r="AC176" i="1"/>
  <c r="AC177" i="1"/>
  <c r="AC178" i="1"/>
  <c r="AC179" i="1"/>
  <c r="AC180" i="1"/>
  <c r="AC181" i="1"/>
  <c r="AC182" i="1"/>
  <c r="AC183" i="1"/>
  <c r="AC184" i="1"/>
  <c r="AC185" i="1"/>
  <c r="AC186" i="1"/>
  <c r="AC187" i="1"/>
  <c r="AC188"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8" i="1"/>
  <c r="AC289" i="1"/>
  <c r="AC290" i="1"/>
  <c r="AC291" i="1"/>
  <c r="AC292" i="1"/>
  <c r="AC293" i="1"/>
  <c r="AC294" i="1"/>
  <c r="AC295" i="1"/>
  <c r="AC296" i="1"/>
  <c r="AC297" i="1"/>
  <c r="AC299" i="1"/>
  <c r="AC300" i="1"/>
  <c r="AC301" i="1"/>
  <c r="AC302" i="1"/>
  <c r="AC303" i="1"/>
  <c r="AC304" i="1"/>
  <c r="AC305" i="1"/>
  <c r="AC307" i="1"/>
  <c r="AC308" i="1"/>
  <c r="AC309" i="1"/>
  <c r="AC310" i="1"/>
  <c r="AC311" i="1"/>
  <c r="AC313" i="1"/>
  <c r="AC314" i="1"/>
  <c r="AC315" i="1"/>
  <c r="AC316" i="1"/>
  <c r="AC317" i="1"/>
  <c r="AC319" i="1"/>
  <c r="AC320" i="1"/>
  <c r="AC321" i="1"/>
  <c r="AC322" i="1"/>
  <c r="AC324" i="1"/>
  <c r="AC325" i="1"/>
  <c r="AC326" i="1"/>
  <c r="AC327" i="1"/>
  <c r="AC329" i="1"/>
  <c r="AC330" i="1"/>
  <c r="AC331" i="1"/>
  <c r="AC332" i="1"/>
  <c r="AC333" i="1"/>
  <c r="AC334" i="1"/>
  <c r="AC335" i="1"/>
  <c r="AC336" i="1"/>
  <c r="AC337" i="1"/>
  <c r="AC338" i="1"/>
  <c r="AC339" i="1"/>
  <c r="AC341" i="1"/>
  <c r="AC342" i="1"/>
  <c r="AC343" i="1"/>
  <c r="AC344" i="1"/>
  <c r="AC346" i="1"/>
  <c r="AC347"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5" i="1"/>
  <c r="AC386" i="1"/>
  <c r="AC387" i="1"/>
  <c r="AC388" i="1"/>
  <c r="AC391" i="1"/>
  <c r="AC392" i="1"/>
  <c r="AC393" i="1"/>
  <c r="AC394" i="1"/>
  <c r="AC395" i="1"/>
  <c r="AC396" i="1"/>
  <c r="AC397" i="1"/>
  <c r="AC398" i="1"/>
  <c r="AC399" i="1"/>
  <c r="AC400" i="1"/>
  <c r="AC401" i="1"/>
  <c r="AC402" i="1"/>
  <c r="AC403" i="1"/>
  <c r="AC404" i="1"/>
  <c r="AC405" i="1"/>
  <c r="AC406" i="1"/>
  <c r="AC407" i="1"/>
  <c r="AC408" i="1"/>
  <c r="AC409" i="1"/>
  <c r="AC410" i="1"/>
  <c r="AC411" i="1"/>
  <c r="AC415" i="1"/>
  <c r="AC417" i="1"/>
  <c r="AC418" i="1"/>
  <c r="AC419" i="1"/>
  <c r="AC421" i="1"/>
  <c r="AC422" i="1"/>
  <c r="AC423" i="1"/>
  <c r="AC425" i="1"/>
  <c r="AC426" i="1"/>
  <c r="AC427" i="1"/>
  <c r="AC428" i="1"/>
  <c r="AC429" i="1"/>
  <c r="AC430" i="1"/>
  <c r="AC431" i="1"/>
  <c r="AC433" i="1"/>
  <c r="AC434" i="1"/>
  <c r="AC435" i="1"/>
  <c r="AC436"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B167" i="1"/>
  <c r="AB160" i="1"/>
  <c r="AB157" i="1"/>
  <c r="AB154" i="1"/>
  <c r="AB151" i="1"/>
  <c r="AB150" i="1"/>
  <c r="AC146" i="1"/>
  <c r="AC145" i="1"/>
  <c r="AC142" i="1"/>
  <c r="AC141" i="1"/>
  <c r="AC154" i="1" l="1"/>
  <c r="AC157" i="1"/>
  <c r="AM163" i="1"/>
  <c r="AC151" i="1"/>
  <c r="AM137" i="1"/>
  <c r="AM160" i="1"/>
  <c r="B2" i="7"/>
  <c r="AN239" i="1"/>
  <c r="AN238" i="1"/>
  <c r="AN236" i="1"/>
  <c r="AN233" i="1"/>
  <c r="AN237" i="1"/>
  <c r="AN227" i="1"/>
  <c r="AN235" i="1"/>
  <c r="AN226" i="1"/>
  <c r="AN231" i="1"/>
  <c r="AN225" i="1"/>
  <c r="AN228" i="1"/>
  <c r="AN234" i="1"/>
  <c r="B5" i="7"/>
  <c r="AN232" i="1"/>
  <c r="AN229" i="1"/>
  <c r="AN230" i="1"/>
  <c r="AN246" i="1"/>
  <c r="AN136" i="1"/>
  <c r="AN135" i="1"/>
  <c r="AN248" i="1"/>
  <c r="AN245" i="1"/>
  <c r="B4" i="7"/>
  <c r="AN244" i="1"/>
  <c r="AN242" i="1"/>
  <c r="B3" i="7"/>
  <c r="AN247" i="1"/>
  <c r="AN241" i="1"/>
  <c r="AN240" i="1"/>
  <c r="AN500" i="1"/>
  <c r="AN364" i="1"/>
  <c r="AN197" i="1"/>
  <c r="AN398" i="1"/>
  <c r="AN249" i="1"/>
  <c r="AN192" i="1"/>
  <c r="AN224" i="1"/>
  <c r="AN243" i="1"/>
  <c r="AL197" i="1"/>
  <c r="AL500" i="1"/>
  <c r="AL243" i="1"/>
  <c r="AL249" i="1"/>
  <c r="AL210" i="1"/>
  <c r="AN210" i="1"/>
  <c r="AN205" i="1"/>
  <c r="AK134" i="1"/>
  <c r="AC167" i="1"/>
  <c r="AN163" i="1" s="1"/>
  <c r="AC150" i="1"/>
  <c r="AC160" i="1"/>
  <c r="AN160" i="1" s="1"/>
  <c r="AB424" i="1"/>
  <c r="AB420" i="1"/>
  <c r="AB414" i="1"/>
  <c r="AB413" i="1"/>
  <c r="AB412" i="1"/>
  <c r="AB390" i="1"/>
  <c r="AB389" i="1"/>
  <c r="AC384" i="1"/>
  <c r="AC383" i="1"/>
  <c r="AC492" i="1"/>
  <c r="AN479" i="1" s="1"/>
  <c r="AB438" i="1"/>
  <c r="AB437" i="1"/>
  <c r="AB432" i="1"/>
  <c r="AB416" i="1"/>
  <c r="AB348" i="1"/>
  <c r="AC345" i="1"/>
  <c r="AB340" i="1"/>
  <c r="AC323" i="1"/>
  <c r="AC318" i="1"/>
  <c r="AC312" i="1"/>
  <c r="AN137" i="1" l="1"/>
  <c r="AN155" i="1" s="1"/>
  <c r="AC438" i="1"/>
  <c r="AM380" i="1"/>
  <c r="AC348" i="1"/>
  <c r="AC437" i="1"/>
  <c r="AC413" i="1"/>
  <c r="AC424" i="1"/>
  <c r="AC416" i="1"/>
  <c r="AM432" i="1"/>
  <c r="AC390" i="1"/>
  <c r="AC414" i="1"/>
  <c r="AN162" i="1"/>
  <c r="AN161" i="1"/>
  <c r="AN496" i="1"/>
  <c r="AN497" i="1"/>
  <c r="AN498" i="1"/>
  <c r="AN499" i="1"/>
  <c r="AN480" i="1"/>
  <c r="AN481" i="1"/>
  <c r="AN482" i="1"/>
  <c r="AN483" i="1"/>
  <c r="AN484" i="1"/>
  <c r="AN485" i="1"/>
  <c r="AN486" i="1"/>
  <c r="AN487" i="1"/>
  <c r="AN488" i="1"/>
  <c r="AN489" i="1"/>
  <c r="AN490" i="1"/>
  <c r="AN491" i="1"/>
  <c r="AN492" i="1"/>
  <c r="AN493" i="1"/>
  <c r="AN494" i="1"/>
  <c r="AN495" i="1"/>
  <c r="AL245" i="1"/>
  <c r="AL246" i="1"/>
  <c r="AL247" i="1"/>
  <c r="AL244" i="1"/>
  <c r="AL248" i="1"/>
  <c r="AN178" i="1"/>
  <c r="AN179" i="1"/>
  <c r="AN181" i="1"/>
  <c r="AN164" i="1"/>
  <c r="AN167" i="1"/>
  <c r="AN165" i="1"/>
  <c r="AN166" i="1"/>
  <c r="AN168" i="1"/>
  <c r="AN169" i="1"/>
  <c r="AN170" i="1"/>
  <c r="AN171" i="1"/>
  <c r="AN180" i="1"/>
  <c r="AN172" i="1"/>
  <c r="AN173" i="1"/>
  <c r="AN174" i="1"/>
  <c r="AN175" i="1"/>
  <c r="AN176" i="1"/>
  <c r="AN177" i="1"/>
  <c r="AN206" i="1"/>
  <c r="AN207" i="1"/>
  <c r="AN208" i="1"/>
  <c r="AN209" i="1"/>
  <c r="AL221" i="1"/>
  <c r="AL222" i="1"/>
  <c r="AL223" i="1"/>
  <c r="AL224" i="1"/>
  <c r="AL225" i="1"/>
  <c r="AL226" i="1"/>
  <c r="AL227" i="1"/>
  <c r="AL228" i="1"/>
  <c r="AL229" i="1"/>
  <c r="AL230" i="1"/>
  <c r="AL231" i="1"/>
  <c r="AL232" i="1"/>
  <c r="AL233" i="1"/>
  <c r="AL234" i="1"/>
  <c r="AL235" i="1"/>
  <c r="AL236" i="1"/>
  <c r="AL237" i="1"/>
  <c r="AL238" i="1"/>
  <c r="AL239" i="1"/>
  <c r="AL240" i="1"/>
  <c r="AL241" i="1"/>
  <c r="AL211" i="1"/>
  <c r="AL212" i="1"/>
  <c r="AL213" i="1"/>
  <c r="AL214" i="1"/>
  <c r="AL242" i="1"/>
  <c r="AL215" i="1"/>
  <c r="AL216" i="1"/>
  <c r="AL217" i="1"/>
  <c r="AL218" i="1"/>
  <c r="AL219" i="1"/>
  <c r="AL220" i="1"/>
  <c r="AN251" i="1"/>
  <c r="AN257" i="1"/>
  <c r="AN252" i="1"/>
  <c r="AN254" i="1"/>
  <c r="AN253" i="1"/>
  <c r="AN255" i="1"/>
  <c r="AN256" i="1"/>
  <c r="AN250" i="1"/>
  <c r="AN200" i="1"/>
  <c r="AN201" i="1"/>
  <c r="AN203" i="1"/>
  <c r="AN204" i="1"/>
  <c r="AN198" i="1"/>
  <c r="AN202" i="1"/>
  <c r="AN199" i="1"/>
  <c r="AN223" i="1"/>
  <c r="AN212" i="1"/>
  <c r="AN213" i="1"/>
  <c r="AN215" i="1"/>
  <c r="AN214" i="1"/>
  <c r="AN216" i="1"/>
  <c r="AN217" i="1"/>
  <c r="AN218" i="1"/>
  <c r="AN219" i="1"/>
  <c r="AN220" i="1"/>
  <c r="AN221" i="1"/>
  <c r="AN222" i="1"/>
  <c r="AN211" i="1"/>
  <c r="AL251" i="1"/>
  <c r="AL252" i="1"/>
  <c r="AL253" i="1"/>
  <c r="AL254" i="1"/>
  <c r="AL256" i="1"/>
  <c r="AL255" i="1"/>
  <c r="AL257" i="1"/>
  <c r="AL250" i="1"/>
  <c r="AN194" i="1"/>
  <c r="AN195" i="1"/>
  <c r="AN196" i="1"/>
  <c r="AN193" i="1"/>
  <c r="AN373" i="1"/>
  <c r="AN374" i="1"/>
  <c r="AN376" i="1"/>
  <c r="AN377" i="1"/>
  <c r="AN378" i="1"/>
  <c r="AN379" i="1"/>
  <c r="AN365" i="1"/>
  <c r="AN366" i="1"/>
  <c r="AN367" i="1"/>
  <c r="AN368" i="1"/>
  <c r="AN369" i="1"/>
  <c r="AN375" i="1"/>
  <c r="AN370" i="1"/>
  <c r="AN371" i="1"/>
  <c r="AN372" i="1"/>
  <c r="AL512" i="1"/>
  <c r="AL524" i="1"/>
  <c r="AL513" i="1"/>
  <c r="AL525" i="1"/>
  <c r="AL502" i="1"/>
  <c r="AL514" i="1"/>
  <c r="AL526" i="1"/>
  <c r="AL503" i="1"/>
  <c r="AL515" i="1"/>
  <c r="AL527" i="1"/>
  <c r="AL509" i="1"/>
  <c r="AL504" i="1"/>
  <c r="AL516" i="1"/>
  <c r="AL528" i="1"/>
  <c r="AL521" i="1"/>
  <c r="AL505" i="1"/>
  <c r="AL517" i="1"/>
  <c r="AL501" i="1"/>
  <c r="AL506" i="1"/>
  <c r="AL518" i="1"/>
  <c r="AL507" i="1"/>
  <c r="AL519" i="1"/>
  <c r="AL508" i="1"/>
  <c r="AL520" i="1"/>
  <c r="AL510" i="1"/>
  <c r="AL522" i="1"/>
  <c r="AL511" i="1"/>
  <c r="AL523" i="1"/>
  <c r="AN508" i="1"/>
  <c r="AN520" i="1"/>
  <c r="AN509" i="1"/>
  <c r="AN521" i="1"/>
  <c r="AN510" i="1"/>
  <c r="AN522" i="1"/>
  <c r="AN511" i="1"/>
  <c r="AN523" i="1"/>
  <c r="AN512" i="1"/>
  <c r="AN524" i="1"/>
  <c r="AN505" i="1"/>
  <c r="AN513" i="1"/>
  <c r="AN525" i="1"/>
  <c r="AN502" i="1"/>
  <c r="AN514" i="1"/>
  <c r="AN526" i="1"/>
  <c r="AN501" i="1"/>
  <c r="AN503" i="1"/>
  <c r="AN515" i="1"/>
  <c r="AN527" i="1"/>
  <c r="AN504" i="1"/>
  <c r="AN516" i="1"/>
  <c r="AN528" i="1"/>
  <c r="AN517" i="1"/>
  <c r="AN506" i="1"/>
  <c r="AN518" i="1"/>
  <c r="AN507" i="1"/>
  <c r="AN519" i="1"/>
  <c r="AM420" i="1"/>
  <c r="AM409" i="1"/>
  <c r="AM306" i="1"/>
  <c r="AL479" i="1"/>
  <c r="AL134" i="1"/>
  <c r="AH432" i="1"/>
  <c r="AK432" i="1"/>
  <c r="AK380" i="1"/>
  <c r="AK306" i="1"/>
  <c r="AC412" i="1"/>
  <c r="AC420" i="1"/>
  <c r="AN420" i="1" s="1"/>
  <c r="AC389" i="1"/>
  <c r="AN380" i="1" s="1"/>
  <c r="AC432" i="1"/>
  <c r="AC340" i="1"/>
  <c r="AC306" i="1"/>
  <c r="AB298" i="1"/>
  <c r="AB286" i="1"/>
  <c r="AB287" i="1"/>
  <c r="AB285" i="1"/>
  <c r="AB190" i="1"/>
  <c r="AC191" i="1"/>
  <c r="AB189" i="1"/>
  <c r="AB109" i="1"/>
  <c r="AB110" i="1"/>
  <c r="AB111" i="1"/>
  <c r="AB112" i="1"/>
  <c r="AB113" i="1"/>
  <c r="AB108" i="1"/>
  <c r="AB98" i="1"/>
  <c r="AB97" i="1"/>
  <c r="AB89" i="1"/>
  <c r="AB72" i="1"/>
  <c r="AB71" i="1"/>
  <c r="AB70" i="1"/>
  <c r="AB69" i="1"/>
  <c r="AB68" i="1"/>
  <c r="AB67" i="1"/>
  <c r="AB66" i="1"/>
  <c r="AB65" i="1"/>
  <c r="AB64" i="1"/>
  <c r="AC41" i="1"/>
  <c r="AC40" i="1"/>
  <c r="AC39" i="1"/>
  <c r="AC38" i="1"/>
  <c r="AC35" i="1"/>
  <c r="AB34" i="1"/>
  <c r="AB17" i="1"/>
  <c r="AA2" i="1"/>
  <c r="AA475" i="1"/>
  <c r="AA472" i="1"/>
  <c r="AA449" i="1"/>
  <c r="AA443" i="1"/>
  <c r="AA433" i="1"/>
  <c r="AA434" i="1"/>
  <c r="AA435" i="1"/>
  <c r="AA436" i="1"/>
  <c r="AA437" i="1"/>
  <c r="AA438" i="1"/>
  <c r="AA439" i="1"/>
  <c r="AA440" i="1"/>
  <c r="AA441" i="1"/>
  <c r="AA442" i="1"/>
  <c r="AA444" i="1"/>
  <c r="AA445" i="1"/>
  <c r="AA446" i="1"/>
  <c r="AA447" i="1"/>
  <c r="AA448" i="1"/>
  <c r="AA450" i="1"/>
  <c r="AA451" i="1"/>
  <c r="AA452" i="1"/>
  <c r="AA453" i="1"/>
  <c r="AA454" i="1"/>
  <c r="AA455" i="1"/>
  <c r="AA456" i="1"/>
  <c r="AA457" i="1"/>
  <c r="AA458" i="1"/>
  <c r="AA459" i="1"/>
  <c r="AA460" i="1"/>
  <c r="AA461" i="1"/>
  <c r="AA462" i="1"/>
  <c r="AA463" i="1"/>
  <c r="AA464" i="1"/>
  <c r="AA465" i="1"/>
  <c r="AA466" i="1"/>
  <c r="AA467" i="1"/>
  <c r="AA468" i="1"/>
  <c r="AA469" i="1"/>
  <c r="AA470" i="1"/>
  <c r="AA471" i="1"/>
  <c r="AA473" i="1"/>
  <c r="AA474"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432" i="1"/>
  <c r="AJ518" i="1" l="1"/>
  <c r="AJ506" i="1"/>
  <c r="AJ494" i="1"/>
  <c r="AJ482" i="1"/>
  <c r="AJ470" i="1"/>
  <c r="AJ458" i="1"/>
  <c r="AJ446" i="1"/>
  <c r="AJ434" i="1"/>
  <c r="AJ433" i="1"/>
  <c r="AJ432" i="1"/>
  <c r="AJ528" i="1"/>
  <c r="AJ516" i="1"/>
  <c r="AJ504" i="1"/>
  <c r="AJ492" i="1"/>
  <c r="AJ480" i="1"/>
  <c r="AJ468" i="1"/>
  <c r="AJ456" i="1"/>
  <c r="AJ444" i="1"/>
  <c r="AJ515" i="1"/>
  <c r="AJ503" i="1"/>
  <c r="AJ491" i="1"/>
  <c r="AJ479" i="1"/>
  <c r="AJ467" i="1"/>
  <c r="AJ455" i="1"/>
  <c r="AJ443" i="1"/>
  <c r="AJ527" i="1"/>
  <c r="AJ526" i="1"/>
  <c r="AJ514" i="1"/>
  <c r="AJ502" i="1"/>
  <c r="AJ490" i="1"/>
  <c r="AJ478" i="1"/>
  <c r="AJ466" i="1"/>
  <c r="AJ454" i="1"/>
  <c r="AJ442" i="1"/>
  <c r="AJ457" i="1"/>
  <c r="AJ525" i="1"/>
  <c r="AJ513" i="1"/>
  <c r="AJ501" i="1"/>
  <c r="AJ489" i="1"/>
  <c r="AJ477" i="1"/>
  <c r="AJ465" i="1"/>
  <c r="AJ453" i="1"/>
  <c r="AJ441" i="1"/>
  <c r="AJ469" i="1"/>
  <c r="AJ524" i="1"/>
  <c r="AJ512" i="1"/>
  <c r="AJ500" i="1"/>
  <c r="AJ488" i="1"/>
  <c r="AJ476" i="1"/>
  <c r="AJ464" i="1"/>
  <c r="AJ452" i="1"/>
  <c r="AJ440" i="1"/>
  <c r="AJ445" i="1"/>
  <c r="AJ523" i="1"/>
  <c r="AJ511" i="1"/>
  <c r="AJ499" i="1"/>
  <c r="AJ487" i="1"/>
  <c r="AJ475" i="1"/>
  <c r="AJ463" i="1"/>
  <c r="AJ451" i="1"/>
  <c r="AJ439" i="1"/>
  <c r="AJ493" i="1"/>
  <c r="AJ522" i="1"/>
  <c r="AJ510" i="1"/>
  <c r="AJ498" i="1"/>
  <c r="AJ486" i="1"/>
  <c r="AJ474" i="1"/>
  <c r="AJ462" i="1"/>
  <c r="AJ450" i="1"/>
  <c r="AJ438" i="1"/>
  <c r="AJ481" i="1"/>
  <c r="AJ521" i="1"/>
  <c r="AJ509" i="1"/>
  <c r="AJ497" i="1"/>
  <c r="AJ485" i="1"/>
  <c r="AJ473" i="1"/>
  <c r="AJ461" i="1"/>
  <c r="AJ449" i="1"/>
  <c r="AJ437" i="1"/>
  <c r="AJ505" i="1"/>
  <c r="AJ520" i="1"/>
  <c r="AJ508" i="1"/>
  <c r="AJ496" i="1"/>
  <c r="AJ484" i="1"/>
  <c r="AJ472" i="1"/>
  <c r="AJ460" i="1"/>
  <c r="AJ448" i="1"/>
  <c r="AJ436" i="1"/>
  <c r="AJ517" i="1"/>
  <c r="AJ519" i="1"/>
  <c r="AJ507" i="1"/>
  <c r="AJ495" i="1"/>
  <c r="AJ483" i="1"/>
  <c r="AJ471" i="1"/>
  <c r="AJ459" i="1"/>
  <c r="AJ447" i="1"/>
  <c r="AJ435" i="1"/>
  <c r="AN151" i="1"/>
  <c r="AN150" i="1"/>
  <c r="AN148" i="1"/>
  <c r="AN145" i="1"/>
  <c r="AN154" i="1"/>
  <c r="AN149" i="1"/>
  <c r="AN144" i="1"/>
  <c r="AN147" i="1"/>
  <c r="AN153" i="1"/>
  <c r="AN152" i="1"/>
  <c r="AN146" i="1"/>
  <c r="AN143" i="1"/>
  <c r="AN141" i="1"/>
  <c r="AN142" i="1"/>
  <c r="AN140" i="1"/>
  <c r="AN409" i="1"/>
  <c r="AN418" i="1" s="1"/>
  <c r="AN139" i="1"/>
  <c r="AN138" i="1"/>
  <c r="AN159" i="1"/>
  <c r="AN158" i="1"/>
  <c r="AN157" i="1"/>
  <c r="AN156" i="1"/>
  <c r="AC111" i="1"/>
  <c r="AC112" i="1"/>
  <c r="AC110" i="1"/>
  <c r="AC286" i="1"/>
  <c r="AC65" i="1"/>
  <c r="AC68" i="1"/>
  <c r="AC109" i="1"/>
  <c r="AC190" i="1"/>
  <c r="AC69" i="1"/>
  <c r="C5" i="7"/>
  <c r="AC64" i="1"/>
  <c r="AC71" i="1"/>
  <c r="AM298" i="1"/>
  <c r="AM72" i="1"/>
  <c r="AC287" i="1"/>
  <c r="AC89" i="1"/>
  <c r="AK93" i="1"/>
  <c r="AC66" i="1"/>
  <c r="AC98" i="1"/>
  <c r="AC34" i="1"/>
  <c r="AC67" i="1"/>
  <c r="AC70" i="1"/>
  <c r="AC113" i="1"/>
  <c r="AL163" i="1"/>
  <c r="AL164" i="1"/>
  <c r="AL165" i="1"/>
  <c r="AL166" i="1"/>
  <c r="AL167" i="1"/>
  <c r="AL168" i="1"/>
  <c r="AL136" i="1"/>
  <c r="AL137" i="1"/>
  <c r="AL169" i="1"/>
  <c r="AL138" i="1"/>
  <c r="AL170" i="1"/>
  <c r="AL140" i="1"/>
  <c r="AL172" i="1"/>
  <c r="AL141" i="1"/>
  <c r="AL173" i="1"/>
  <c r="AL142" i="1"/>
  <c r="AL174" i="1"/>
  <c r="AL143" i="1"/>
  <c r="AL175" i="1"/>
  <c r="AL144" i="1"/>
  <c r="AL176" i="1"/>
  <c r="AL146" i="1"/>
  <c r="AL145" i="1"/>
  <c r="AL177" i="1"/>
  <c r="AL178" i="1"/>
  <c r="AL147" i="1"/>
  <c r="AL179" i="1"/>
  <c r="AL148" i="1"/>
  <c r="AL180" i="1"/>
  <c r="AL149" i="1"/>
  <c r="AL181" i="1"/>
  <c r="AL150" i="1"/>
  <c r="AL135" i="1"/>
  <c r="AL151" i="1"/>
  <c r="AL153" i="1"/>
  <c r="AL171" i="1"/>
  <c r="AL154" i="1"/>
  <c r="AL155" i="1"/>
  <c r="AL156" i="1"/>
  <c r="AL157" i="1"/>
  <c r="AL158" i="1"/>
  <c r="AL159" i="1"/>
  <c r="AL162" i="1"/>
  <c r="AL160" i="1"/>
  <c r="AL161" i="1"/>
  <c r="AL139" i="1"/>
  <c r="AL152" i="1"/>
  <c r="AL484" i="1"/>
  <c r="AL485" i="1"/>
  <c r="AL487" i="1"/>
  <c r="AL488" i="1"/>
  <c r="AL489" i="1"/>
  <c r="AL490" i="1"/>
  <c r="AL491" i="1"/>
  <c r="AL493" i="1"/>
  <c r="AL494" i="1"/>
  <c r="AL495" i="1"/>
  <c r="AL496" i="1"/>
  <c r="AL497" i="1"/>
  <c r="AL499" i="1"/>
  <c r="AL498" i="1"/>
  <c r="AL480" i="1"/>
  <c r="AL492" i="1"/>
  <c r="AL486" i="1"/>
  <c r="AL481" i="1"/>
  <c r="AL482" i="1"/>
  <c r="AL483" i="1"/>
  <c r="AN38" i="1"/>
  <c r="AN382" i="1"/>
  <c r="AN383" i="1"/>
  <c r="AN384" i="1"/>
  <c r="AN385" i="1"/>
  <c r="AN389" i="1"/>
  <c r="AN386" i="1"/>
  <c r="AN387" i="1"/>
  <c r="AN388" i="1"/>
  <c r="AN390" i="1"/>
  <c r="AN391" i="1"/>
  <c r="AN392" i="1"/>
  <c r="AN393" i="1"/>
  <c r="AN394" i="1"/>
  <c r="AN395" i="1"/>
  <c r="AN396" i="1"/>
  <c r="AN397" i="1"/>
  <c r="AN381" i="1"/>
  <c r="AN422" i="1"/>
  <c r="AN424" i="1"/>
  <c r="AN423" i="1"/>
  <c r="AN425" i="1"/>
  <c r="AN426" i="1"/>
  <c r="AN427" i="1"/>
  <c r="AN428" i="1"/>
  <c r="AN429" i="1"/>
  <c r="AN430" i="1"/>
  <c r="AN431" i="1"/>
  <c r="AN421" i="1"/>
  <c r="AH440" i="1"/>
  <c r="AH452" i="1"/>
  <c r="AH464" i="1"/>
  <c r="AH476" i="1"/>
  <c r="AH488" i="1"/>
  <c r="AH500" i="1"/>
  <c r="AH512" i="1"/>
  <c r="AH441" i="1"/>
  <c r="AH453" i="1"/>
  <c r="AH465" i="1"/>
  <c r="AH477" i="1"/>
  <c r="AH489" i="1"/>
  <c r="AH501" i="1"/>
  <c r="AH513" i="1"/>
  <c r="AH525" i="1"/>
  <c r="AH442" i="1"/>
  <c r="AH454" i="1"/>
  <c r="AH466" i="1"/>
  <c r="AH478" i="1"/>
  <c r="AH490" i="1"/>
  <c r="AH502" i="1"/>
  <c r="AH514" i="1"/>
  <c r="AH526" i="1"/>
  <c r="AH443" i="1"/>
  <c r="AH455" i="1"/>
  <c r="AH467" i="1"/>
  <c r="AH479" i="1"/>
  <c r="AH491" i="1"/>
  <c r="AH503" i="1"/>
  <c r="AH515" i="1"/>
  <c r="AH527" i="1"/>
  <c r="AH435" i="1"/>
  <c r="AH451" i="1"/>
  <c r="AH471" i="1"/>
  <c r="AH487" i="1"/>
  <c r="AH507" i="1"/>
  <c r="AH523" i="1"/>
  <c r="AH437" i="1"/>
  <c r="AH436" i="1"/>
  <c r="AH456" i="1"/>
  <c r="AH472" i="1"/>
  <c r="AH492" i="1"/>
  <c r="AH508" i="1"/>
  <c r="AH524" i="1"/>
  <c r="AH473" i="1"/>
  <c r="AH457" i="1"/>
  <c r="AH493" i="1"/>
  <c r="AH509" i="1"/>
  <c r="AH528" i="1"/>
  <c r="AH438" i="1"/>
  <c r="AH458" i="1"/>
  <c r="AH474" i="1"/>
  <c r="AH494" i="1"/>
  <c r="AH510" i="1"/>
  <c r="AH433" i="1"/>
  <c r="AH439" i="1"/>
  <c r="AH459" i="1"/>
  <c r="AH475" i="1"/>
  <c r="AH495" i="1"/>
  <c r="AH511" i="1"/>
  <c r="AH445" i="1"/>
  <c r="AH461" i="1"/>
  <c r="AH481" i="1"/>
  <c r="AH497" i="1"/>
  <c r="AH517" i="1"/>
  <c r="AH446" i="1"/>
  <c r="AH482" i="1"/>
  <c r="AH518" i="1"/>
  <c r="AH484" i="1"/>
  <c r="AH485" i="1"/>
  <c r="AH522" i="1"/>
  <c r="AH463" i="1"/>
  <c r="AH434" i="1"/>
  <c r="AH447" i="1"/>
  <c r="AH483" i="1"/>
  <c r="AH519" i="1"/>
  <c r="AH448" i="1"/>
  <c r="AH449" i="1"/>
  <c r="AH520" i="1"/>
  <c r="AH486" i="1"/>
  <c r="AH521" i="1"/>
  <c r="AH499" i="1"/>
  <c r="AH505" i="1"/>
  <c r="AH516" i="1"/>
  <c r="AH450" i="1"/>
  <c r="AH460" i="1"/>
  <c r="AH496" i="1"/>
  <c r="AH462" i="1"/>
  <c r="AH498" i="1"/>
  <c r="AH470" i="1"/>
  <c r="AH480" i="1"/>
  <c r="AH468" i="1"/>
  <c r="AH504" i="1"/>
  <c r="AH469" i="1"/>
  <c r="AH506" i="1"/>
  <c r="AH444" i="1"/>
  <c r="AM11" i="1"/>
  <c r="AH258" i="1"/>
  <c r="AM258" i="1"/>
  <c r="AN306" i="1"/>
  <c r="AL432" i="1"/>
  <c r="AN432" i="1"/>
  <c r="AM93" i="1"/>
  <c r="AM100" i="1"/>
  <c r="AL306" i="1"/>
  <c r="AL380" i="1"/>
  <c r="AI432" i="1"/>
  <c r="AH57" i="1"/>
  <c r="AM57" i="1"/>
  <c r="AK57" i="1"/>
  <c r="AK2" i="1"/>
  <c r="AH2" i="1"/>
  <c r="AM182" i="1"/>
  <c r="AK258" i="1"/>
  <c r="AK100" i="1"/>
  <c r="AC285" i="1"/>
  <c r="AC63" i="1"/>
  <c r="AC298" i="1"/>
  <c r="AN298" i="1" s="1"/>
  <c r="AC97" i="1"/>
  <c r="AC72" i="1"/>
  <c r="AC189" i="1"/>
  <c r="AC108" i="1"/>
  <c r="AC17" i="1"/>
  <c r="AA349" i="1"/>
  <c r="AA350" i="1"/>
  <c r="AA352" i="1"/>
  <c r="AA353" i="1"/>
  <c r="AA354" i="1"/>
  <c r="AA356" i="1"/>
  <c r="AA357" i="1"/>
  <c r="AA358" i="1"/>
  <c r="AA359" i="1"/>
  <c r="AA361" i="1"/>
  <c r="AA362" i="1"/>
  <c r="AA363" i="1"/>
  <c r="AA365" i="1"/>
  <c r="AA366" i="1"/>
  <c r="AA367" i="1"/>
  <c r="AA368" i="1"/>
  <c r="AA370" i="1"/>
  <c r="AA371" i="1"/>
  <c r="AA372" i="1"/>
  <c r="AA374" i="1"/>
  <c r="AA375" i="1"/>
  <c r="AA377" i="1"/>
  <c r="AA378" i="1"/>
  <c r="AA379" i="1"/>
  <c r="AA381" i="1"/>
  <c r="AA382" i="1"/>
  <c r="AA384" i="1"/>
  <c r="AA385" i="1"/>
  <c r="AA386" i="1"/>
  <c r="AA388" i="1"/>
  <c r="AA390" i="1"/>
  <c r="AA391" i="1"/>
  <c r="AA392" i="1"/>
  <c r="AA394" i="1"/>
  <c r="AA396" i="1"/>
  <c r="AA397" i="1"/>
  <c r="AA399" i="1"/>
  <c r="AA400" i="1"/>
  <c r="AA401" i="1"/>
  <c r="AA403" i="1"/>
  <c r="AA404" i="1"/>
  <c r="AA406" i="1"/>
  <c r="AA407" i="1"/>
  <c r="AA408" i="1"/>
  <c r="AA410" i="1"/>
  <c r="AA411" i="1"/>
  <c r="AA413" i="1"/>
  <c r="AA414" i="1"/>
  <c r="AA415" i="1"/>
  <c r="AA417" i="1"/>
  <c r="AA418" i="1"/>
  <c r="AA419" i="1"/>
  <c r="AA421" i="1"/>
  <c r="AA422" i="1"/>
  <c r="AA423" i="1"/>
  <c r="AA425" i="1"/>
  <c r="AA426" i="1"/>
  <c r="AA427" i="1"/>
  <c r="AA429" i="1"/>
  <c r="AA430" i="1"/>
  <c r="AA431" i="1"/>
  <c r="AA346" i="1"/>
  <c r="AA347" i="1"/>
  <c r="AA345" i="1"/>
  <c r="AA341" i="1"/>
  <c r="AA342" i="1"/>
  <c r="AA343" i="1"/>
  <c r="AA344" i="1"/>
  <c r="AA334" i="1"/>
  <c r="AA335" i="1"/>
  <c r="AA336" i="1"/>
  <c r="AA337" i="1"/>
  <c r="AA338" i="1"/>
  <c r="AA339" i="1"/>
  <c r="AA329" i="1"/>
  <c r="AA330" i="1"/>
  <c r="AA331" i="1"/>
  <c r="AA332" i="1"/>
  <c r="AA324" i="1"/>
  <c r="AA325" i="1"/>
  <c r="AA326" i="1"/>
  <c r="AA327" i="1"/>
  <c r="AA319" i="1"/>
  <c r="AA320" i="1"/>
  <c r="AA321" i="1"/>
  <c r="AA322" i="1"/>
  <c r="AA313" i="1"/>
  <c r="AA314" i="1"/>
  <c r="AA315" i="1"/>
  <c r="AA316" i="1"/>
  <c r="AA317" i="1"/>
  <c r="AA307" i="1"/>
  <c r="AA308" i="1"/>
  <c r="AA309" i="1"/>
  <c r="AA310" i="1"/>
  <c r="AA311" i="1"/>
  <c r="AA303" i="1"/>
  <c r="AA304" i="1"/>
  <c r="AA305" i="1"/>
  <c r="AA299" i="1"/>
  <c r="AA300" i="1"/>
  <c r="AA301" i="1"/>
  <c r="AA293" i="1"/>
  <c r="AA294" i="1"/>
  <c r="AA295" i="1"/>
  <c r="AA296" i="1"/>
  <c r="AA297" i="1"/>
  <c r="AA286" i="1"/>
  <c r="AA287" i="1"/>
  <c r="AA428" i="1"/>
  <c r="AA424" i="1"/>
  <c r="AA420" i="1"/>
  <c r="AA416" i="1"/>
  <c r="AA412" i="1"/>
  <c r="AA409" i="1"/>
  <c r="AA405" i="1"/>
  <c r="AA402" i="1"/>
  <c r="AA398" i="1"/>
  <c r="AA271" i="1"/>
  <c r="AA272" i="1"/>
  <c r="AA273" i="1"/>
  <c r="AA274" i="1"/>
  <c r="AA275" i="1"/>
  <c r="AA265" i="1"/>
  <c r="AA266" i="1"/>
  <c r="AA267" i="1"/>
  <c r="AA268" i="1"/>
  <c r="AA269" i="1"/>
  <c r="AA259" i="1"/>
  <c r="AA260" i="1"/>
  <c r="AA261" i="1"/>
  <c r="AA262" i="1"/>
  <c r="AA263" i="1"/>
  <c r="AA395" i="1"/>
  <c r="AA393" i="1"/>
  <c r="AA389" i="1"/>
  <c r="AA387" i="1"/>
  <c r="AA383" i="1"/>
  <c r="AA380" i="1"/>
  <c r="AA376" i="1"/>
  <c r="AA373" i="1"/>
  <c r="AA369" i="1"/>
  <c r="AA364" i="1"/>
  <c r="AA360" i="1"/>
  <c r="AA355" i="1"/>
  <c r="AA351" i="1"/>
  <c r="AA348" i="1"/>
  <c r="AA340" i="1"/>
  <c r="AA333" i="1"/>
  <c r="AA328" i="1"/>
  <c r="AA323" i="1"/>
  <c r="AA318" i="1"/>
  <c r="AA312" i="1"/>
  <c r="AA306" i="1"/>
  <c r="AA302" i="1"/>
  <c r="AA298" i="1"/>
  <c r="AA292" i="1"/>
  <c r="AA288" i="1"/>
  <c r="AA285" i="1"/>
  <c r="AA276" i="1"/>
  <c r="AA270" i="1"/>
  <c r="AA264" i="1"/>
  <c r="AA258" i="1"/>
  <c r="AA73" i="1"/>
  <c r="AA74" i="1"/>
  <c r="AA75" i="1"/>
  <c r="AA76" i="1"/>
  <c r="AA86" i="1"/>
  <c r="AA87" i="1"/>
  <c r="AA88" i="1"/>
  <c r="AA128" i="1"/>
  <c r="AA129" i="1"/>
  <c r="AA131" i="1"/>
  <c r="AA132" i="1"/>
  <c r="AA133" i="1"/>
  <c r="AA135" i="1"/>
  <c r="AA136" i="1"/>
  <c r="AA138" i="1"/>
  <c r="AA139" i="1"/>
  <c r="AA140" i="1"/>
  <c r="AA142" i="1"/>
  <c r="AA143" i="1"/>
  <c r="AA144" i="1"/>
  <c r="AA145" i="1"/>
  <c r="AA147" i="1"/>
  <c r="AA148" i="1"/>
  <c r="AA149" i="1"/>
  <c r="AA151" i="1"/>
  <c r="AA152" i="1"/>
  <c r="AA153" i="1"/>
  <c r="AA155" i="1"/>
  <c r="AA156" i="1"/>
  <c r="AA158" i="1"/>
  <c r="AA159" i="1"/>
  <c r="AA161" i="1"/>
  <c r="AA162" i="1"/>
  <c r="AA164" i="1"/>
  <c r="AA165" i="1"/>
  <c r="AA166" i="1"/>
  <c r="AA168" i="1"/>
  <c r="AA169" i="1"/>
  <c r="AA171" i="1"/>
  <c r="AA172" i="1"/>
  <c r="AA173" i="1"/>
  <c r="AA175" i="1"/>
  <c r="AA176" i="1"/>
  <c r="AA178" i="1"/>
  <c r="AA179" i="1"/>
  <c r="AA181" i="1"/>
  <c r="AA183" i="1"/>
  <c r="AA184" i="1"/>
  <c r="AA185" i="1"/>
  <c r="AA186" i="1"/>
  <c r="AA187" i="1"/>
  <c r="AA188" i="1"/>
  <c r="AA190" i="1"/>
  <c r="AA191" i="1"/>
  <c r="AA193" i="1"/>
  <c r="AA194" i="1"/>
  <c r="AA195" i="1"/>
  <c r="AA196" i="1"/>
  <c r="AA198" i="1"/>
  <c r="AA199" i="1"/>
  <c r="AA200" i="1"/>
  <c r="AA202" i="1"/>
  <c r="AA203" i="1"/>
  <c r="AA204" i="1"/>
  <c r="AA206" i="1"/>
  <c r="AA207" i="1"/>
  <c r="AA208" i="1"/>
  <c r="AA209" i="1"/>
  <c r="AA211" i="1"/>
  <c r="AA212" i="1"/>
  <c r="AA213" i="1"/>
  <c r="AA215" i="1"/>
  <c r="AA216" i="1"/>
  <c r="AA217" i="1"/>
  <c r="AA218" i="1"/>
  <c r="AA220" i="1"/>
  <c r="AA221" i="1"/>
  <c r="AA222" i="1"/>
  <c r="AA223" i="1"/>
  <c r="AA225" i="1"/>
  <c r="AA226" i="1"/>
  <c r="AA227" i="1"/>
  <c r="AA228" i="1"/>
  <c r="AA229" i="1"/>
  <c r="AA230" i="1"/>
  <c r="AA231" i="1"/>
  <c r="AA232" i="1"/>
  <c r="AA233" i="1"/>
  <c r="AA235" i="1"/>
  <c r="AA236" i="1"/>
  <c r="AA237" i="1"/>
  <c r="AA239" i="1"/>
  <c r="AA240" i="1"/>
  <c r="AA241" i="1"/>
  <c r="AA242" i="1"/>
  <c r="AA244" i="1"/>
  <c r="AA245" i="1"/>
  <c r="AA247" i="1"/>
  <c r="AA248" i="1"/>
  <c r="AA250" i="1"/>
  <c r="AA251" i="1"/>
  <c r="AA253" i="1"/>
  <c r="AA254" i="1"/>
  <c r="AA256" i="1"/>
  <c r="AA257" i="1"/>
  <c r="AA255" i="1"/>
  <c r="AA252" i="1"/>
  <c r="AA249" i="1"/>
  <c r="AA246" i="1"/>
  <c r="AA243" i="1"/>
  <c r="AA238" i="1"/>
  <c r="AA234" i="1"/>
  <c r="AA219" i="1"/>
  <c r="AA224" i="1"/>
  <c r="AA214" i="1"/>
  <c r="AA210" i="1"/>
  <c r="AA205" i="1"/>
  <c r="AA201" i="1"/>
  <c r="AA197" i="1"/>
  <c r="AA192" i="1"/>
  <c r="AA189" i="1"/>
  <c r="AA182" i="1"/>
  <c r="AA180" i="1"/>
  <c r="AA177" i="1"/>
  <c r="AA174" i="1"/>
  <c r="AA170" i="1"/>
  <c r="AA167" i="1"/>
  <c r="AA163" i="1"/>
  <c r="AA160" i="1"/>
  <c r="AA157" i="1"/>
  <c r="AA154" i="1"/>
  <c r="AA150" i="1"/>
  <c r="AA146" i="1"/>
  <c r="AA141" i="1"/>
  <c r="AA134" i="1"/>
  <c r="AA126" i="1"/>
  <c r="AA125" i="1"/>
  <c r="AA124" i="1"/>
  <c r="AA123" i="1"/>
  <c r="AA121" i="1"/>
  <c r="AA120" i="1"/>
  <c r="AA119" i="1"/>
  <c r="AA117" i="1"/>
  <c r="AA116" i="1"/>
  <c r="AA115" i="1"/>
  <c r="AA113" i="1"/>
  <c r="AA112" i="1"/>
  <c r="AA111" i="1"/>
  <c r="AA110" i="1"/>
  <c r="AA109" i="1"/>
  <c r="AA107" i="1"/>
  <c r="AA106" i="1"/>
  <c r="AA105" i="1"/>
  <c r="AA104" i="1"/>
  <c r="AA103" i="1"/>
  <c r="AA101" i="1"/>
  <c r="AA99" i="1"/>
  <c r="AA98" i="1"/>
  <c r="AA96" i="1"/>
  <c r="AA95" i="1"/>
  <c r="AA94" i="1"/>
  <c r="AA92" i="1"/>
  <c r="AA91" i="1"/>
  <c r="AA90" i="1"/>
  <c r="AA84" i="1"/>
  <c r="AA83" i="1"/>
  <c r="AA82" i="1"/>
  <c r="AA80" i="1"/>
  <c r="AA79" i="1"/>
  <c r="AA78" i="1"/>
  <c r="AA71" i="1"/>
  <c r="AA70" i="1"/>
  <c r="AA69" i="1"/>
  <c r="AA68" i="1"/>
  <c r="AA67" i="1"/>
  <c r="AA66" i="1"/>
  <c r="AA65" i="1"/>
  <c r="AA64" i="1"/>
  <c r="AA62" i="1"/>
  <c r="AA61" i="1"/>
  <c r="AA60" i="1"/>
  <c r="AA59" i="1"/>
  <c r="AA58" i="1"/>
  <c r="AA56" i="1"/>
  <c r="AA55" i="1"/>
  <c r="AA54" i="1"/>
  <c r="AA53" i="1"/>
  <c r="AA52" i="1"/>
  <c r="AA48" i="1"/>
  <c r="AA49" i="1"/>
  <c r="AA50" i="1"/>
  <c r="AA51" i="1"/>
  <c r="AA47" i="1"/>
  <c r="AA46" i="1"/>
  <c r="AA45" i="1"/>
  <c r="AA44" i="1"/>
  <c r="AA43" i="1"/>
  <c r="AA42" i="1"/>
  <c r="AA41" i="1"/>
  <c r="AA40" i="1"/>
  <c r="AA39" i="1"/>
  <c r="AA38" i="1"/>
  <c r="AA37" i="1"/>
  <c r="AA36" i="1"/>
  <c r="AA35" i="1"/>
  <c r="AA34" i="1"/>
  <c r="AA33" i="1"/>
  <c r="AA32" i="1"/>
  <c r="AA31" i="1"/>
  <c r="AA30" i="1"/>
  <c r="AA29" i="1"/>
  <c r="AA28" i="1"/>
  <c r="AA26" i="1"/>
  <c r="AA25" i="1"/>
  <c r="AA24" i="1"/>
  <c r="AA22" i="1"/>
  <c r="AA21" i="1"/>
  <c r="AA20" i="1"/>
  <c r="AA19" i="1"/>
  <c r="AA18" i="1"/>
  <c r="AA10" i="1"/>
  <c r="AA9" i="1"/>
  <c r="AA8" i="1"/>
  <c r="AA7" i="1"/>
  <c r="AA16" i="1"/>
  <c r="AA15" i="1"/>
  <c r="AA14" i="1"/>
  <c r="AA13" i="1"/>
  <c r="AA12" i="1"/>
  <c r="AA5" i="1"/>
  <c r="AA4" i="1"/>
  <c r="AA3" i="1"/>
  <c r="AA27" i="1"/>
  <c r="AA23" i="1"/>
  <c r="AA17" i="1"/>
  <c r="AA11" i="1"/>
  <c r="AA6" i="1"/>
  <c r="AA72" i="1"/>
  <c r="AA77" i="1"/>
  <c r="AA81" i="1"/>
  <c r="AA85" i="1"/>
  <c r="AA89" i="1"/>
  <c r="AA93" i="1"/>
  <c r="AA97" i="1"/>
  <c r="AA100" i="1"/>
  <c r="AA102" i="1"/>
  <c r="AA108" i="1"/>
  <c r="AA114" i="1"/>
  <c r="AA118" i="1"/>
  <c r="AA122" i="1"/>
  <c r="AA127" i="1"/>
  <c r="AA130" i="1"/>
  <c r="AA63" i="1"/>
  <c r="AA57" i="1"/>
  <c r="AJ122" i="1" l="1"/>
  <c r="AJ228" i="1"/>
  <c r="AJ83" i="1"/>
  <c r="AJ178" i="1"/>
  <c r="AJ181" i="1"/>
  <c r="AJ153" i="1"/>
  <c r="AJ224" i="1"/>
  <c r="AJ79" i="1"/>
  <c r="AJ175" i="1"/>
  <c r="AJ239" i="1"/>
  <c r="AJ174" i="1"/>
  <c r="AJ133" i="1"/>
  <c r="AJ149" i="1"/>
  <c r="AJ232" i="1"/>
  <c r="AJ87" i="1"/>
  <c r="AJ171" i="1"/>
  <c r="AJ159" i="1"/>
  <c r="AJ196" i="1"/>
  <c r="AJ217" i="1"/>
  <c r="AJ165" i="1"/>
  <c r="AJ186" i="1"/>
  <c r="AJ254" i="1"/>
  <c r="AJ110" i="1"/>
  <c r="AJ216" i="1"/>
  <c r="AJ71" i="1"/>
  <c r="AJ166" i="1"/>
  <c r="AJ109" i="1"/>
  <c r="AJ141" i="1"/>
  <c r="AJ212" i="1"/>
  <c r="AJ67" i="1"/>
  <c r="AJ163" i="1"/>
  <c r="AJ203" i="1"/>
  <c r="AJ162" i="1"/>
  <c r="AJ84" i="1"/>
  <c r="AJ137" i="1"/>
  <c r="AJ220" i="1"/>
  <c r="AJ75" i="1"/>
  <c r="AJ138" i="1"/>
  <c r="AJ135" i="1"/>
  <c r="AJ74" i="1"/>
  <c r="AJ198" i="1"/>
  <c r="AJ95" i="1"/>
  <c r="AJ242" i="1"/>
  <c r="AJ97" i="1"/>
  <c r="AJ204" i="1"/>
  <c r="AJ59" i="1"/>
  <c r="AJ154" i="1"/>
  <c r="AJ191" i="1"/>
  <c r="AJ129" i="1"/>
  <c r="AJ200" i="1"/>
  <c r="AJ169" i="1"/>
  <c r="AJ151" i="1"/>
  <c r="AJ131" i="1"/>
  <c r="AJ150" i="1"/>
  <c r="AJ167" i="1"/>
  <c r="AJ125" i="1"/>
  <c r="AJ208" i="1"/>
  <c r="AJ63" i="1"/>
  <c r="AJ147" i="1"/>
  <c r="AJ113" i="1"/>
  <c r="AJ98" i="1"/>
  <c r="AJ146" i="1"/>
  <c r="AJ177" i="1"/>
  <c r="AJ112" i="1"/>
  <c r="AJ190" i="1"/>
  <c r="AJ183" i="1"/>
  <c r="AJ230" i="1"/>
  <c r="AJ85" i="1"/>
  <c r="AJ192" i="1"/>
  <c r="AJ251" i="1"/>
  <c r="AJ142" i="1"/>
  <c r="AJ70" i="1"/>
  <c r="AJ117" i="1"/>
  <c r="AJ188" i="1"/>
  <c r="AJ72" i="1"/>
  <c r="AJ139" i="1"/>
  <c r="AJ94" i="1"/>
  <c r="AJ257" i="1"/>
  <c r="AJ157" i="1"/>
  <c r="AJ121" i="1"/>
  <c r="AJ218" i="1"/>
  <c r="AJ73" i="1"/>
  <c r="AJ180" i="1"/>
  <c r="AJ215" i="1"/>
  <c r="AJ130" i="1"/>
  <c r="AJ249" i="1"/>
  <c r="AJ105" i="1"/>
  <c r="AJ176" i="1"/>
  <c r="AJ227" i="1"/>
  <c r="AJ127" i="1"/>
  <c r="AJ58" i="1"/>
  <c r="AJ126" i="1"/>
  <c r="AJ245" i="1"/>
  <c r="AJ101" i="1"/>
  <c r="AJ184" i="1"/>
  <c r="AJ107" i="1"/>
  <c r="AJ123" i="1"/>
  <c r="AJ118" i="1"/>
  <c r="AJ119" i="1"/>
  <c r="AJ100" i="1"/>
  <c r="AJ114" i="1"/>
  <c r="AJ233" i="1"/>
  <c r="AJ172" i="1"/>
  <c r="AJ255" i="1"/>
  <c r="AJ111" i="1"/>
  <c r="AJ256" i="1"/>
  <c r="AJ240" i="1"/>
  <c r="AJ91" i="1"/>
  <c r="AJ244" i="1"/>
  <c r="AJ206" i="1"/>
  <c r="AJ61" i="1"/>
  <c r="AJ168" i="1"/>
  <c r="AJ143" i="1"/>
  <c r="AJ237" i="1"/>
  <c r="AJ92" i="1"/>
  <c r="AJ164" i="1"/>
  <c r="AJ115" i="1"/>
  <c r="AJ88" i="1"/>
  <c r="AJ173" i="1"/>
  <c r="AJ241" i="1"/>
  <c r="AJ161" i="1"/>
  <c r="AJ194" i="1"/>
  <c r="AJ229" i="1"/>
  <c r="AJ156" i="1"/>
  <c r="AJ250" i="1"/>
  <c r="AJ106" i="1"/>
  <c r="AJ225" i="1"/>
  <c r="AJ80" i="1"/>
  <c r="AJ152" i="1"/>
  <c r="AJ247" i="1"/>
  <c r="AJ103" i="1"/>
  <c r="AJ246" i="1"/>
  <c r="AJ102" i="1"/>
  <c r="AJ221" i="1"/>
  <c r="AJ76" i="1"/>
  <c r="AJ160" i="1"/>
  <c r="AJ243" i="1"/>
  <c r="AJ57" i="1"/>
  <c r="AJ248" i="1"/>
  <c r="AJ253" i="1"/>
  <c r="AJ187" i="1"/>
  <c r="AJ182" i="1"/>
  <c r="AJ60" i="1"/>
  <c r="AJ144" i="1"/>
  <c r="AJ238" i="1"/>
  <c r="AJ93" i="1"/>
  <c r="AJ213" i="1"/>
  <c r="AJ68" i="1"/>
  <c r="AJ140" i="1"/>
  <c r="AJ235" i="1"/>
  <c r="AJ90" i="1"/>
  <c r="AJ234" i="1"/>
  <c r="AJ89" i="1"/>
  <c r="AJ209" i="1"/>
  <c r="AJ64" i="1"/>
  <c r="AJ148" i="1"/>
  <c r="AJ231" i="1"/>
  <c r="AJ86" i="1"/>
  <c r="AJ108" i="1"/>
  <c r="AJ236" i="1"/>
  <c r="AJ170" i="1"/>
  <c r="AJ179" i="1"/>
  <c r="AJ132" i="1"/>
  <c r="AJ226" i="1"/>
  <c r="AJ81" i="1"/>
  <c r="AJ201" i="1"/>
  <c r="AJ145" i="1"/>
  <c r="AJ128" i="1"/>
  <c r="AJ223" i="1"/>
  <c r="AJ78" i="1"/>
  <c r="AJ222" i="1"/>
  <c r="AJ77" i="1"/>
  <c r="AJ197" i="1"/>
  <c r="AJ205" i="1"/>
  <c r="AJ136" i="1"/>
  <c r="AJ219" i="1"/>
  <c r="AJ202" i="1"/>
  <c r="AJ104" i="1"/>
  <c r="AJ195" i="1"/>
  <c r="AJ134" i="1"/>
  <c r="AJ99" i="1"/>
  <c r="AJ158" i="1"/>
  <c r="AJ82" i="1"/>
  <c r="AJ120" i="1"/>
  <c r="AJ214" i="1"/>
  <c r="AJ69" i="1"/>
  <c r="AJ189" i="1"/>
  <c r="AJ155" i="1"/>
  <c r="AJ116" i="1"/>
  <c r="AJ211" i="1"/>
  <c r="AJ66" i="1"/>
  <c r="AJ210" i="1"/>
  <c r="AJ65" i="1"/>
  <c r="AJ185" i="1"/>
  <c r="AJ96" i="1"/>
  <c r="AJ124" i="1"/>
  <c r="AJ207" i="1"/>
  <c r="AJ62" i="1"/>
  <c r="AJ252" i="1"/>
  <c r="AJ199" i="1"/>
  <c r="AJ193" i="1"/>
  <c r="AJ423" i="1"/>
  <c r="AJ279" i="1"/>
  <c r="AJ325" i="1"/>
  <c r="AJ324" i="1"/>
  <c r="AJ311" i="1"/>
  <c r="AJ406" i="1"/>
  <c r="AJ262" i="1"/>
  <c r="AJ333" i="1"/>
  <c r="AJ404" i="1"/>
  <c r="AJ260" i="1"/>
  <c r="AJ319" i="1"/>
  <c r="AJ390" i="1"/>
  <c r="AJ425" i="1"/>
  <c r="AJ281" i="1"/>
  <c r="AJ316" i="1"/>
  <c r="AJ286" i="1"/>
  <c r="AJ372" i="1"/>
  <c r="AJ331" i="1"/>
  <c r="AJ293" i="1"/>
  <c r="AJ411" i="1"/>
  <c r="AJ267" i="1"/>
  <c r="AJ313" i="1"/>
  <c r="AJ276" i="1"/>
  <c r="AJ299" i="1"/>
  <c r="AJ394" i="1"/>
  <c r="AJ374" i="1"/>
  <c r="AJ321" i="1"/>
  <c r="AJ392" i="1"/>
  <c r="AJ326" i="1"/>
  <c r="AJ307" i="1"/>
  <c r="AJ378" i="1"/>
  <c r="AJ413" i="1"/>
  <c r="AJ269" i="1"/>
  <c r="AJ304" i="1"/>
  <c r="AJ430" i="1"/>
  <c r="AJ274" i="1"/>
  <c r="AJ399" i="1"/>
  <c r="AJ288" i="1"/>
  <c r="AJ301" i="1"/>
  <c r="AJ431" i="1"/>
  <c r="AJ287" i="1"/>
  <c r="AJ382" i="1"/>
  <c r="AJ266" i="1"/>
  <c r="AJ309" i="1"/>
  <c r="AJ380" i="1"/>
  <c r="AJ336" i="1"/>
  <c r="AJ295" i="1"/>
  <c r="AJ366" i="1"/>
  <c r="AJ401" i="1"/>
  <c r="AJ264" i="1"/>
  <c r="AJ292" i="1"/>
  <c r="AJ303" i="1"/>
  <c r="AJ343" i="1"/>
  <c r="AJ305" i="1"/>
  <c r="AJ272" i="1"/>
  <c r="AJ387" i="1"/>
  <c r="AJ258" i="1"/>
  <c r="AJ289" i="1"/>
  <c r="AJ419" i="1"/>
  <c r="AJ275" i="1"/>
  <c r="AJ370" i="1"/>
  <c r="AJ300" i="1"/>
  <c r="AJ297" i="1"/>
  <c r="AJ368" i="1"/>
  <c r="AJ427" i="1"/>
  <c r="AJ283" i="1"/>
  <c r="AJ354" i="1"/>
  <c r="AJ389" i="1"/>
  <c r="AJ424" i="1"/>
  <c r="AJ280" i="1"/>
  <c r="AJ384" i="1"/>
  <c r="AJ402" i="1"/>
  <c r="AJ375" i="1"/>
  <c r="AJ421" i="1"/>
  <c r="AJ277" i="1"/>
  <c r="AJ407" i="1"/>
  <c r="AJ263" i="1"/>
  <c r="AJ358" i="1"/>
  <c r="AJ429" i="1"/>
  <c r="AJ285" i="1"/>
  <c r="AJ356" i="1"/>
  <c r="AJ415" i="1"/>
  <c r="AJ271" i="1"/>
  <c r="AJ342" i="1"/>
  <c r="AJ377" i="1"/>
  <c r="AJ412" i="1"/>
  <c r="AJ268" i="1"/>
  <c r="AJ335" i="1"/>
  <c r="AJ345" i="1"/>
  <c r="AJ314" i="1"/>
  <c r="AJ328" i="1"/>
  <c r="AJ363" i="1"/>
  <c r="AJ409" i="1"/>
  <c r="AJ265" i="1"/>
  <c r="AJ395" i="1"/>
  <c r="AJ410" i="1"/>
  <c r="AJ346" i="1"/>
  <c r="AJ417" i="1"/>
  <c r="AJ273" i="1"/>
  <c r="AJ344" i="1"/>
  <c r="AJ403" i="1"/>
  <c r="AJ398" i="1"/>
  <c r="AJ330" i="1"/>
  <c r="AJ365" i="1"/>
  <c r="AJ400" i="1"/>
  <c r="AJ422" i="1"/>
  <c r="AJ270" i="1"/>
  <c r="AJ416" i="1"/>
  <c r="AJ351" i="1"/>
  <c r="AJ397" i="1"/>
  <c r="AJ259" i="1"/>
  <c r="AJ383" i="1"/>
  <c r="AJ386" i="1"/>
  <c r="AJ334" i="1"/>
  <c r="AJ405" i="1"/>
  <c r="AJ261" i="1"/>
  <c r="AJ332" i="1"/>
  <c r="AJ391" i="1"/>
  <c r="AJ350" i="1"/>
  <c r="AJ318" i="1"/>
  <c r="AJ353" i="1"/>
  <c r="AJ388" i="1"/>
  <c r="AJ284" i="1"/>
  <c r="AJ291" i="1"/>
  <c r="AJ339" i="1"/>
  <c r="AJ385" i="1"/>
  <c r="AJ420" i="1"/>
  <c r="AJ371" i="1"/>
  <c r="AJ338" i="1"/>
  <c r="AJ322" i="1"/>
  <c r="AJ393" i="1"/>
  <c r="AJ362" i="1"/>
  <c r="AJ320" i="1"/>
  <c r="AJ379" i="1"/>
  <c r="AJ302" i="1"/>
  <c r="AJ306" i="1"/>
  <c r="AJ341" i="1"/>
  <c r="AJ376" i="1"/>
  <c r="AJ349" i="1"/>
  <c r="AJ418" i="1"/>
  <c r="AJ327" i="1"/>
  <c r="AJ373" i="1"/>
  <c r="AJ408" i="1"/>
  <c r="AJ359" i="1"/>
  <c r="AJ290" i="1"/>
  <c r="AJ310" i="1"/>
  <c r="AJ381" i="1"/>
  <c r="AJ278" i="1"/>
  <c r="AJ308" i="1"/>
  <c r="AJ367" i="1"/>
  <c r="AJ348" i="1"/>
  <c r="AJ294" i="1"/>
  <c r="AJ329" i="1"/>
  <c r="AJ364" i="1"/>
  <c r="AJ357" i="1"/>
  <c r="AJ414" i="1"/>
  <c r="AJ340" i="1"/>
  <c r="AJ323" i="1"/>
  <c r="AJ315" i="1"/>
  <c r="AJ361" i="1"/>
  <c r="AJ396" i="1"/>
  <c r="AJ347" i="1"/>
  <c r="AJ312" i="1"/>
  <c r="AJ298" i="1"/>
  <c r="AJ369" i="1"/>
  <c r="AJ360" i="1"/>
  <c r="AJ296" i="1"/>
  <c r="AJ355" i="1"/>
  <c r="AJ426" i="1"/>
  <c r="AJ282" i="1"/>
  <c r="AJ317" i="1"/>
  <c r="AJ352" i="1"/>
  <c r="AJ428" i="1"/>
  <c r="AJ337" i="1"/>
  <c r="AJ14" i="1"/>
  <c r="AJ23" i="1"/>
  <c r="AJ18" i="1"/>
  <c r="AJ27" i="1"/>
  <c r="AJ6" i="1"/>
  <c r="AJ46" i="1"/>
  <c r="AJ40" i="1"/>
  <c r="AJ38" i="1"/>
  <c r="AJ3" i="1"/>
  <c r="AJ41" i="1"/>
  <c r="AJ22" i="1"/>
  <c r="AJ42" i="1"/>
  <c r="AJ24" i="1"/>
  <c r="AJ17" i="1"/>
  <c r="AJ43" i="1"/>
  <c r="AJ13" i="1"/>
  <c r="AJ32" i="1"/>
  <c r="AJ34" i="1"/>
  <c r="AJ19" i="1"/>
  <c r="AJ33" i="1"/>
  <c r="AJ47" i="1"/>
  <c r="AJ56" i="1"/>
  <c r="AJ9" i="1"/>
  <c r="AJ39" i="1"/>
  <c r="AJ8" i="1"/>
  <c r="AJ25" i="1"/>
  <c r="AJ49" i="1"/>
  <c r="AJ53" i="1"/>
  <c r="AJ35" i="1"/>
  <c r="AJ10" i="1"/>
  <c r="AJ26" i="1"/>
  <c r="AJ50" i="1"/>
  <c r="AJ4" i="1"/>
  <c r="AJ55" i="1"/>
  <c r="AJ37" i="1"/>
  <c r="AJ48" i="1"/>
  <c r="AJ2" i="1"/>
  <c r="AJ52" i="1"/>
  <c r="AJ5" i="1"/>
  <c r="AJ15" i="1"/>
  <c r="AJ45" i="1"/>
  <c r="AJ11" i="1"/>
  <c r="AJ28" i="1"/>
  <c r="AJ54" i="1"/>
  <c r="AJ7" i="1"/>
  <c r="AJ29" i="1"/>
  <c r="AJ51" i="1"/>
  <c r="AJ21" i="1"/>
  <c r="AJ30" i="1"/>
  <c r="AJ44" i="1"/>
  <c r="AJ12" i="1"/>
  <c r="AJ31" i="1"/>
  <c r="AJ36" i="1"/>
  <c r="AJ20" i="1"/>
  <c r="AJ16" i="1"/>
  <c r="AN411" i="1"/>
  <c r="AN410" i="1"/>
  <c r="AN419" i="1"/>
  <c r="AN417" i="1"/>
  <c r="AN416" i="1"/>
  <c r="AN415" i="1"/>
  <c r="AN414" i="1"/>
  <c r="AN413" i="1"/>
  <c r="AN412" i="1"/>
  <c r="D5" i="7"/>
  <c r="C3" i="7"/>
  <c r="C4" i="7"/>
  <c r="AN11" i="1"/>
  <c r="AN16" i="1" s="1"/>
  <c r="AN72" i="1"/>
  <c r="AN89" i="1" s="1"/>
  <c r="AN57" i="1"/>
  <c r="AN68" i="1" s="1"/>
  <c r="C2" i="7"/>
  <c r="AN258" i="1"/>
  <c r="AL258" i="1"/>
  <c r="AN300" i="1"/>
  <c r="AN301" i="1"/>
  <c r="AN302" i="1"/>
  <c r="AN303" i="1"/>
  <c r="AN304" i="1"/>
  <c r="AN305" i="1"/>
  <c r="AN299" i="1"/>
  <c r="AL383" i="1"/>
  <c r="AL415" i="1"/>
  <c r="AL384" i="1"/>
  <c r="AL416" i="1"/>
  <c r="AL385" i="1"/>
  <c r="AL386" i="1"/>
  <c r="AL418" i="1"/>
  <c r="AL420" i="1"/>
  <c r="AL387" i="1"/>
  <c r="AL419" i="1"/>
  <c r="AL391" i="1"/>
  <c r="AL388" i="1"/>
  <c r="AL389" i="1"/>
  <c r="AL421" i="1"/>
  <c r="AL390" i="1"/>
  <c r="AL422" i="1"/>
  <c r="AL392" i="1"/>
  <c r="AL424" i="1"/>
  <c r="AL393" i="1"/>
  <c r="AL425" i="1"/>
  <c r="AL394" i="1"/>
  <c r="AL426" i="1"/>
  <c r="AL395" i="1"/>
  <c r="AL427" i="1"/>
  <c r="AL396" i="1"/>
  <c r="AL428" i="1"/>
  <c r="AL430" i="1"/>
  <c r="AL397" i="1"/>
  <c r="AL429" i="1"/>
  <c r="AL398" i="1"/>
  <c r="AL399" i="1"/>
  <c r="AL431" i="1"/>
  <c r="AL400" i="1"/>
  <c r="AL381" i="1"/>
  <c r="AL401" i="1"/>
  <c r="AL402" i="1"/>
  <c r="AL403" i="1"/>
  <c r="AL405" i="1"/>
  <c r="AL423" i="1"/>
  <c r="AL406" i="1"/>
  <c r="AL407" i="1"/>
  <c r="AL408" i="1"/>
  <c r="AL404" i="1"/>
  <c r="AL409" i="1"/>
  <c r="AL410" i="1"/>
  <c r="AL411" i="1"/>
  <c r="AL412" i="1"/>
  <c r="AL413" i="1"/>
  <c r="AL414" i="1"/>
  <c r="AL382" i="1"/>
  <c r="AL417" i="1"/>
  <c r="AL322" i="1"/>
  <c r="AL354" i="1"/>
  <c r="AL323" i="1"/>
  <c r="AL355" i="1"/>
  <c r="AL324" i="1"/>
  <c r="AL330" i="1"/>
  <c r="AL325" i="1"/>
  <c r="AL357" i="1"/>
  <c r="AL326" i="1"/>
  <c r="AL358" i="1"/>
  <c r="AL327" i="1"/>
  <c r="AL359" i="1"/>
  <c r="AL328" i="1"/>
  <c r="AL360" i="1"/>
  <c r="AL329" i="1"/>
  <c r="AL361" i="1"/>
  <c r="AL331" i="1"/>
  <c r="AL363" i="1"/>
  <c r="AL332" i="1"/>
  <c r="AL364" i="1"/>
  <c r="AL333" i="1"/>
  <c r="AL365" i="1"/>
  <c r="AL334" i="1"/>
  <c r="AL366" i="1"/>
  <c r="AL375" i="1"/>
  <c r="AL335" i="1"/>
  <c r="AL367" i="1"/>
  <c r="AL369" i="1"/>
  <c r="AL336" i="1"/>
  <c r="AL368" i="1"/>
  <c r="AL337" i="1"/>
  <c r="AL338" i="1"/>
  <c r="AL370" i="1"/>
  <c r="AL308" i="1"/>
  <c r="AL340" i="1"/>
  <c r="AL372" i="1"/>
  <c r="AL343" i="1"/>
  <c r="AL339" i="1"/>
  <c r="AL371" i="1"/>
  <c r="AL309" i="1"/>
  <c r="AL341" i="1"/>
  <c r="AL373" i="1"/>
  <c r="AL310" i="1"/>
  <c r="AL342" i="1"/>
  <c r="AL374" i="1"/>
  <c r="AL312" i="1"/>
  <c r="AL344" i="1"/>
  <c r="AL376" i="1"/>
  <c r="AL313" i="1"/>
  <c r="AL345" i="1"/>
  <c r="AL377" i="1"/>
  <c r="AL362" i="1"/>
  <c r="AL314" i="1"/>
  <c r="AL346" i="1"/>
  <c r="AL378" i="1"/>
  <c r="AL348" i="1"/>
  <c r="AL353" i="1"/>
  <c r="AL356" i="1"/>
  <c r="AL311" i="1"/>
  <c r="AL315" i="1"/>
  <c r="AL347" i="1"/>
  <c r="AL379" i="1"/>
  <c r="AL321" i="1"/>
  <c r="AL316" i="1"/>
  <c r="AL307" i="1"/>
  <c r="AL317" i="1"/>
  <c r="AL349" i="1"/>
  <c r="AL318" i="1"/>
  <c r="AL350" i="1"/>
  <c r="AL351" i="1"/>
  <c r="AL319" i="1"/>
  <c r="AL320" i="1"/>
  <c r="AL352" i="1"/>
  <c r="AN461" i="1"/>
  <c r="AN463" i="1"/>
  <c r="AN462" i="1"/>
  <c r="AN464" i="1"/>
  <c r="AN465" i="1"/>
  <c r="AN434" i="1"/>
  <c r="AN466" i="1"/>
  <c r="AN435" i="1"/>
  <c r="AN467" i="1"/>
  <c r="AN436" i="1"/>
  <c r="AN468" i="1"/>
  <c r="AN437" i="1"/>
  <c r="AN469" i="1"/>
  <c r="AN438" i="1"/>
  <c r="AN470" i="1"/>
  <c r="AN439" i="1"/>
  <c r="AN471" i="1"/>
  <c r="AN440" i="1"/>
  <c r="AN472" i="1"/>
  <c r="AN441" i="1"/>
  <c r="AN473" i="1"/>
  <c r="AN442" i="1"/>
  <c r="AN474" i="1"/>
  <c r="AN476" i="1"/>
  <c r="AN443" i="1"/>
  <c r="AN475" i="1"/>
  <c r="AN444" i="1"/>
  <c r="AN445" i="1"/>
  <c r="AN477" i="1"/>
  <c r="AN446" i="1"/>
  <c r="AN478" i="1"/>
  <c r="AN447" i="1"/>
  <c r="AN433" i="1"/>
  <c r="AN448" i="1"/>
  <c r="AN449" i="1"/>
  <c r="AN450" i="1"/>
  <c r="AN451" i="1"/>
  <c r="AN452" i="1"/>
  <c r="AN453" i="1"/>
  <c r="AN454" i="1"/>
  <c r="AN455" i="1"/>
  <c r="AN456" i="1"/>
  <c r="AN457" i="1"/>
  <c r="AN458" i="1"/>
  <c r="AN459" i="1"/>
  <c r="AN460" i="1"/>
  <c r="AL449" i="1"/>
  <c r="AL450" i="1"/>
  <c r="AL452" i="1"/>
  <c r="AL453" i="1"/>
  <c r="AL454" i="1"/>
  <c r="AL455" i="1"/>
  <c r="AL456" i="1"/>
  <c r="AL457" i="1"/>
  <c r="AL458" i="1"/>
  <c r="AL459" i="1"/>
  <c r="AL460" i="1"/>
  <c r="AL461" i="1"/>
  <c r="AL470" i="1"/>
  <c r="AL462" i="1"/>
  <c r="AL463" i="1"/>
  <c r="AL464" i="1"/>
  <c r="AL465" i="1"/>
  <c r="AL435" i="1"/>
  <c r="AL467" i="1"/>
  <c r="AL434" i="1"/>
  <c r="AL466" i="1"/>
  <c r="AL436" i="1"/>
  <c r="AL468" i="1"/>
  <c r="AL437" i="1"/>
  <c r="AL469" i="1"/>
  <c r="AL439" i="1"/>
  <c r="AL471" i="1"/>
  <c r="AL440" i="1"/>
  <c r="AL472" i="1"/>
  <c r="AL441" i="1"/>
  <c r="AL473" i="1"/>
  <c r="AL442" i="1"/>
  <c r="AL474" i="1"/>
  <c r="AL443" i="1"/>
  <c r="AL475" i="1"/>
  <c r="AL444" i="1"/>
  <c r="AL476" i="1"/>
  <c r="AL445" i="1"/>
  <c r="AL477" i="1"/>
  <c r="AL446" i="1"/>
  <c r="AL478" i="1"/>
  <c r="AL451" i="1"/>
  <c r="AL447" i="1"/>
  <c r="AL433" i="1"/>
  <c r="AL438" i="1"/>
  <c r="AL448" i="1"/>
  <c r="AN332" i="1"/>
  <c r="AN307" i="1"/>
  <c r="AN333" i="1"/>
  <c r="AN334" i="1"/>
  <c r="AN335" i="1"/>
  <c r="AN336" i="1"/>
  <c r="AN337" i="1"/>
  <c r="AN340" i="1"/>
  <c r="AN338" i="1"/>
  <c r="AN339" i="1"/>
  <c r="AN308" i="1"/>
  <c r="AN309" i="1"/>
  <c r="AN341" i="1"/>
  <c r="AN310" i="1"/>
  <c r="AN342" i="1"/>
  <c r="AN311" i="1"/>
  <c r="AN343" i="1"/>
  <c r="AN312" i="1"/>
  <c r="AN344" i="1"/>
  <c r="AN313" i="1"/>
  <c r="AN345" i="1"/>
  <c r="AN315" i="1"/>
  <c r="AN347" i="1"/>
  <c r="AN314" i="1"/>
  <c r="AN346" i="1"/>
  <c r="AN316" i="1"/>
  <c r="AN348" i="1"/>
  <c r="AN317" i="1"/>
  <c r="AN349" i="1"/>
  <c r="AN318" i="1"/>
  <c r="AN350" i="1"/>
  <c r="AN319" i="1"/>
  <c r="AN351" i="1"/>
  <c r="AN320" i="1"/>
  <c r="AN352" i="1"/>
  <c r="AN321" i="1"/>
  <c r="AN353" i="1"/>
  <c r="AN322" i="1"/>
  <c r="AN354" i="1"/>
  <c r="AN323" i="1"/>
  <c r="AN355" i="1"/>
  <c r="AN324" i="1"/>
  <c r="AN356" i="1"/>
  <c r="AN325" i="1"/>
  <c r="AN357" i="1"/>
  <c r="AN326" i="1"/>
  <c r="AN358" i="1"/>
  <c r="AN327" i="1"/>
  <c r="AN359" i="1"/>
  <c r="AN328" i="1"/>
  <c r="AN360" i="1"/>
  <c r="AN329" i="1"/>
  <c r="AN361" i="1"/>
  <c r="AN330" i="1"/>
  <c r="AN362" i="1"/>
  <c r="AN331" i="1"/>
  <c r="AN363" i="1"/>
  <c r="AN40" i="1"/>
  <c r="AN41" i="1"/>
  <c r="AN47" i="1"/>
  <c r="AN42" i="1"/>
  <c r="AN43" i="1"/>
  <c r="AN44" i="1"/>
  <c r="AN45" i="1"/>
  <c r="AN46" i="1"/>
  <c r="AN48" i="1"/>
  <c r="AN50" i="1"/>
  <c r="AN53" i="1"/>
  <c r="AN49" i="1"/>
  <c r="AN51" i="1"/>
  <c r="AN52" i="1"/>
  <c r="AN54" i="1"/>
  <c r="AN55" i="1"/>
  <c r="AN56" i="1"/>
  <c r="AN39" i="1"/>
  <c r="AN100" i="1"/>
  <c r="AL100" i="1"/>
  <c r="AL93" i="1"/>
  <c r="AN93" i="1"/>
  <c r="AI434" i="1"/>
  <c r="AI446" i="1"/>
  <c r="AI458" i="1"/>
  <c r="AI470" i="1"/>
  <c r="AI482" i="1"/>
  <c r="AI494" i="1"/>
  <c r="AI506" i="1"/>
  <c r="AI518" i="1"/>
  <c r="AI435" i="1"/>
  <c r="AI447" i="1"/>
  <c r="AI459" i="1"/>
  <c r="AI471" i="1"/>
  <c r="AI483" i="1"/>
  <c r="AI495" i="1"/>
  <c r="AI507" i="1"/>
  <c r="AI519" i="1"/>
  <c r="AI436" i="1"/>
  <c r="AI448" i="1"/>
  <c r="AI460" i="1"/>
  <c r="AI472" i="1"/>
  <c r="AI484" i="1"/>
  <c r="AI496" i="1"/>
  <c r="AI508" i="1"/>
  <c r="AI520" i="1"/>
  <c r="AI437" i="1"/>
  <c r="AI449" i="1"/>
  <c r="AI461" i="1"/>
  <c r="AI473" i="1"/>
  <c r="AI485" i="1"/>
  <c r="AI497" i="1"/>
  <c r="AI509" i="1"/>
  <c r="AI521" i="1"/>
  <c r="AI438" i="1"/>
  <c r="AI450" i="1"/>
  <c r="AI462" i="1"/>
  <c r="AI474" i="1"/>
  <c r="AI486" i="1"/>
  <c r="AI498" i="1"/>
  <c r="AI510" i="1"/>
  <c r="AI522" i="1"/>
  <c r="AI445" i="1"/>
  <c r="AI439" i="1"/>
  <c r="AI457" i="1"/>
  <c r="AI479" i="1"/>
  <c r="AI501" i="1"/>
  <c r="AI523" i="1"/>
  <c r="AI489" i="1"/>
  <c r="AI440" i="1"/>
  <c r="AI463" i="1"/>
  <c r="AI480" i="1"/>
  <c r="AI502" i="1"/>
  <c r="AI524" i="1"/>
  <c r="AI467" i="1"/>
  <c r="AI441" i="1"/>
  <c r="AI464" i="1"/>
  <c r="AI481" i="1"/>
  <c r="AI503" i="1"/>
  <c r="AI525" i="1"/>
  <c r="AI442" i="1"/>
  <c r="AI465" i="1"/>
  <c r="AI487" i="1"/>
  <c r="AI504" i="1"/>
  <c r="AI526" i="1"/>
  <c r="AI528" i="1"/>
  <c r="AI443" i="1"/>
  <c r="AI466" i="1"/>
  <c r="AI488" i="1"/>
  <c r="AI505" i="1"/>
  <c r="AI527" i="1"/>
  <c r="AI444" i="1"/>
  <c r="AI511" i="1"/>
  <c r="AI451" i="1"/>
  <c r="AI468" i="1"/>
  <c r="AI490" i="1"/>
  <c r="AI512" i="1"/>
  <c r="AI433" i="1"/>
  <c r="AI452" i="1"/>
  <c r="AI469" i="1"/>
  <c r="AI491" i="1"/>
  <c r="AI453" i="1"/>
  <c r="AI475" i="1"/>
  <c r="AI492" i="1"/>
  <c r="AI514" i="1"/>
  <c r="AI454" i="1"/>
  <c r="AI517" i="1"/>
  <c r="AI455" i="1"/>
  <c r="AI516" i="1"/>
  <c r="AI456" i="1"/>
  <c r="AI499" i="1"/>
  <c r="AI476" i="1"/>
  <c r="AI515" i="1"/>
  <c r="AI477" i="1"/>
  <c r="AI478" i="1"/>
  <c r="AI493" i="1"/>
  <c r="AI500" i="1"/>
  <c r="AI513" i="1"/>
  <c r="AH10" i="1"/>
  <c r="AH22" i="1"/>
  <c r="AH11" i="1"/>
  <c r="AH23" i="1"/>
  <c r="AH12" i="1"/>
  <c r="AH24" i="1"/>
  <c r="AH8" i="1"/>
  <c r="AH26" i="1"/>
  <c r="AH38" i="1"/>
  <c r="AH50" i="1"/>
  <c r="AH27" i="1"/>
  <c r="AH51" i="1"/>
  <c r="AH13" i="1"/>
  <c r="AH41" i="1"/>
  <c r="AH30" i="1"/>
  <c r="AH9" i="1"/>
  <c r="AH39" i="1"/>
  <c r="AH28" i="1"/>
  <c r="AH40" i="1"/>
  <c r="AH29" i="1"/>
  <c r="AH42" i="1"/>
  <c r="AH52" i="1"/>
  <c r="AH53" i="1"/>
  <c r="AH54" i="1"/>
  <c r="AH14" i="1"/>
  <c r="AH15" i="1"/>
  <c r="AH31" i="1"/>
  <c r="AH48" i="1"/>
  <c r="AH32" i="1"/>
  <c r="AH49" i="1"/>
  <c r="AH55" i="1"/>
  <c r="AH56" i="1"/>
  <c r="AH16" i="1"/>
  <c r="AH47" i="1"/>
  <c r="AH4" i="1"/>
  <c r="AH5" i="1"/>
  <c r="AH33" i="1"/>
  <c r="AH34" i="1"/>
  <c r="AH20" i="1"/>
  <c r="AH21" i="1"/>
  <c r="AH6" i="1"/>
  <c r="AH35" i="1"/>
  <c r="AH7" i="1"/>
  <c r="AH18" i="1"/>
  <c r="AH3" i="1"/>
  <c r="AH36" i="1"/>
  <c r="AH43" i="1"/>
  <c r="AH25" i="1"/>
  <c r="AH45" i="1"/>
  <c r="AH17" i="1"/>
  <c r="AH37" i="1"/>
  <c r="AH46" i="1"/>
  <c r="AH19" i="1"/>
  <c r="AH44" i="1"/>
  <c r="AH267" i="1"/>
  <c r="AH279" i="1"/>
  <c r="AH291" i="1"/>
  <c r="AH303" i="1"/>
  <c r="AH315" i="1"/>
  <c r="AH327" i="1"/>
  <c r="AH339" i="1"/>
  <c r="AH351" i="1"/>
  <c r="AH363" i="1"/>
  <c r="AH375" i="1"/>
  <c r="AH387" i="1"/>
  <c r="AH399" i="1"/>
  <c r="AH411" i="1"/>
  <c r="AH423" i="1"/>
  <c r="AH268" i="1"/>
  <c r="AH280" i="1"/>
  <c r="AH292" i="1"/>
  <c r="AH304" i="1"/>
  <c r="AH316" i="1"/>
  <c r="AH328" i="1"/>
  <c r="AH340" i="1"/>
  <c r="AH352" i="1"/>
  <c r="AH364" i="1"/>
  <c r="AH376" i="1"/>
  <c r="AH388" i="1"/>
  <c r="AH400" i="1"/>
  <c r="AH412" i="1"/>
  <c r="AH424" i="1"/>
  <c r="AH269" i="1"/>
  <c r="AH281" i="1"/>
  <c r="AH293" i="1"/>
  <c r="AH305" i="1"/>
  <c r="AH317" i="1"/>
  <c r="AH329" i="1"/>
  <c r="AH341" i="1"/>
  <c r="AH353" i="1"/>
  <c r="AH365" i="1"/>
  <c r="AH377" i="1"/>
  <c r="AH389" i="1"/>
  <c r="AH401" i="1"/>
  <c r="AH413" i="1"/>
  <c r="AH425" i="1"/>
  <c r="AH271" i="1"/>
  <c r="AH286" i="1"/>
  <c r="AH301" i="1"/>
  <c r="AH319" i="1"/>
  <c r="AH334" i="1"/>
  <c r="AH349" i="1"/>
  <c r="AH367" i="1"/>
  <c r="AH382" i="1"/>
  <c r="AH397" i="1"/>
  <c r="AH415" i="1"/>
  <c r="AH430" i="1"/>
  <c r="AH321" i="1"/>
  <c r="AH384" i="1"/>
  <c r="AH259" i="1"/>
  <c r="AH386" i="1"/>
  <c r="AH272" i="1"/>
  <c r="AH287" i="1"/>
  <c r="AH302" i="1"/>
  <c r="AH320" i="1"/>
  <c r="AH335" i="1"/>
  <c r="AH350" i="1"/>
  <c r="AH368" i="1"/>
  <c r="AH383" i="1"/>
  <c r="AH398" i="1"/>
  <c r="AH416" i="1"/>
  <c r="AH431" i="1"/>
  <c r="AH273" i="1"/>
  <c r="AH306" i="1"/>
  <c r="AH336" i="1"/>
  <c r="AH369" i="1"/>
  <c r="AH417" i="1"/>
  <c r="AH356" i="1"/>
  <c r="AH288" i="1"/>
  <c r="AH354" i="1"/>
  <c r="AH402" i="1"/>
  <c r="AH404" i="1"/>
  <c r="AH274" i="1"/>
  <c r="AH289" i="1"/>
  <c r="AH307" i="1"/>
  <c r="AH322" i="1"/>
  <c r="AH337" i="1"/>
  <c r="AH355" i="1"/>
  <c r="AH370" i="1"/>
  <c r="AH385" i="1"/>
  <c r="AH403" i="1"/>
  <c r="AH418" i="1"/>
  <c r="AH260" i="1"/>
  <c r="AH275" i="1"/>
  <c r="AH290" i="1"/>
  <c r="AH308" i="1"/>
  <c r="AH323" i="1"/>
  <c r="AH338" i="1"/>
  <c r="AH371" i="1"/>
  <c r="AH419" i="1"/>
  <c r="AH276" i="1"/>
  <c r="AH299" i="1"/>
  <c r="AH330" i="1"/>
  <c r="AH358" i="1"/>
  <c r="AH381" i="1"/>
  <c r="AH409" i="1"/>
  <c r="AH332" i="1"/>
  <c r="AH361" i="1"/>
  <c r="AH342" i="1"/>
  <c r="AH284" i="1"/>
  <c r="AH314" i="1"/>
  <c r="AH396" i="1"/>
  <c r="AH347" i="1"/>
  <c r="AH348" i="1"/>
  <c r="AH380" i="1"/>
  <c r="AH277" i="1"/>
  <c r="AH300" i="1"/>
  <c r="AH331" i="1"/>
  <c r="AH359" i="1"/>
  <c r="AH390" i="1"/>
  <c r="AH410" i="1"/>
  <c r="AH278" i="1"/>
  <c r="AH309" i="1"/>
  <c r="AH360" i="1"/>
  <c r="AH414" i="1"/>
  <c r="AH282" i="1"/>
  <c r="AH310" i="1"/>
  <c r="AH392" i="1"/>
  <c r="AH283" i="1"/>
  <c r="AH393" i="1"/>
  <c r="AH261" i="1"/>
  <c r="AH422" i="1"/>
  <c r="AH373" i="1"/>
  <c r="AH427" i="1"/>
  <c r="AH406" i="1"/>
  <c r="AH266" i="1"/>
  <c r="AH357" i="1"/>
  <c r="AH391" i="1"/>
  <c r="AH333" i="1"/>
  <c r="AH362" i="1"/>
  <c r="AH343" i="1"/>
  <c r="AH263" i="1"/>
  <c r="AH324" i="1"/>
  <c r="AH297" i="1"/>
  <c r="AH298" i="1"/>
  <c r="AH420" i="1"/>
  <c r="AH311" i="1"/>
  <c r="AH366" i="1"/>
  <c r="AH421" i="1"/>
  <c r="AH294" i="1"/>
  <c r="AH378" i="1"/>
  <c r="AH407" i="1"/>
  <c r="AH312" i="1"/>
  <c r="AH394" i="1"/>
  <c r="AH345" i="1"/>
  <c r="AH429" i="1"/>
  <c r="AH325" i="1"/>
  <c r="AH326" i="1"/>
  <c r="AH262" i="1"/>
  <c r="AH285" i="1"/>
  <c r="AH313" i="1"/>
  <c r="AH344" i="1"/>
  <c r="AH372" i="1"/>
  <c r="AH395" i="1"/>
  <c r="AH426" i="1"/>
  <c r="AH379" i="1"/>
  <c r="AH270" i="1"/>
  <c r="AH264" i="1"/>
  <c r="AH295" i="1"/>
  <c r="AH318" i="1"/>
  <c r="AH346" i="1"/>
  <c r="AH374" i="1"/>
  <c r="AH405" i="1"/>
  <c r="AH428" i="1"/>
  <c r="AH265" i="1"/>
  <c r="AH296" i="1"/>
  <c r="AH408" i="1"/>
  <c r="AH61" i="1"/>
  <c r="AH73" i="1"/>
  <c r="AH85" i="1"/>
  <c r="AH97" i="1"/>
  <c r="AH109" i="1"/>
  <c r="AH121" i="1"/>
  <c r="AH133" i="1"/>
  <c r="AH145" i="1"/>
  <c r="AH157" i="1"/>
  <c r="AH169" i="1"/>
  <c r="AH181" i="1"/>
  <c r="AH193" i="1"/>
  <c r="AH205" i="1"/>
  <c r="AH217" i="1"/>
  <c r="AH229" i="1"/>
  <c r="AH241" i="1"/>
  <c r="AH253" i="1"/>
  <c r="AH62" i="1"/>
  <c r="AH74" i="1"/>
  <c r="AH86" i="1"/>
  <c r="AH98" i="1"/>
  <c r="AH110" i="1"/>
  <c r="AH122" i="1"/>
  <c r="AH134" i="1"/>
  <c r="AH146" i="1"/>
  <c r="AH158" i="1"/>
  <c r="AH170" i="1"/>
  <c r="AH182" i="1"/>
  <c r="AH194" i="1"/>
  <c r="AH206" i="1"/>
  <c r="AH218" i="1"/>
  <c r="AH230" i="1"/>
  <c r="AH242" i="1"/>
  <c r="AH254" i="1"/>
  <c r="AH63" i="1"/>
  <c r="AH75" i="1"/>
  <c r="AH87" i="1"/>
  <c r="AH99" i="1"/>
  <c r="AH111" i="1"/>
  <c r="AH123" i="1"/>
  <c r="AH135" i="1"/>
  <c r="AH147" i="1"/>
  <c r="AH159" i="1"/>
  <c r="AH171" i="1"/>
  <c r="AH183" i="1"/>
  <c r="AH195" i="1"/>
  <c r="AH207" i="1"/>
  <c r="AH219" i="1"/>
  <c r="AH231" i="1"/>
  <c r="AH243" i="1"/>
  <c r="AH255" i="1"/>
  <c r="AH71" i="1"/>
  <c r="AH89" i="1"/>
  <c r="AH104" i="1"/>
  <c r="AH119" i="1"/>
  <c r="AH137" i="1"/>
  <c r="AH152" i="1"/>
  <c r="AH167" i="1"/>
  <c r="AH185" i="1"/>
  <c r="AH200" i="1"/>
  <c r="AH215" i="1"/>
  <c r="AH233" i="1"/>
  <c r="AH248" i="1"/>
  <c r="AH124" i="1"/>
  <c r="AH187" i="1"/>
  <c r="AH92" i="1"/>
  <c r="AH125" i="1"/>
  <c r="AH155" i="1"/>
  <c r="AH173" i="1"/>
  <c r="AH221" i="1"/>
  <c r="AH251" i="1"/>
  <c r="AH108" i="1"/>
  <c r="AH204" i="1"/>
  <c r="AH72" i="1"/>
  <c r="AH90" i="1"/>
  <c r="AH105" i="1"/>
  <c r="AH120" i="1"/>
  <c r="AH138" i="1"/>
  <c r="AH153" i="1"/>
  <c r="AH168" i="1"/>
  <c r="AH186" i="1"/>
  <c r="AH201" i="1"/>
  <c r="AH216" i="1"/>
  <c r="AH234" i="1"/>
  <c r="AH249" i="1"/>
  <c r="AH91" i="1"/>
  <c r="AH106" i="1"/>
  <c r="AH154" i="1"/>
  <c r="AH172" i="1"/>
  <c r="AH202" i="1"/>
  <c r="AH235" i="1"/>
  <c r="AH203" i="1"/>
  <c r="AH78" i="1"/>
  <c r="AH156" i="1"/>
  <c r="AH237" i="1"/>
  <c r="AH76" i="1"/>
  <c r="AH139" i="1"/>
  <c r="AH220" i="1"/>
  <c r="AH250" i="1"/>
  <c r="AH140" i="1"/>
  <c r="AH236" i="1"/>
  <c r="AH126" i="1"/>
  <c r="AH222" i="1"/>
  <c r="AH59" i="1"/>
  <c r="AH77" i="1"/>
  <c r="AH107" i="1"/>
  <c r="AH188" i="1"/>
  <c r="AH174" i="1"/>
  <c r="AH252" i="1"/>
  <c r="AH60" i="1"/>
  <c r="AH93" i="1"/>
  <c r="AH141" i="1"/>
  <c r="AH189" i="1"/>
  <c r="AH66" i="1"/>
  <c r="AH94" i="1"/>
  <c r="AH117" i="1"/>
  <c r="AH148" i="1"/>
  <c r="AH176" i="1"/>
  <c r="AH199" i="1"/>
  <c r="AH227" i="1"/>
  <c r="AH58" i="1"/>
  <c r="AH177" i="1"/>
  <c r="AH228" i="1"/>
  <c r="AH68" i="1"/>
  <c r="AH150" i="1"/>
  <c r="AH232" i="1"/>
  <c r="AH100" i="1"/>
  <c r="AH179" i="1"/>
  <c r="AH70" i="1"/>
  <c r="AH211" i="1"/>
  <c r="AH79" i="1"/>
  <c r="AH81" i="1"/>
  <c r="AH214" i="1"/>
  <c r="AH143" i="1"/>
  <c r="AH67" i="1"/>
  <c r="AH95" i="1"/>
  <c r="AH118" i="1"/>
  <c r="AH149" i="1"/>
  <c r="AH208" i="1"/>
  <c r="AH96" i="1"/>
  <c r="AH127" i="1"/>
  <c r="AH178" i="1"/>
  <c r="AH69" i="1"/>
  <c r="AH151" i="1"/>
  <c r="AH210" i="1"/>
  <c r="AH101" i="1"/>
  <c r="AH180" i="1"/>
  <c r="AH239" i="1"/>
  <c r="AH240" i="1"/>
  <c r="AH191" i="1"/>
  <c r="AH245" i="1"/>
  <c r="AH84" i="1"/>
  <c r="AH257" i="1"/>
  <c r="AH209" i="1"/>
  <c r="AH128" i="1"/>
  <c r="AH160" i="1"/>
  <c r="AH130" i="1"/>
  <c r="AH212" i="1"/>
  <c r="AH132" i="1"/>
  <c r="AH142" i="1"/>
  <c r="AH197" i="1"/>
  <c r="AH88" i="1"/>
  <c r="AH226" i="1"/>
  <c r="AH238" i="1"/>
  <c r="AH129" i="1"/>
  <c r="AH102" i="1"/>
  <c r="AH184" i="1"/>
  <c r="AH83" i="1"/>
  <c r="AH224" i="1"/>
  <c r="AH144" i="1"/>
  <c r="AH112" i="1"/>
  <c r="AH165" i="1"/>
  <c r="AH225" i="1"/>
  <c r="AH65" i="1"/>
  <c r="AH161" i="1"/>
  <c r="AH163" i="1"/>
  <c r="AH64" i="1"/>
  <c r="AH256" i="1"/>
  <c r="AH175" i="1"/>
  <c r="AH80" i="1"/>
  <c r="AH103" i="1"/>
  <c r="AH131" i="1"/>
  <c r="AH162" i="1"/>
  <c r="AH190" i="1"/>
  <c r="AH213" i="1"/>
  <c r="AH244" i="1"/>
  <c r="AH196" i="1"/>
  <c r="AH166" i="1"/>
  <c r="AH116" i="1"/>
  <c r="AH82" i="1"/>
  <c r="AH113" i="1"/>
  <c r="AH136" i="1"/>
  <c r="AH164" i="1"/>
  <c r="AH192" i="1"/>
  <c r="AH223" i="1"/>
  <c r="AH246" i="1"/>
  <c r="AH114" i="1"/>
  <c r="AH247" i="1"/>
  <c r="AH115" i="1"/>
  <c r="AH198" i="1"/>
  <c r="AN182" i="1"/>
  <c r="AL182" i="1"/>
  <c r="AL57" i="1"/>
  <c r="AL2" i="1"/>
  <c r="AN2" i="1"/>
  <c r="AI2" i="1"/>
  <c r="AI258" i="1"/>
  <c r="AI57" i="1"/>
  <c r="AN73" i="1" l="1"/>
  <c r="AN32" i="1"/>
  <c r="AN20" i="1"/>
  <c r="AN67" i="1"/>
  <c r="AN62" i="1"/>
  <c r="AN63" i="1"/>
  <c r="AN91" i="1"/>
  <c r="AN90" i="1"/>
  <c r="AN88" i="1"/>
  <c r="AN80" i="1"/>
  <c r="AN78" i="1"/>
  <c r="AN15" i="1"/>
  <c r="AN92" i="1"/>
  <c r="AN18" i="1"/>
  <c r="AN14" i="1"/>
  <c r="AN13" i="1"/>
  <c r="AN12" i="1"/>
  <c r="AN36" i="1"/>
  <c r="E4" i="7"/>
  <c r="AN35" i="1"/>
  <c r="AN37" i="1"/>
  <c r="AN33" i="1"/>
  <c r="AN31" i="1"/>
  <c r="AN30" i="1"/>
  <c r="AN29" i="1"/>
  <c r="E3" i="7"/>
  <c r="AN27" i="1"/>
  <c r="AN34" i="1"/>
  <c r="AN28" i="1"/>
  <c r="AN26" i="1"/>
  <c r="AN25" i="1"/>
  <c r="AN24" i="1"/>
  <c r="AN87" i="1"/>
  <c r="AN85" i="1"/>
  <c r="AN86" i="1"/>
  <c r="AN83" i="1"/>
  <c r="AN82" i="1"/>
  <c r="AN84" i="1"/>
  <c r="AN81" i="1"/>
  <c r="AN23" i="1"/>
  <c r="AN22" i="1"/>
  <c r="AN79" i="1"/>
  <c r="AN74" i="1"/>
  <c r="AN76" i="1"/>
  <c r="AN21" i="1"/>
  <c r="E2" i="7"/>
  <c r="AN77" i="1"/>
  <c r="AN75" i="1"/>
  <c r="AN17" i="1"/>
  <c r="AN19" i="1"/>
  <c r="AN64" i="1"/>
  <c r="AN59" i="1"/>
  <c r="AN71" i="1"/>
  <c r="AN70" i="1"/>
  <c r="AN69" i="1"/>
  <c r="AN61" i="1"/>
  <c r="AN60" i="1"/>
  <c r="AN58" i="1"/>
  <c r="E5" i="7"/>
  <c r="AN66" i="1"/>
  <c r="D2" i="7"/>
  <c r="AN65" i="1"/>
  <c r="D4" i="7"/>
  <c r="D3" i="7"/>
  <c r="AL6" i="1"/>
  <c r="AL38" i="1"/>
  <c r="AL7" i="1"/>
  <c r="AL39" i="1"/>
  <c r="AL8" i="1"/>
  <c r="AL9" i="1"/>
  <c r="AL41" i="1"/>
  <c r="AL10" i="1"/>
  <c r="AL42" i="1"/>
  <c r="AL11" i="1"/>
  <c r="AL43" i="1"/>
  <c r="AL12" i="1"/>
  <c r="AL44" i="1"/>
  <c r="AL13" i="1"/>
  <c r="AL45" i="1"/>
  <c r="AL15" i="1"/>
  <c r="AL47" i="1"/>
  <c r="AL16" i="1"/>
  <c r="AL48" i="1"/>
  <c r="AL17" i="1"/>
  <c r="AL49" i="1"/>
  <c r="AL18" i="1"/>
  <c r="AL50" i="1"/>
  <c r="AL53" i="1"/>
  <c r="AL24" i="1"/>
  <c r="AL19" i="1"/>
  <c r="AL51" i="1"/>
  <c r="AL56" i="1"/>
  <c r="AL20" i="1"/>
  <c r="AL52" i="1"/>
  <c r="AL21" i="1"/>
  <c r="AL22" i="1"/>
  <c r="AL54" i="1"/>
  <c r="AL23" i="1"/>
  <c r="AL55" i="1"/>
  <c r="AL25" i="1"/>
  <c r="AL3" i="1"/>
  <c r="AL26" i="1"/>
  <c r="AL28" i="1"/>
  <c r="AL29" i="1"/>
  <c r="AL35" i="1"/>
  <c r="AL46" i="1"/>
  <c r="AL30" i="1"/>
  <c r="AL5" i="1"/>
  <c r="AL27" i="1"/>
  <c r="AL31" i="1"/>
  <c r="AL32" i="1"/>
  <c r="AL33" i="1"/>
  <c r="AL14" i="1"/>
  <c r="AL34" i="1"/>
  <c r="AL4" i="1"/>
  <c r="AL36" i="1"/>
  <c r="AL37" i="1"/>
  <c r="AL40" i="1"/>
  <c r="AN95" i="1"/>
  <c r="AN96" i="1"/>
  <c r="AN98" i="1"/>
  <c r="AN99" i="1"/>
  <c r="AN94" i="1"/>
  <c r="AN97" i="1"/>
  <c r="AN4" i="1"/>
  <c r="AN5" i="1"/>
  <c r="AN6" i="1"/>
  <c r="AN7" i="1"/>
  <c r="AN8" i="1"/>
  <c r="AN9" i="1"/>
  <c r="AN10" i="1"/>
  <c r="AN3" i="1"/>
  <c r="AN184" i="1"/>
  <c r="AN185" i="1"/>
  <c r="AN186" i="1"/>
  <c r="AN187" i="1"/>
  <c r="AN189" i="1"/>
  <c r="AN188" i="1"/>
  <c r="AN190" i="1"/>
  <c r="AN183" i="1"/>
  <c r="AN191" i="1"/>
  <c r="AN103" i="1"/>
  <c r="AN104" i="1"/>
  <c r="AN105" i="1"/>
  <c r="AN106" i="1"/>
  <c r="AN107" i="1"/>
  <c r="AN108" i="1"/>
  <c r="AN109" i="1"/>
  <c r="AN110" i="1"/>
  <c r="AN112" i="1"/>
  <c r="AN113" i="1"/>
  <c r="AN114" i="1"/>
  <c r="AN115" i="1"/>
  <c r="AN116" i="1"/>
  <c r="AN118" i="1"/>
  <c r="AN124" i="1"/>
  <c r="AN117" i="1"/>
  <c r="AN119" i="1"/>
  <c r="AN121" i="1"/>
  <c r="AN120" i="1"/>
  <c r="AN122" i="1"/>
  <c r="AN123" i="1"/>
  <c r="AN125" i="1"/>
  <c r="AN111" i="1"/>
  <c r="AN126" i="1"/>
  <c r="AN127" i="1"/>
  <c r="AN128" i="1"/>
  <c r="AN129" i="1"/>
  <c r="AN130" i="1"/>
  <c r="AN131" i="1"/>
  <c r="AN132" i="1"/>
  <c r="AN133" i="1"/>
  <c r="AN102" i="1"/>
  <c r="AN101" i="1"/>
  <c r="AL95" i="1"/>
  <c r="AL96" i="1"/>
  <c r="AL97" i="1"/>
  <c r="AL98" i="1"/>
  <c r="AL94" i="1"/>
  <c r="AL99" i="1"/>
  <c r="AL192" i="1"/>
  <c r="AL193" i="1"/>
  <c r="AL195" i="1"/>
  <c r="AL183" i="1"/>
  <c r="AL186" i="1"/>
  <c r="AL196" i="1"/>
  <c r="AL184" i="1"/>
  <c r="AL185" i="1"/>
  <c r="AL194" i="1"/>
  <c r="AL187" i="1"/>
  <c r="AL188" i="1"/>
  <c r="AL189" i="1"/>
  <c r="AL190" i="1"/>
  <c r="AL191" i="1"/>
  <c r="AL64" i="1"/>
  <c r="AL65" i="1"/>
  <c r="AL67" i="1"/>
  <c r="AL68" i="1"/>
  <c r="AL69" i="1"/>
  <c r="AL70" i="1"/>
  <c r="AL71" i="1"/>
  <c r="AL73" i="1"/>
  <c r="AL74" i="1"/>
  <c r="AL75" i="1"/>
  <c r="AL76" i="1"/>
  <c r="AL85" i="1"/>
  <c r="AL77" i="1"/>
  <c r="AL79" i="1"/>
  <c r="AL78" i="1"/>
  <c r="AL80" i="1"/>
  <c r="AL81" i="1"/>
  <c r="AL82" i="1"/>
  <c r="AL83" i="1"/>
  <c r="AL84" i="1"/>
  <c r="AL86" i="1"/>
  <c r="AL87" i="1"/>
  <c r="AL90" i="1"/>
  <c r="AL91" i="1"/>
  <c r="AL61" i="1"/>
  <c r="AL88" i="1"/>
  <c r="AL58" i="1"/>
  <c r="AL66" i="1"/>
  <c r="AL72" i="1"/>
  <c r="AL89" i="1"/>
  <c r="AL59" i="1"/>
  <c r="AL60" i="1"/>
  <c r="AL92" i="1"/>
  <c r="AL63" i="1"/>
  <c r="AL62" i="1"/>
  <c r="AL114" i="1"/>
  <c r="AL115" i="1"/>
  <c r="AL122" i="1"/>
  <c r="AL117" i="1"/>
  <c r="AL118" i="1"/>
  <c r="AL119" i="1"/>
  <c r="AL120" i="1"/>
  <c r="AL121" i="1"/>
  <c r="AL123" i="1"/>
  <c r="AL124" i="1"/>
  <c r="AL132" i="1"/>
  <c r="AL125" i="1"/>
  <c r="AL126" i="1"/>
  <c r="AL127" i="1"/>
  <c r="AL128" i="1"/>
  <c r="AL129" i="1"/>
  <c r="AL130" i="1"/>
  <c r="AL131" i="1"/>
  <c r="AL133" i="1"/>
  <c r="AL102" i="1"/>
  <c r="AL101" i="1"/>
  <c r="AL103" i="1"/>
  <c r="AL104" i="1"/>
  <c r="AL105" i="1"/>
  <c r="AL109" i="1"/>
  <c r="AL113" i="1"/>
  <c r="AL116" i="1"/>
  <c r="AL106" i="1"/>
  <c r="AL107" i="1"/>
  <c r="AL108" i="1"/>
  <c r="AL110" i="1"/>
  <c r="AL111" i="1"/>
  <c r="AL112" i="1"/>
  <c r="AL265" i="1"/>
  <c r="AL297" i="1"/>
  <c r="AL266" i="1"/>
  <c r="AL298" i="1"/>
  <c r="AL299" i="1"/>
  <c r="AL268" i="1"/>
  <c r="AL300" i="1"/>
  <c r="AL269" i="1"/>
  <c r="AL301" i="1"/>
  <c r="AL270" i="1"/>
  <c r="AL302" i="1"/>
  <c r="AL271" i="1"/>
  <c r="AL303" i="1"/>
  <c r="AL272" i="1"/>
  <c r="AL304" i="1"/>
  <c r="AL274" i="1"/>
  <c r="AL259" i="1"/>
  <c r="AL275" i="1"/>
  <c r="AL276" i="1"/>
  <c r="AL277" i="1"/>
  <c r="AL280" i="1"/>
  <c r="AL278" i="1"/>
  <c r="AL279" i="1"/>
  <c r="AL281" i="1"/>
  <c r="AL282" i="1"/>
  <c r="AL283" i="1"/>
  <c r="AL284" i="1"/>
  <c r="AL285" i="1"/>
  <c r="AL287" i="1"/>
  <c r="AL296" i="1"/>
  <c r="AL267" i="1"/>
  <c r="AL288" i="1"/>
  <c r="AL264" i="1"/>
  <c r="AL289" i="1"/>
  <c r="AL273" i="1"/>
  <c r="AL290" i="1"/>
  <c r="AL291" i="1"/>
  <c r="AL305" i="1"/>
  <c r="AL260" i="1"/>
  <c r="AL292" i="1"/>
  <c r="AL261" i="1"/>
  <c r="AL293" i="1"/>
  <c r="AL262" i="1"/>
  <c r="AL294" i="1"/>
  <c r="AL286" i="1"/>
  <c r="AL263" i="1"/>
  <c r="AL295" i="1"/>
  <c r="AN284" i="1"/>
  <c r="AN285" i="1"/>
  <c r="AN287" i="1"/>
  <c r="AN288" i="1"/>
  <c r="AN289" i="1"/>
  <c r="AN290" i="1"/>
  <c r="AN292" i="1"/>
  <c r="AN291" i="1"/>
  <c r="AN260" i="1"/>
  <c r="AN261" i="1"/>
  <c r="AN293" i="1"/>
  <c r="AN262" i="1"/>
  <c r="AN294" i="1"/>
  <c r="AN263" i="1"/>
  <c r="AN295" i="1"/>
  <c r="AN264" i="1"/>
  <c r="AN296" i="1"/>
  <c r="AN265" i="1"/>
  <c r="AN297" i="1"/>
  <c r="AN266" i="1"/>
  <c r="AN259" i="1"/>
  <c r="AN267" i="1"/>
  <c r="AN268" i="1"/>
  <c r="AN270" i="1"/>
  <c r="AN269" i="1"/>
  <c r="AN271" i="1"/>
  <c r="AN272" i="1"/>
  <c r="AN273" i="1"/>
  <c r="AN274" i="1"/>
  <c r="AN286" i="1"/>
  <c r="AN275" i="1"/>
  <c r="AN276" i="1"/>
  <c r="AN277" i="1"/>
  <c r="AN278" i="1"/>
  <c r="AN279" i="1"/>
  <c r="AN280" i="1"/>
  <c r="AN281" i="1"/>
  <c r="AN282" i="1"/>
  <c r="AN283" i="1"/>
  <c r="AI66" i="1"/>
  <c r="AI78" i="1"/>
  <c r="AI90" i="1"/>
  <c r="AI102" i="1"/>
  <c r="AI114" i="1"/>
  <c r="AI126" i="1"/>
  <c r="AI138" i="1"/>
  <c r="AI150" i="1"/>
  <c r="AI162" i="1"/>
  <c r="AI174" i="1"/>
  <c r="AI186" i="1"/>
  <c r="AI198" i="1"/>
  <c r="AI67" i="1"/>
  <c r="AI79" i="1"/>
  <c r="AI91" i="1"/>
  <c r="AI103" i="1"/>
  <c r="AI115" i="1"/>
  <c r="AI127" i="1"/>
  <c r="AI139" i="1"/>
  <c r="AI151" i="1"/>
  <c r="AI163" i="1"/>
  <c r="AI175" i="1"/>
  <c r="AI187" i="1"/>
  <c r="AI199" i="1"/>
  <c r="AI211" i="1"/>
  <c r="AI223" i="1"/>
  <c r="AI235" i="1"/>
  <c r="AI247" i="1"/>
  <c r="AI68" i="1"/>
  <c r="AI80" i="1"/>
  <c r="AI92" i="1"/>
  <c r="AI104" i="1"/>
  <c r="AI116" i="1"/>
  <c r="AI128" i="1"/>
  <c r="AI140" i="1"/>
  <c r="AI152" i="1"/>
  <c r="AI164" i="1"/>
  <c r="AI176" i="1"/>
  <c r="AI188" i="1"/>
  <c r="AI200" i="1"/>
  <c r="AI212" i="1"/>
  <c r="AI224" i="1"/>
  <c r="AI236" i="1"/>
  <c r="AI248" i="1"/>
  <c r="AI69" i="1"/>
  <c r="AI81" i="1"/>
  <c r="AI93" i="1"/>
  <c r="AI105" i="1"/>
  <c r="AI117" i="1"/>
  <c r="AI129" i="1"/>
  <c r="AI141" i="1"/>
  <c r="AI153" i="1"/>
  <c r="AI165" i="1"/>
  <c r="AI177" i="1"/>
  <c r="AI189" i="1"/>
  <c r="AI201" i="1"/>
  <c r="AI213" i="1"/>
  <c r="AI225" i="1"/>
  <c r="AI237" i="1"/>
  <c r="AI249" i="1"/>
  <c r="AI70" i="1"/>
  <c r="AI82" i="1"/>
  <c r="AI94" i="1"/>
  <c r="AI106" i="1"/>
  <c r="AI118" i="1"/>
  <c r="AI130" i="1"/>
  <c r="AI142" i="1"/>
  <c r="AI154" i="1"/>
  <c r="AI166" i="1"/>
  <c r="AI178" i="1"/>
  <c r="AI190" i="1"/>
  <c r="AI202" i="1"/>
  <c r="AI214" i="1"/>
  <c r="AI226" i="1"/>
  <c r="AI238" i="1"/>
  <c r="AI250" i="1"/>
  <c r="AI62" i="1"/>
  <c r="AI84" i="1"/>
  <c r="AI101" i="1"/>
  <c r="AI123" i="1"/>
  <c r="AI145" i="1"/>
  <c r="AI167" i="1"/>
  <c r="AI184" i="1"/>
  <c r="AI206" i="1"/>
  <c r="AI222" i="1"/>
  <c r="AI242" i="1"/>
  <c r="AI58" i="1"/>
  <c r="AI72" i="1"/>
  <c r="AI251" i="1"/>
  <c r="AI63" i="1"/>
  <c r="AI85" i="1"/>
  <c r="AI107" i="1"/>
  <c r="AI124" i="1"/>
  <c r="AI146" i="1"/>
  <c r="AI168" i="1"/>
  <c r="AI185" i="1"/>
  <c r="AI207" i="1"/>
  <c r="AI227" i="1"/>
  <c r="AI243" i="1"/>
  <c r="AI133" i="1"/>
  <c r="AI194" i="1"/>
  <c r="AI215" i="1"/>
  <c r="AI64" i="1"/>
  <c r="AI86" i="1"/>
  <c r="AI108" i="1"/>
  <c r="AI125" i="1"/>
  <c r="AI147" i="1"/>
  <c r="AI169" i="1"/>
  <c r="AI191" i="1"/>
  <c r="AI208" i="1"/>
  <c r="AI228" i="1"/>
  <c r="AI244" i="1"/>
  <c r="AI172" i="1"/>
  <c r="AI65" i="1"/>
  <c r="AI87" i="1"/>
  <c r="AI109" i="1"/>
  <c r="AI131" i="1"/>
  <c r="AI148" i="1"/>
  <c r="AI170" i="1"/>
  <c r="AI192" i="1"/>
  <c r="AI209" i="1"/>
  <c r="AI229" i="1"/>
  <c r="AI245" i="1"/>
  <c r="AI155" i="1"/>
  <c r="AI71" i="1"/>
  <c r="AI88" i="1"/>
  <c r="AI110" i="1"/>
  <c r="AI132" i="1"/>
  <c r="AI149" i="1"/>
  <c r="AI171" i="1"/>
  <c r="AI193" i="1"/>
  <c r="AI210" i="1"/>
  <c r="AI230" i="1"/>
  <c r="AI246" i="1"/>
  <c r="AI111" i="1"/>
  <c r="AI89" i="1"/>
  <c r="AI231" i="1"/>
  <c r="AI73" i="1"/>
  <c r="AI95" i="1"/>
  <c r="AI112" i="1"/>
  <c r="AI134" i="1"/>
  <c r="AI156" i="1"/>
  <c r="AI173" i="1"/>
  <c r="AI195" i="1"/>
  <c r="AI216" i="1"/>
  <c r="AI232" i="1"/>
  <c r="AI252" i="1"/>
  <c r="AI98" i="1"/>
  <c r="AI144" i="1"/>
  <c r="AI197" i="1"/>
  <c r="AI240" i="1"/>
  <c r="AI159" i="1"/>
  <c r="AI160" i="1"/>
  <c r="AI180" i="1"/>
  <c r="AI137" i="1"/>
  <c r="AI99" i="1"/>
  <c r="AI157" i="1"/>
  <c r="AI203" i="1"/>
  <c r="AI241" i="1"/>
  <c r="AI59" i="1"/>
  <c r="AI204" i="1"/>
  <c r="AI113" i="1"/>
  <c r="AI61" i="1"/>
  <c r="AI122" i="1"/>
  <c r="AI220" i="1"/>
  <c r="AI83" i="1"/>
  <c r="AI96" i="1"/>
  <c r="AI100" i="1"/>
  <c r="AI158" i="1"/>
  <c r="AI253" i="1"/>
  <c r="AI254" i="1"/>
  <c r="AI119" i="1"/>
  <c r="AI196" i="1"/>
  <c r="AI60" i="1"/>
  <c r="AI205" i="1"/>
  <c r="AI255" i="1"/>
  <c r="AI217" i="1"/>
  <c r="AI74" i="1"/>
  <c r="AI120" i="1"/>
  <c r="AI161" i="1"/>
  <c r="AI218" i="1"/>
  <c r="AI256" i="1"/>
  <c r="AI76" i="1"/>
  <c r="AI182" i="1"/>
  <c r="AI234" i="1"/>
  <c r="AI239" i="1"/>
  <c r="AI75" i="1"/>
  <c r="AI121" i="1"/>
  <c r="AI179" i="1"/>
  <c r="AI219" i="1"/>
  <c r="AI257" i="1"/>
  <c r="AI233" i="1"/>
  <c r="AI183" i="1"/>
  <c r="AI97" i="1"/>
  <c r="AI77" i="1"/>
  <c r="AI135" i="1"/>
  <c r="AI181" i="1"/>
  <c r="AI221" i="1"/>
  <c r="AI136" i="1"/>
  <c r="AI143" i="1"/>
  <c r="AI431" i="1"/>
  <c r="AI271" i="1"/>
  <c r="AI283" i="1"/>
  <c r="AI295" i="1"/>
  <c r="AI307" i="1"/>
  <c r="AI319" i="1"/>
  <c r="AI331" i="1"/>
  <c r="AI343" i="1"/>
  <c r="AI355" i="1"/>
  <c r="AI367" i="1"/>
  <c r="AI379" i="1"/>
  <c r="AI391" i="1"/>
  <c r="AI403" i="1"/>
  <c r="AI415" i="1"/>
  <c r="AI427" i="1"/>
  <c r="AI260" i="1"/>
  <c r="AI272" i="1"/>
  <c r="AI284" i="1"/>
  <c r="AI296" i="1"/>
  <c r="AI308" i="1"/>
  <c r="AI320" i="1"/>
  <c r="AI332" i="1"/>
  <c r="AI344" i="1"/>
  <c r="AI356" i="1"/>
  <c r="AI368" i="1"/>
  <c r="AI380" i="1"/>
  <c r="AI392" i="1"/>
  <c r="AI404" i="1"/>
  <c r="AI416" i="1"/>
  <c r="AI428" i="1"/>
  <c r="AI261" i="1"/>
  <c r="AI273" i="1"/>
  <c r="AI285" i="1"/>
  <c r="AI297" i="1"/>
  <c r="AI309" i="1"/>
  <c r="AI321" i="1"/>
  <c r="AI333" i="1"/>
  <c r="AI345" i="1"/>
  <c r="AI357" i="1"/>
  <c r="AI369" i="1"/>
  <c r="AI381" i="1"/>
  <c r="AI393" i="1"/>
  <c r="AI405" i="1"/>
  <c r="AI417" i="1"/>
  <c r="AI429" i="1"/>
  <c r="AI262" i="1"/>
  <c r="AI274" i="1"/>
  <c r="AI286" i="1"/>
  <c r="AI298" i="1"/>
  <c r="AI310" i="1"/>
  <c r="AI322" i="1"/>
  <c r="AI334" i="1"/>
  <c r="AI346" i="1"/>
  <c r="AI358" i="1"/>
  <c r="AI370" i="1"/>
  <c r="AI382" i="1"/>
  <c r="AI394" i="1"/>
  <c r="AI406" i="1"/>
  <c r="AI418" i="1"/>
  <c r="AI430" i="1"/>
  <c r="AI263" i="1"/>
  <c r="AI275" i="1"/>
  <c r="AI287" i="1"/>
  <c r="AI299" i="1"/>
  <c r="AI311" i="1"/>
  <c r="AI323" i="1"/>
  <c r="AI335" i="1"/>
  <c r="AI347" i="1"/>
  <c r="AI359" i="1"/>
  <c r="AI371" i="1"/>
  <c r="AI383" i="1"/>
  <c r="AI395" i="1"/>
  <c r="AI407" i="1"/>
  <c r="AI419" i="1"/>
  <c r="AI259" i="1"/>
  <c r="AI269" i="1"/>
  <c r="AI291" i="1"/>
  <c r="AI313" i="1"/>
  <c r="AI330" i="1"/>
  <c r="AI352" i="1"/>
  <c r="AI374" i="1"/>
  <c r="AI396" i="1"/>
  <c r="AI413" i="1"/>
  <c r="AI270" i="1"/>
  <c r="AI292" i="1"/>
  <c r="AI314" i="1"/>
  <c r="AI336" i="1"/>
  <c r="AI353" i="1"/>
  <c r="AI375" i="1"/>
  <c r="AI397" i="1"/>
  <c r="AI414" i="1"/>
  <c r="AI384" i="1"/>
  <c r="AI423" i="1"/>
  <c r="AI276" i="1"/>
  <c r="AI293" i="1"/>
  <c r="AI315" i="1"/>
  <c r="AI337" i="1"/>
  <c r="AI354" i="1"/>
  <c r="AI376" i="1"/>
  <c r="AI398" i="1"/>
  <c r="AI420" i="1"/>
  <c r="AI301" i="1"/>
  <c r="AI277" i="1"/>
  <c r="AI294" i="1"/>
  <c r="AI316" i="1"/>
  <c r="AI338" i="1"/>
  <c r="AI360" i="1"/>
  <c r="AI377" i="1"/>
  <c r="AI399" i="1"/>
  <c r="AI421" i="1"/>
  <c r="AI278" i="1"/>
  <c r="AI300" i="1"/>
  <c r="AI317" i="1"/>
  <c r="AI339" i="1"/>
  <c r="AI361" i="1"/>
  <c r="AI378" i="1"/>
  <c r="AI400" i="1"/>
  <c r="AI422" i="1"/>
  <c r="AI279" i="1"/>
  <c r="AI318" i="1"/>
  <c r="AI340" i="1"/>
  <c r="AI362" i="1"/>
  <c r="AI401" i="1"/>
  <c r="AI280" i="1"/>
  <c r="AI302" i="1"/>
  <c r="AI324" i="1"/>
  <c r="AI341" i="1"/>
  <c r="AI363" i="1"/>
  <c r="AI385" i="1"/>
  <c r="AI402" i="1"/>
  <c r="AI424" i="1"/>
  <c r="AI265" i="1"/>
  <c r="AI282" i="1"/>
  <c r="AI304" i="1"/>
  <c r="AI326" i="1"/>
  <c r="AI348" i="1"/>
  <c r="AI312" i="1"/>
  <c r="AI372" i="1"/>
  <c r="AI425" i="1"/>
  <c r="AI327" i="1"/>
  <c r="AI350" i="1"/>
  <c r="AI410" i="1"/>
  <c r="AI306" i="1"/>
  <c r="AI264" i="1"/>
  <c r="AI325" i="1"/>
  <c r="AI373" i="1"/>
  <c r="AI426" i="1"/>
  <c r="AI408" i="1"/>
  <c r="AI266" i="1"/>
  <c r="AI386" i="1"/>
  <c r="AI365" i="1"/>
  <c r="AI267" i="1"/>
  <c r="AI328" i="1"/>
  <c r="AI387" i="1"/>
  <c r="AI268" i="1"/>
  <c r="AI329" i="1"/>
  <c r="AI388" i="1"/>
  <c r="AI289" i="1"/>
  <c r="AI305" i="1"/>
  <c r="AI366" i="1"/>
  <c r="AI281" i="1"/>
  <c r="AI342" i="1"/>
  <c r="AI389" i="1"/>
  <c r="AI412" i="1"/>
  <c r="AI288" i="1"/>
  <c r="AI349" i="1"/>
  <c r="AI390" i="1"/>
  <c r="AI290" i="1"/>
  <c r="AI351" i="1"/>
  <c r="AI409" i="1"/>
  <c r="AI303" i="1"/>
  <c r="AI364" i="1"/>
  <c r="AI411" i="1"/>
  <c r="AI4" i="1"/>
  <c r="AI16" i="1"/>
  <c r="AI28" i="1"/>
  <c r="AI40" i="1"/>
  <c r="AI52" i="1"/>
  <c r="AI5" i="1"/>
  <c r="AI17" i="1"/>
  <c r="AI29" i="1"/>
  <c r="AI41" i="1"/>
  <c r="AI53" i="1"/>
  <c r="AI6" i="1"/>
  <c r="AI18" i="1"/>
  <c r="AI30" i="1"/>
  <c r="AI42" i="1"/>
  <c r="AI54" i="1"/>
  <c r="AI7" i="1"/>
  <c r="AI19" i="1"/>
  <c r="AI31" i="1"/>
  <c r="AI43" i="1"/>
  <c r="AI55" i="1"/>
  <c r="AI23" i="1"/>
  <c r="AI39" i="1"/>
  <c r="AI8" i="1"/>
  <c r="AI24" i="1"/>
  <c r="AI44" i="1"/>
  <c r="AI32" i="1"/>
  <c r="AI9" i="1"/>
  <c r="AI25" i="1"/>
  <c r="AI45" i="1"/>
  <c r="AI10" i="1"/>
  <c r="AI26" i="1"/>
  <c r="AI46" i="1"/>
  <c r="AI11" i="1"/>
  <c r="AI27" i="1"/>
  <c r="AI47" i="1"/>
  <c r="AI12" i="1"/>
  <c r="AI13" i="1"/>
  <c r="AI33" i="1"/>
  <c r="AI49" i="1"/>
  <c r="AI34" i="1"/>
  <c r="AI35" i="1"/>
  <c r="AI36" i="1"/>
  <c r="AI38" i="1"/>
  <c r="AI51" i="1"/>
  <c r="AI20" i="1"/>
  <c r="AI37" i="1"/>
  <c r="AI3" i="1"/>
  <c r="AI21" i="1"/>
  <c r="AI22" i="1"/>
  <c r="AI48" i="1"/>
  <c r="AI14" i="1"/>
  <c r="AI50" i="1"/>
  <c r="AI15" i="1"/>
  <c r="AI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Sneyder Uva</author>
  </authors>
  <commentList>
    <comment ref="X1" authorId="0" shapeId="0" xr:uid="{56CDECB2-D8AE-49DD-A878-6F4EEC1C1D67}">
      <text>
        <r>
          <rPr>
            <b/>
            <sz val="9"/>
            <color indexed="81"/>
            <rFont val="Tahoma"/>
            <charset val="1"/>
          </rPr>
          <t>Sneyder Uva:</t>
        </r>
        <r>
          <rPr>
            <sz val="9"/>
            <color indexed="81"/>
            <rFont val="Tahoma"/>
            <charset val="1"/>
          </rPr>
          <t xml:space="preserve">
Por favor establecer el formato de la evidencia.</t>
        </r>
      </text>
    </comment>
  </commentList>
</comments>
</file>

<file path=xl/sharedStrings.xml><?xml version="1.0" encoding="utf-8"?>
<sst xmlns="http://schemas.openxmlformats.org/spreadsheetml/2006/main" count="9671" uniqueCount="2625">
  <si>
    <t>id_eje</t>
  </si>
  <si>
    <t>titulo_eje</t>
  </si>
  <si>
    <t>programa</t>
  </si>
  <si>
    <t>nombre_proyecto</t>
  </si>
  <si>
    <t>id_meta</t>
  </si>
  <si>
    <t>titulo_meta</t>
  </si>
  <si>
    <t>valor_meta</t>
  </si>
  <si>
    <t>inversion_periodo</t>
  </si>
  <si>
    <t>proyeccion_año1</t>
  </si>
  <si>
    <t>proyeccion_año2</t>
  </si>
  <si>
    <t>proyeccion_año3</t>
  </si>
  <si>
    <t>proyeccion_año4</t>
  </si>
  <si>
    <t>id_accion</t>
  </si>
  <si>
    <t>ponderacion_accion</t>
  </si>
  <si>
    <t>responsable</t>
  </si>
  <si>
    <t>PONDERACIÓN ACCION VS META</t>
  </si>
  <si>
    <t>Eje estratégico 1: Fortalecimiento de una cultura de autoevaluación</t>
  </si>
  <si>
    <t xml:space="preserve">Ruta hacia la alta Calidad Institucional </t>
  </si>
  <si>
    <t>Fortalecimiento de la autoevaluación institucional</t>
  </si>
  <si>
    <t>E1M1</t>
  </si>
  <si>
    <t>Consolidar el sistema de autoevaluación y autorregulación institucional permanente.</t>
  </si>
  <si>
    <t xml:space="preserve">1. Definir cronograma de desarrollo del sistema de autoevaluación y autorregulación para el cuatrienio </t>
  </si>
  <si>
    <t xml:space="preserve">1. Cronograma aprobado  </t>
  </si>
  <si>
    <t xml:space="preserve">2. Socializar el cronograma de desarrollo del sistema de autoevaluación y autorregulación para el cuatrienio </t>
  </si>
  <si>
    <t>2. Informe ejecutivo</t>
  </si>
  <si>
    <t xml:space="preserve">3. Desarrollar el sistema de autoevaluación y autorregulación </t>
  </si>
  <si>
    <t xml:space="preserve">3. Informe de avance </t>
  </si>
  <si>
    <t xml:space="preserve">4. Realizar seguimiento y plan de mejoramiento al sistema de autoevaluación y autorregulación </t>
  </si>
  <si>
    <t>4. Informe ejecutivo</t>
  </si>
  <si>
    <t>E1M2</t>
  </si>
  <si>
    <t>Crear / adquirir e implementar un sistema permanente de recolección, sistematización, y análisis de la información del sistema interno de aseguramiento de la calidad.</t>
  </si>
  <si>
    <t xml:space="preserve">1. Realizar diagnóstico inicial de necesidades para el sistema de gestión de la información </t>
  </si>
  <si>
    <t>1. Informe de diagnóstico</t>
  </si>
  <si>
    <t xml:space="preserve">2. Realizar selección, adquisición y/o creación de herramienta </t>
  </si>
  <si>
    <t xml:space="preserve">2. Documento soporte </t>
  </si>
  <si>
    <t xml:space="preserve">3. Formular procedimiento de sistematización de la información del Sistema Interno de Aseguramiento de la Calidad. </t>
  </si>
  <si>
    <t xml:space="preserve">3. Procedimiento formulado  </t>
  </si>
  <si>
    <t>4. Formular plan de trabajo para la implementación del sistema.</t>
  </si>
  <si>
    <t>4. Plan de trabajo aprobado</t>
  </si>
  <si>
    <t>5. Implementar el sistema de recolección, sistematización, y análisis de la información</t>
  </si>
  <si>
    <t xml:space="preserve">5. Informe de implementación al sistema </t>
  </si>
  <si>
    <t xml:space="preserve">Fortalecimiento de procesos y cultura de mejora continua </t>
  </si>
  <si>
    <t>E1M3</t>
  </si>
  <si>
    <t>Diseñar y establecer un modelo de medición de indicadores para evaluar el impacto de la gestión institucional.</t>
  </si>
  <si>
    <t xml:space="preserve">1. Realizar diagnóstico inicial </t>
  </si>
  <si>
    <t>1. Informe diagnóstico</t>
  </si>
  <si>
    <t>2. Diseñar el modelo de medición de indicadores para evaluar el impacto en la gestión de la calidad institucional.</t>
  </si>
  <si>
    <t>2. Modelo de medición de indicadores</t>
  </si>
  <si>
    <t xml:space="preserve">3. Aprobar el modelo de medición de indicadores </t>
  </si>
  <si>
    <t>3. Acto administrativo autoridad competente</t>
  </si>
  <si>
    <t>4. Socializar y retroalimentar.</t>
  </si>
  <si>
    <t xml:space="preserve">4. Informe de socialización </t>
  </si>
  <si>
    <t>5. Desarrollar el modelo de medición de indicadores para evaluar el impacto en la gestión de la calidad institucional.</t>
  </si>
  <si>
    <t>5. Informe ejecutivo</t>
  </si>
  <si>
    <t>6. Realizar seguimiento y monitoreo del modelo de medición de indicadores</t>
  </si>
  <si>
    <t>6. Informe de seguimiento y monitoreo</t>
  </si>
  <si>
    <t>E1M4</t>
  </si>
  <si>
    <t>Consolidar el sistema interno de aseguramiento de la calidad (SIAC).</t>
  </si>
  <si>
    <t>1. Diseñar un plan de trabajo de consolidación del Sistema Interno de Aseguramiento de la Calidad.</t>
  </si>
  <si>
    <t xml:space="preserve">1. Plan de trabajo </t>
  </si>
  <si>
    <t>2. Socializar el plan de trabajo ante el comité institucional de autoevaluación y acreditación.</t>
  </si>
  <si>
    <t>2. Informe de socialización</t>
  </si>
  <si>
    <t>3. Consolidar el sistema integrado de gestión.</t>
  </si>
  <si>
    <t>3. Informe de seguimiento del sistema integrado de gestión.</t>
  </si>
  <si>
    <t>4. Evaluar y realizar seguimiento de los elementos del sistema interno de aseguramiento de la calidad.</t>
  </si>
  <si>
    <t>4. Informe de auditoría interna</t>
  </si>
  <si>
    <t xml:space="preserve">5. Formular plan de mejoramiento al SIAC </t>
  </si>
  <si>
    <t>5. Plan de mejoramiento al SIAC</t>
  </si>
  <si>
    <t xml:space="preserve">6. Implementar el plan de mejoramiento al SIAC </t>
  </si>
  <si>
    <t>6. Informe de ejecución</t>
  </si>
  <si>
    <t>E1M5</t>
  </si>
  <si>
    <t>Implementar las políticas institucionales, asegurando la transición efectiva de las políticas a las prácticas institucionales.</t>
  </si>
  <si>
    <t>1. Crear herramienta para el seguimiento de las Políticas Institucionales.</t>
  </si>
  <si>
    <t>1. Herramienta creada</t>
  </si>
  <si>
    <t>2. Establecer y socializar procedimiento de evaluación y monitoreo de las políticas institucionales.</t>
  </si>
  <si>
    <t xml:space="preserve">3. Realizar monitoreo, seguimiento y evaluación de cada una de las políticas institucionales. </t>
  </si>
  <si>
    <t>3. Documento soporte</t>
  </si>
  <si>
    <t xml:space="preserve">4. Implementar cada una de políticas institucionales de acuerdo con el Plan de Acción y Seguimiento. </t>
  </si>
  <si>
    <t>4. Informe de Implementación</t>
  </si>
  <si>
    <t>E1M6</t>
  </si>
  <si>
    <t>Diseñar e implementar estrategias para aumentar el puntaje promedio en la Prueba Saber Pro</t>
  </si>
  <si>
    <t>1. Realizar diagnóstico</t>
  </si>
  <si>
    <t xml:space="preserve">1. Informe </t>
  </si>
  <si>
    <t>2. Diseñar estrategias académicas</t>
  </si>
  <si>
    <t>2. Acto administrativo aprobación de estrategia de VAC</t>
  </si>
  <si>
    <t>3. Capacitar a docentes</t>
  </si>
  <si>
    <t>3. Informe</t>
  </si>
  <si>
    <t>4. Implementar estrategias académicas</t>
  </si>
  <si>
    <t>4. Informe</t>
  </si>
  <si>
    <t>5. Evaluar y realizar seguimiento a las estrategias académicas</t>
  </si>
  <si>
    <t>5. Informe</t>
  </si>
  <si>
    <t>E1M7</t>
  </si>
  <si>
    <t xml:space="preserve">Fortalecer el Modelo Estándar de Control Interno (MECI) </t>
  </si>
  <si>
    <t>1. Actualizar la Política de Control Interno de Gestión.</t>
  </si>
  <si>
    <t>1. Política actualizada</t>
  </si>
  <si>
    <t>2. Aprobar e implementar la Política de Control Interno de Gestión.</t>
  </si>
  <si>
    <t>2. Acto administrativo e informe implementación</t>
  </si>
  <si>
    <t>3. Diseñar e implementar plan estratégico de control interno de gestión.</t>
  </si>
  <si>
    <t xml:space="preserve">3. Plan estratégico </t>
  </si>
  <si>
    <t>4. Monitorear la implementación de los sistemas internos de gestión.</t>
  </si>
  <si>
    <t>4. Informe de seguimiento</t>
  </si>
  <si>
    <t>5. Diseñar e implementar estrategias para el fortalecimiento del Modelo Estándar de Control Interno, promoviendo las autogestión, autorregulación y autocontrol  a través de estrategias pedagógicas que permitan el cumplimiento de los objetivos estratégicos y misionales de Unitrópico.</t>
  </si>
  <si>
    <t>6. Monitorear los controles establecidos en los procesos para disminuir el riesgo de la gestión.</t>
  </si>
  <si>
    <t xml:space="preserve">6. Informe seguimiento de los riesgos e implementación de los controles. </t>
  </si>
  <si>
    <t>Implementación de estándares de excelencia educativa</t>
  </si>
  <si>
    <t>E1M8</t>
  </si>
  <si>
    <t xml:space="preserve">Radicar condiciones iniciales para la acreditación en alta calidad de los programas acreditables </t>
  </si>
  <si>
    <t>1. Aprobar el programa académico para apreciación de condiciones iniciales</t>
  </si>
  <si>
    <t xml:space="preserve">1. Acta de aprobación consejo institucional de autoevaluación y acreditación </t>
  </si>
  <si>
    <t xml:space="preserve">2. Recolectar información para construcción del informe </t>
  </si>
  <si>
    <t>3. Aprobación del informe de condiciones iniciales</t>
  </si>
  <si>
    <t>4. Radicar el informe ante el MEN de apreciación de condiciones iniciales</t>
  </si>
  <si>
    <t xml:space="preserve">4. Evidencia de radicación </t>
  </si>
  <si>
    <t>E1M9</t>
  </si>
  <si>
    <t>Presentar condiciones iniciales para dar inicio al proceso de acreditación con un organismo de certificación internacional en educación superior</t>
  </si>
  <si>
    <t>1. Revisar, analizar y preparar  la construcción y radicación de las condiciones iniciales con un organismo internacional.</t>
  </si>
  <si>
    <t>1. Informe inicial</t>
  </si>
  <si>
    <t>2. Planificar cronograma de condiciones iniciales para radicar ante organismo internacional.</t>
  </si>
  <si>
    <t>2. Cronograma aprobado</t>
  </si>
  <si>
    <t>3. Preparar y organizar la información institucional y cumplimiento de requisitos por el órgano internacional.</t>
  </si>
  <si>
    <t>3. Informe para radicación</t>
  </si>
  <si>
    <t>4. Solicitud de aprobación de radicación de las condiciones iniciales</t>
  </si>
  <si>
    <t>4. Documento soporte</t>
  </si>
  <si>
    <t>5. Radicación de las condiciones iniciales.</t>
  </si>
  <si>
    <t>5. Evidencia de radicación</t>
  </si>
  <si>
    <t>E1M10</t>
  </si>
  <si>
    <t>Acreditar en alta calidad tres (03) programas académicos</t>
  </si>
  <si>
    <t>1. Realizar el informe de apreciación de condiciones iniciales</t>
  </si>
  <si>
    <t>1. Informe de apreciación de condiciones iniciales</t>
  </si>
  <si>
    <t>2. Realizar autoevaluación del programa académico</t>
  </si>
  <si>
    <t>2. Informe de autoevaluación de programa académico</t>
  </si>
  <si>
    <t>3. Atender visita de pares académicos</t>
  </si>
  <si>
    <t>3. Informe ejecutivo</t>
  </si>
  <si>
    <t xml:space="preserve">4. Responder los requerimientos para la evaluación del ministerio de educación </t>
  </si>
  <si>
    <t xml:space="preserve">4. Concepto del ministerio de educación </t>
  </si>
  <si>
    <t>5. Contar con la expedición del acto administrativo que concede la acreditación o formula recomendaciones a la institución</t>
  </si>
  <si>
    <t>5. Acto administrativo</t>
  </si>
  <si>
    <t>E1M11</t>
  </si>
  <si>
    <t>Radicar condiciones iniciales con fines de acreditación institucional en alta calidad</t>
  </si>
  <si>
    <t xml:space="preserve">1. Realizar cronograma para radicación de condiciones iniciales de acreditación institucional </t>
  </si>
  <si>
    <t>1. Cronograma aprobado</t>
  </si>
  <si>
    <t>2. Recopilar documentación para informe de condiciones iniciales</t>
  </si>
  <si>
    <t>2. Documentos soporte del informe</t>
  </si>
  <si>
    <t xml:space="preserve">3. Construir el informe de condiciones iniciales para acreditación institucional </t>
  </si>
  <si>
    <t xml:space="preserve">3. Informe de condiciones iniciales para acreditación institucional </t>
  </si>
  <si>
    <t xml:space="preserve">4. Presentar al Comité institucional de autoevaluación y acreditación informe de condiciones iniciales para acreditación institucional </t>
  </si>
  <si>
    <t>5. Radicar informe para tramité de acreditación institucional por primera vez</t>
  </si>
  <si>
    <t>5. Evidencia de radicado</t>
  </si>
  <si>
    <t>Eje estratégico 2: Apropiación social del conocimiento</t>
  </si>
  <si>
    <t>Innovación y calidad en la oferta educativa: ampliación y comunicación</t>
  </si>
  <si>
    <t>Ampliación y diversificación de la oferta académica de programas de pregrado y posgrado</t>
  </si>
  <si>
    <t>E2M1</t>
  </si>
  <si>
    <t xml:space="preserve">Ampliar y diversificar la oferta académica en cinco (05) programas de pregrado </t>
  </si>
  <si>
    <t>Identificar y proponer al menos 2 nuevas denominaciones de programas de pregrado que sean considerados y necesarios para la región:
1) Realizar el estudio de oferta que justifique la creación del programa.
2) Determinar la denominación del nuevo programa a ofertar.</t>
  </si>
  <si>
    <t>1. Documento de justificación que describa la pertinencia de la oferta del mercado.</t>
  </si>
  <si>
    <t>Formular y documentar las condiciones de calidad específicas:
 1) Construir las condiciones de calidad de los programas de pregrado desde cada Consejo de Escuela o Consejo de Facultad.
 2) Someter a aprobación las condiciones de calidad de los programas ante los responsables por cada condición para obtener la viabilidad.
 3) Elaborar y radicar el proyecto de acuerdo para la solicitud de viabilidad de creación del programa ante Consejo Académico.</t>
  </si>
  <si>
    <t xml:space="preserve">2. Documentos formulados y certificaciones de viabilidad emitidas. </t>
  </si>
  <si>
    <t>Someter a aprobación las condiciones de calidad de los programas de pregrado ante Consejo Académico y Consejo Superior:
1) Hacer seguimiento de la radicación y discusión del Proyecto de Acuerdo para someter las condiciones de calidad de los programas de pregrado ante el Consejo Superior.</t>
  </si>
  <si>
    <t xml:space="preserve">3. Acto administrativo aprobación de programa emitido por el Consejo Superior </t>
  </si>
  <si>
    <t>Remitir las condiciones de calidad documentadas y aprobadas a la Oficina de Aseguramiento de la Calidad dentro de un plazo específico, asegurando su registro en la plataforma SACES:
1) Radicar la documentación aprobada por el Consejo Superior a la Oficina de Aseguramiento de la Calidad para su revisión final y posterior radicación en SACES.</t>
  </si>
  <si>
    <t>4. Oficio soporte de radicación</t>
  </si>
  <si>
    <t>Solicitar el informe oficial de radicación de las condiciones de calidad para los programas de pregrado, emitido por la Oficina de Aseguramiento de la Calidad dentro de un plazo determinado:
 1) Hacer el acompañamiento en el cargue de la información a la plataforma NUEVO SACES y solicitar el informe de radicación de las condiciones de calidad en la plataforma.</t>
  </si>
  <si>
    <t>5. Informe soporte de radicación</t>
  </si>
  <si>
    <t>Presentar resolución aprobación nuevos registros calificados</t>
  </si>
  <si>
    <t xml:space="preserve">6. Resolución Ministerio de Educación Nacional </t>
  </si>
  <si>
    <t>E2M2</t>
  </si>
  <si>
    <t>Ampliar y diversificar la oferta académica en cinco (05) programas de posgrado</t>
  </si>
  <si>
    <t>Atender y sustentar la visita de pares para las cinco (5) denominaciones de posgrado:
 1) Designar el equipo de atención a la visita.
 2) Preparar el material de apoyo para sustentar las condiciones de calidad presentadas.</t>
  </si>
  <si>
    <t xml:space="preserve">1. Presentaciones de cada una de las áreas que intervienen </t>
  </si>
  <si>
    <t xml:space="preserve">Responder los informes de observaciones de las visitas de pares académicos:
1) Generar el informe de respuesta a las observaciones de condiciones de calidad como resultado de la visita de pares.
</t>
  </si>
  <si>
    <t>2. Informe de respuesta a las observaciones</t>
  </si>
  <si>
    <t xml:space="preserve">3. Resolución Ministerio de Educación Nacional </t>
  </si>
  <si>
    <t>Identificar y proponer una nueva denominaciones de programas de posgrado que sean considerados y necesarios para la región:
 1) Realizar el estudio de mercado que justifique la creación del programa.
 2) Determinar la denominación del nuevo programa a ofertar.</t>
  </si>
  <si>
    <t>4. Documento de justificación que describa la pertinencia de la oferta del mercado.</t>
  </si>
  <si>
    <t>Formular y documentar las condiciones de calidad específicas para una nueva  denominación de programa de posgrado:
 1) Construir las condiciones de calidad de los programas de posgrado desde cada Consejo de Facultad.
 2) Someter a aprobación las condiciones de calidad de los programas ante los responsables por cada condición para obtener la viabilidad.
 3) Elaborar y radicar el proyecto de acuerdo para la solicitud de viabilidad de creación del programa ante Consejo Académico.</t>
  </si>
  <si>
    <t xml:space="preserve">5. Documentos formulados y certificaciones de viabilidad emitidas. </t>
  </si>
  <si>
    <t>Someter a aprobación las condiciones de calidad del programa de posgrado ante Consejo Académico y Consejo Superior:
 1) Hacer seguimiento de la radicación y discusión del Proyecto de Acuerdo para someter las condiciones de calidad de los programas de posgrado ante el Consejo Superior.</t>
  </si>
  <si>
    <t>6. Soporte de radicación</t>
  </si>
  <si>
    <t>Remitir las condiciones de calidad a la Oficina de Aseguramiento de la calidad para radicación en la plataforma SACES del Ministerio de Educación Nacional:
1) Radicar la documentación aprobada por el Consejo Superior a la Oficina de Aseguramiento de la Calidad para su revisión final y posterior radicación en SACES.</t>
  </si>
  <si>
    <t>7. Soporte de radicación</t>
  </si>
  <si>
    <t>Solicitar a la Oficina de Aseguramiento de la calidad del informe de radicación:
1) Hacer el acompañamiento en el cargue de la información a la plataforma SACES y solicitar el informe de radicación de las condiciones de calidad en la plataforma.</t>
  </si>
  <si>
    <t>8. Soporte de radicación</t>
  </si>
  <si>
    <t xml:space="preserve">9. Resolución Ministerio de Educación Nacional </t>
  </si>
  <si>
    <t>Mejoramiento integral de la calidad educativa</t>
  </si>
  <si>
    <t>E2M3</t>
  </si>
  <si>
    <t>Actualizar el Proyecto Educativo Institucional que garantice la filosofía pedagógica y académica que identifique a la Universidad.</t>
  </si>
  <si>
    <t>1) Sensibilizar a la comunidad académica sobre elementos funcionales del P.E.I. según MEN y CNA, y los que apliquen.</t>
  </si>
  <si>
    <t xml:space="preserve"> 1. Informe</t>
  </si>
  <si>
    <t>2) Realizar diagnóstico del P.E.I.  en función de los elementos que represente la identidad académica Institucional definida y representativa.</t>
  </si>
  <si>
    <t>2. Diagnóstico</t>
  </si>
  <si>
    <t>3) Formular y socializar propuesta para la reforma del Proyecto Educativo Institucional que garantice una filosofía pedagógica y académica que identifique a la Institución.</t>
  </si>
  <si>
    <t xml:space="preserve"> 3. Informe </t>
  </si>
  <si>
    <t>4) Presentar propuesta consolidada de la reforma al P.E.I. ante Consejo Académico y Consejo Superior</t>
  </si>
  <si>
    <t>4. Radicación Consejo Académico</t>
  </si>
  <si>
    <t>Consejo Académico</t>
  </si>
  <si>
    <t>5) Aprobar P.E.I. reformado por parte del Consejo Superior.</t>
  </si>
  <si>
    <t>Consejo Superior</t>
  </si>
  <si>
    <t>E2M4</t>
  </si>
  <si>
    <t>Actualizar los proyectos educativos de programas (PEP)</t>
  </si>
  <si>
    <t>1) Capacitar a las Facultades y programas sobre el P.E.I.</t>
  </si>
  <si>
    <t>1. Informe</t>
  </si>
  <si>
    <t>2) Actualizar los Proyectos Educativo de Programa.</t>
  </si>
  <si>
    <t>2. Informe</t>
  </si>
  <si>
    <t>3) Presentar propuesta consolidada de la reforma al P.E.P. ante Consejo de Facultad.</t>
  </si>
  <si>
    <t>3. Documento formulado</t>
  </si>
  <si>
    <t>4) Aprobar P.E.P. por el Consejo de Facultad</t>
  </si>
  <si>
    <t>4. Acto administrativo</t>
  </si>
  <si>
    <t>E2M5</t>
  </si>
  <si>
    <t>1. Estrategia formulada</t>
  </si>
  <si>
    <t>2) Formular estrategias de concientización administrativa sobre su rol y relevancia en el logro de la calidad académica institucional.</t>
  </si>
  <si>
    <t xml:space="preserve">2. Estrategia formulada </t>
  </si>
  <si>
    <t>3) Presentar y aprobar propuestas consolidadas ante Consejo Académico.</t>
  </si>
  <si>
    <t xml:space="preserve">3. Proyecto de acuerdo radicado y acto administrativo aprobado </t>
  </si>
  <si>
    <t>E2M6</t>
  </si>
  <si>
    <t>Implementar un programa transversal y permanente de apoyo a la consecución de resultados de aprendizaje</t>
  </si>
  <si>
    <t xml:space="preserve">Reformular las estrategias de nivelación académica, monitorias académicas y tutorías: 
 1) Diagnosticar y analizar necesidades, falencias, oportunidades y aciertos.
 2) Construir y socializar la propuesta de reformulación.
  </t>
  </si>
  <si>
    <t>1. Documento de formulación del programa.</t>
  </si>
  <si>
    <t xml:space="preserve">Presentar programa ante el Consejo Académico:
4) Presentar proyecto de Acuerdo
5) Aprobar programa </t>
  </si>
  <si>
    <t>2. Acto administrativo que adopta el programa.</t>
  </si>
  <si>
    <t>Implementar estrategia</t>
  </si>
  <si>
    <t>3. Informe de implementación del programa</t>
  </si>
  <si>
    <t>Evaluar y actualizar el programa transversal y permanente de apoyo para la consecución de los resultados de aprendizaje:
 1) Determinación y evaluación de la tasa de rendimiento académico
 2) Generación de documentos evaluación y propuestas de mejora y actualización
 3) Presentación de propuestas de mejoras y actualización a las instancias académicas correspondientes</t>
  </si>
  <si>
    <t>4. Documentos soporte de evaluación</t>
  </si>
  <si>
    <t>E2M7</t>
  </si>
  <si>
    <t xml:space="preserve">Analizar y evaluar plan actual de bilingüismo
1) Evaluar plan de bilingüismo vigente para determinar áreas de mejoras
</t>
  </si>
  <si>
    <t xml:space="preserve">1. Documento técnico </t>
  </si>
  <si>
    <t xml:space="preserve">2. Plan institucional de bilingüismo formulado </t>
  </si>
  <si>
    <t>3. Acuerdo que aprueba el plan institucional de bilingüismo</t>
  </si>
  <si>
    <t>Programa institucional por la calidad profesoral: vinculación, formación y evaluación</t>
  </si>
  <si>
    <t>Fortalecimiento profesoral Unitropista, mediante estrategias integradas de vinculación, formación avanzada y evaluación actualizada</t>
  </si>
  <si>
    <t>E2M8</t>
  </si>
  <si>
    <t>Actualizar e implementar el sistema de evaluación de desempeño profesoral de Unitrópico</t>
  </si>
  <si>
    <t>Formular el Plan de actualización del sistema de evaluación de desempeño profesoral de Unitrópico y propuesta de acuerdo de aprobación (Articulación con Vicerrectoría de Investigación, de proyección Social y Talento Humano):
1) Diagnosticar y analizar necesidades, falencias, oportunidades y aciertos del sistema actual de evaluación profesoral.
2) Diseñar estrategias y herramientas para el análisis de resultados y generación de acciones de mejora del desempeño profesoral.
3) Sistematizar la evaluación y generación de resultados.
4) Construir y socializar el plan de actualización del sistema de evaluación de desempeño profesoral  y propuesta de acuerdo de aprobación.</t>
  </si>
  <si>
    <t>1. Plan de formación y capacitación profesoral avanzada dirigido a la mejora de la calidad académica en Unitrópico.
Propuesta de acuerdo de aprobación relacionado al plan.</t>
  </si>
  <si>
    <t>Aprobar el plan de actualización del sistema de evaluación de desempeño profesoral de Unitrópico
1) Presentar documento consolidado ante Consejo Académico.
2) Aprobar Proyecto de Acuerdo por parte del Consejo Académico.</t>
  </si>
  <si>
    <t>2. Acuerdo de aprobación del plan</t>
  </si>
  <si>
    <t xml:space="preserve">Implementar el Plan del sistema de evaluación de desempeño profesoral de Unitrópico
1) Socializar el sistema actualizado a la comunidad profesoral y estudiantil
2) Implementar el sistema actualizado
</t>
  </si>
  <si>
    <t>3 Informe semestral de implementación a partir de la fecha de aprobación del acuerdo</t>
  </si>
  <si>
    <t xml:space="preserve">Evaluar el sistema de evaluación de desempeño profesoral de Unitrópico.
1) Aplicar estrategias de evaluación y análisis del Plan del sistema de evaluación de desempeño profesoral de Unitrópico.
2) Generar propuestas de mejora y actualización de los procesos del sistema de evaluación del desempeño profesoral de ser necesario.
3) Determinar el impacto del sistemas actualizado en la labor profesoral. </t>
  </si>
  <si>
    <t xml:space="preserve"> 4. Informes de evaluación del plan</t>
  </si>
  <si>
    <t>E2M9</t>
  </si>
  <si>
    <t>Actualizar y ejecutar el plan de formación y capacitación profesoral dirigido al mejoramiento continuo.</t>
  </si>
  <si>
    <t xml:space="preserve">Formular la propuesta de acuerdo del plan de formación y capacitación profesoral dirigido a la mejora de la calidad académica en Unitrópico:
1) Diagnosticar, analizar y consolidar necesidades y oportunidades institucionales y de profesores a nivel de formación y capacitación avanzada en: investigación, formación pedagógica, actualización disciplinar e idiomas.
2) Formular el acuerdo del plan de formación y capacitación profesoral flexible y dirigido a la generación de productos académicos para su aplicación en el proceso de enseñanza.
3) Presentar la propuesta del plan de formación y capacitación profesoral ante el Consejo Académico.
</t>
  </si>
  <si>
    <t xml:space="preserve">1. Documento plan de formación profesoral
Proyecto de acuerdo del plan de formación </t>
  </si>
  <si>
    <t xml:space="preserve">Aprobar el plan de formación y capacitación profesoral dirigido a la mejora de la calidad académica e investigativa en Unitrópico:
 1) Aprobar institucionalmente el plan de formación y capacitación profesoral dirigido a la mejora de la calidad académica en Unitrópico.
</t>
  </si>
  <si>
    <t xml:space="preserve">Implementar el plan del formación y capacitación profesoral:
1) Socializar el plan de formación y capacitación profesoral
2) Implementar el plan de formación y capacitación profesoral
</t>
  </si>
  <si>
    <t>3. Informe de ejecución del plan</t>
  </si>
  <si>
    <t xml:space="preserve">Programa para el fortalecimiento de la investigación de Unitrópico </t>
  </si>
  <si>
    <t>Fortalecimiento de los actores de investigación y el crecimiento de la productividad científica.</t>
  </si>
  <si>
    <t>E2M10</t>
  </si>
  <si>
    <t>Apropiar y consolidar el Sistema de Investigación de Unitrópico</t>
  </si>
  <si>
    <t>1. Promover y divulgar el sistema de investigación y su funcionamiento a los profesores, administrativos, estudiantes y egresados  para mejorar la interacción que estos tienen con el sistema.</t>
  </si>
  <si>
    <t xml:space="preserve">1. Informe de estrategias de promoción y divulgación del sistema de investigación con profesores </t>
  </si>
  <si>
    <t>2. Socializar los procedimientos, formatos, y lineamientos  relacionados con el funcionamiento del sistema de investigación a los profesores, administrativos, estudiantes y egresados.</t>
  </si>
  <si>
    <t>E2M11</t>
  </si>
  <si>
    <t xml:space="preserve">Implementar una agenda de investigación que responda a las necesidades institucionales y regionales. </t>
  </si>
  <si>
    <t xml:space="preserve">1. Realizar un diagnóstico del estado de la investigación en Unitrópico </t>
  </si>
  <si>
    <t>1. Documento con informe del diagnóstico de la Investigación de Unitrópico</t>
  </si>
  <si>
    <t xml:space="preserve">2. Desarrollar comités consultivos y talleres con los diferentes actores de investigación internos, sectores productivos, comunidades y entes gubernamentales para identificar los focos de interés para la investigación. </t>
  </si>
  <si>
    <t>2. Informes de avance desarrollo de los comités consultivos y talleres</t>
  </si>
  <si>
    <t xml:space="preserve">3. Priorizar las temáticas o necesidades identificadas para establecer los retos de investigación de la agenda. </t>
  </si>
  <si>
    <t xml:space="preserve">3. Informes de priorización de las temáticas o necesidades y la definición de los retos para la agenda de investigación. </t>
  </si>
  <si>
    <t xml:space="preserve">4. Estructurar agenda de investigación de Unitrópico </t>
  </si>
  <si>
    <t>4. Documento que define las estrategias para fortalecer las necesidades identificadas.</t>
  </si>
  <si>
    <t xml:space="preserve">5. Presentar a los órganos correspondientes para el análisis y aprobación </t>
  </si>
  <si>
    <t>5. Proyecto de acuerdo radicado y aprobado ante los órganos colegiados competentes</t>
  </si>
  <si>
    <t xml:space="preserve">6. Ejecución de la agenda de investigación de Unitrópico </t>
  </si>
  <si>
    <t>6. Informe implementación agenda</t>
  </si>
  <si>
    <t>E2M12</t>
  </si>
  <si>
    <t xml:space="preserve">Ejecutar una (1) convocatoria interna anual que financie proyectos de investigación para el fortalecimiento de las líneas de investigación institucionales que involucren los actores de investigación de la Universidad </t>
  </si>
  <si>
    <t>1. Identificar de las necesidades en investigación de los actores de investigación de la Universidad.</t>
  </si>
  <si>
    <t xml:space="preserve">1. Diagnostico
</t>
  </si>
  <si>
    <t>2. Priorizar las necesidades diagnosticadas</t>
  </si>
  <si>
    <t xml:space="preserve">2. Plan de convocatorias
</t>
  </si>
  <si>
    <t>3. Formular la convocatoria de investigación.</t>
  </si>
  <si>
    <t>3. Plan de convocatorias con los términos de referencia</t>
  </si>
  <si>
    <t>4. Presentar a los órganos correspondientes para su aprobación.</t>
  </si>
  <si>
    <t xml:space="preserve">4. Radicación y aprobación del Acuerdo del Consejo Académico </t>
  </si>
  <si>
    <t>5. Ejecutar la convocatoria.</t>
  </si>
  <si>
    <t xml:space="preserve">5. Resolución de la Vicerrectoría de Investigación por medio de la cual publica la lista de proyectos elegibles por la convocatoria.  </t>
  </si>
  <si>
    <t xml:space="preserve">6. Evaluar los resultados de la ejecución de la convocatoria. </t>
  </si>
  <si>
    <t xml:space="preserve">6. Informe de ejecución y evaluación de la convocatoria. </t>
  </si>
  <si>
    <t>E2M13</t>
  </si>
  <si>
    <t xml:space="preserve">Incrementar la categoría de grupos de investigación categorizados por Minciencias </t>
  </si>
  <si>
    <t xml:space="preserve">1. Realizar un diagnóstico del estado actual de los grupos de investigación categorizados. </t>
  </si>
  <si>
    <t xml:space="preserve">1. Diagnostico </t>
  </si>
  <si>
    <t xml:space="preserve">2. Establecer los criterios y la productividad necesaria para alcanzar la categoría de cada grupo. </t>
  </si>
  <si>
    <t xml:space="preserve">2. Documento con los criterios y la productividad necesaria para alcanzar la categoría de cada grupo. </t>
  </si>
  <si>
    <t>3. Crear estrategias para que los grupos de investigación puedan cumplir con los criterios necesarios para aumentar de categoría.</t>
  </si>
  <si>
    <t xml:space="preserve">3. Documento con las estrategias diseñadas </t>
  </si>
  <si>
    <t xml:space="preserve">4. Realizar acompañamiento y seguimiento a la implementación de las estrategias  </t>
  </si>
  <si>
    <t xml:space="preserve">4. Informe de seguimiento de la ejecución de estrategias. </t>
  </si>
  <si>
    <t>E2M14</t>
  </si>
  <si>
    <t xml:space="preserve">Reconocer o categorizar el 50% de los grupos de investigación con reconocimiento institucional que no están categorizados por Minciencias. </t>
  </si>
  <si>
    <t xml:space="preserve">1. Realizar un diagnóstico del estado actual de los grupos de investigación no categorizados </t>
  </si>
  <si>
    <t>E2M15</t>
  </si>
  <si>
    <t xml:space="preserve">Desarrollar dos (2) proyectos anuales de investigación interdisciplinar con participación de redes, grupos de investigación y/o que este asociado al sector productivo con recursos externos o de cooperación internacional. </t>
  </si>
  <si>
    <t xml:space="preserve">1. Identificar las posibles fuentes de financiación externas, las áreas temáticas de las propuestas y los grupos de investigación que liderarán la formulación del proyecto. </t>
  </si>
  <si>
    <t xml:space="preserve">1. Actas de reunión con los aliados estratégicos. </t>
  </si>
  <si>
    <t>2. Realizar reuniones con aliados y grupos de investigación para definir los intereses para la formulación del proyecto de investigación</t>
  </si>
  <si>
    <t xml:space="preserve">2. Actas de reunión con los aliados estratégicos. </t>
  </si>
  <si>
    <t xml:space="preserve">3. Formular el proyecto en trabajo colaborativo con los aliados y las facultades </t>
  </si>
  <si>
    <t>3. Documento con la formulación del proyecto</t>
  </si>
  <si>
    <t xml:space="preserve">4. Presentar el proyecto a la Convocatoria de Investigación de acuerdo con los procedimientos institucionales </t>
  </si>
  <si>
    <t xml:space="preserve">4. Radicado del proyecto a la convocatoria </t>
  </si>
  <si>
    <t>5. Iniciar la ejecución del proyecto en colaboración con los aliados.</t>
  </si>
  <si>
    <t xml:space="preserve">5. Acta de inicio del proyecto o documento que evidencie los recursos para ejecución del proyecto </t>
  </si>
  <si>
    <t>E2M16</t>
  </si>
  <si>
    <t xml:space="preserve">Aumentar el 10% la productividad científica según las tipologías definidas por Minciencias. </t>
  </si>
  <si>
    <t>1. Realizar diagnóstico de productividad de las tipologías definidas por Minciencias</t>
  </si>
  <si>
    <t>1. Diagnóstico</t>
  </si>
  <si>
    <t xml:space="preserve">2. Aplicar las estrategias derivadas de las políticas de investigación en relación con la generación de nuevo conocimiento en las diferentes tipologías establecidas por Minciencias. </t>
  </si>
  <si>
    <t xml:space="preserve">3. Evaluar anualmente la productividad de cada una de la tipología de productos definidos por Minciencias  </t>
  </si>
  <si>
    <t>3. Informe evaluación</t>
  </si>
  <si>
    <t>E2M17</t>
  </si>
  <si>
    <t>Aumentar la visibilidad y divulgación de la productividad científica, humanística, cultural y creativa de la Universidad</t>
  </si>
  <si>
    <t xml:space="preserve">1. Realizar diagnóstico de necesidades de los actores para la divulgación de información de las actividades de investigación </t>
  </si>
  <si>
    <t xml:space="preserve">1. Documento con diagnóstico </t>
  </si>
  <si>
    <t xml:space="preserve">2. Diseñar plan de divulgación de la investigación </t>
  </si>
  <si>
    <t xml:space="preserve">2. Documento con el plan de divulgación </t>
  </si>
  <si>
    <t>3. Implementar el plan de estrategias de divulgación de las actividades de Investigación.</t>
  </si>
  <si>
    <t>3. Informe de ejecución de las estrategias de divulgación de las actividades de Investigación.</t>
  </si>
  <si>
    <t>4. Realizar seguimiento a la ejecución del plan de divulgación de las actividades de Investigación.</t>
  </si>
  <si>
    <t>4. Informe de seguimiento de las estrategias de divulgación de las actividades de Investigación.</t>
  </si>
  <si>
    <t>Internacionalización de la vida universitaria</t>
  </si>
  <si>
    <t>Fortalecimiento de la gestión de la Internacionalización</t>
  </si>
  <si>
    <t>E2M18</t>
  </si>
  <si>
    <t>Aumentar las capacidades y el conocimiento en el ámbito de las relaciones y cooperación internacional a través de la participación en siete actividades de actualización, desarrollo profesional o divulgación de la internacionalización.</t>
  </si>
  <si>
    <t>1. Identificar las oportunidades de capacitación y actualización relacionados con la internacionalización.</t>
  </si>
  <si>
    <t xml:space="preserve">1. Oficio remisorio con listado de actividades </t>
  </si>
  <si>
    <t>2. Tramitar la aprobación y viabilización del Plan Universitario de Cooperación.</t>
  </si>
  <si>
    <t>2. Resolución semestral adopción del PUC 2025 A y B</t>
  </si>
  <si>
    <t xml:space="preserve">3. Ejecutar las actividades de capacitación y actualización integradas en el Plan anual de cooperación PUC.  </t>
  </si>
  <si>
    <t xml:space="preserve">3. Informes </t>
  </si>
  <si>
    <t>Aseguramiento de la internacionalización de la comunidad universitaria</t>
  </si>
  <si>
    <t>E2M19</t>
  </si>
  <si>
    <t>Aumentar las capacidades y el conocimiento global en las áreas disciplinares a través de la creación de espacios de actualización por facultad y escuela.</t>
  </si>
  <si>
    <t>1. Elaborar un calendario anual que incluya las fechas y detalles de los eventos programados para cada facultad y escuela.</t>
  </si>
  <si>
    <t>1. Calendario de eventos</t>
  </si>
  <si>
    <t>2. Identificar y contactar a expertos internacionales en los temas relevantes para cada facultad y escuela, invitándolos a participar como ponentes o facilitadores.</t>
  </si>
  <si>
    <t>2. Solicitudes de movilidad entrante</t>
  </si>
  <si>
    <t>3. Difusión de cada evento a realizarse.</t>
  </si>
  <si>
    <t xml:space="preserve">3. Informe de evento </t>
  </si>
  <si>
    <t xml:space="preserve">4. Ejecutar el evento </t>
  </si>
  <si>
    <t>4. Informe de evento</t>
  </si>
  <si>
    <t>E2M20</t>
  </si>
  <si>
    <t xml:space="preserve">Aumentar el índice de movilidad saliente de estudiantes.
</t>
  </si>
  <si>
    <t>1. Realizar apertura de la convocatoria de movilidad de estudiantes</t>
  </si>
  <si>
    <t xml:space="preserve">1. Acto administrativo </t>
  </si>
  <si>
    <t>2. Promoción de las convocatorias de movilidad académica.</t>
  </si>
  <si>
    <t>3. Realizar las postulaciones de los estudiantes a las convocatorias vigentes.</t>
  </si>
  <si>
    <t>3. Documento postulaciones realizadas</t>
  </si>
  <si>
    <t>4. Formalizar el proceso de movilidad académica.</t>
  </si>
  <si>
    <t xml:space="preserve">4. Relación de formalización </t>
  </si>
  <si>
    <t>5.  Ejecución de la movilidad saliente</t>
  </si>
  <si>
    <t>E2M21</t>
  </si>
  <si>
    <t xml:space="preserve">Aumentar el índice de movilidad saliente de profesores y administrativos.
</t>
  </si>
  <si>
    <t>1. Realizar apertura de la convocatoria de movilidad de profesores y administrativos.</t>
  </si>
  <si>
    <t>1. Acto administrativo</t>
  </si>
  <si>
    <t>2. Realizar la promoción de las convocatorias de movilidad.</t>
  </si>
  <si>
    <t xml:space="preserve">3. Tramitar la autorización de las postulaciones recibidas. </t>
  </si>
  <si>
    <t>3. Acto administrativo</t>
  </si>
  <si>
    <t>4. Ejecución de la movilidad saliente de profesores y administrativos</t>
  </si>
  <si>
    <t>E2M22</t>
  </si>
  <si>
    <t>Incrementar la movilidad entrante de estudiantes, profesores y administrativos</t>
  </si>
  <si>
    <t>1. Realizar apertura de las convocatorias de movilidad entrante.</t>
  </si>
  <si>
    <t xml:space="preserve">3. Tramitar las postulaciones recibidas. </t>
  </si>
  <si>
    <t>3. Documentos de autorización</t>
  </si>
  <si>
    <t xml:space="preserve">4. Ejecución de la movilidad entrante </t>
  </si>
  <si>
    <t>E2M23</t>
  </si>
  <si>
    <t>Aumentar gradualmente el número de actividades de internacionalización en casa realizadas por facultades y escuelas.</t>
  </si>
  <si>
    <t>1. Planificar y formular la estrategia de internacionalización en casa para los programas académicos.</t>
  </si>
  <si>
    <t>2. Ejecutar la estrategia de internacionalización en casa.</t>
  </si>
  <si>
    <t>3. Realizar seguimiento a la estrategia de internacionalización en casa</t>
  </si>
  <si>
    <t>3. Informe de evaluación</t>
  </si>
  <si>
    <t>E2M24</t>
  </si>
  <si>
    <t>Realizar un (01) plan anual de fomento, seguimiento y evaluación de las acciones asociadas a la internacionalización del currículo.</t>
  </si>
  <si>
    <t>1. Formular el plan anual de fomento, seguimiento y evaluación de las acciones asociadas a la internacionalización del currículo.</t>
  </si>
  <si>
    <t>2. Socializar el plan anual de fomento, seguimiento y evaluación de las acciones asociadas a la internacionalización del currículo.</t>
  </si>
  <si>
    <t>2. Actas de reunión</t>
  </si>
  <si>
    <t>3. Ejecutar el plan anual de fomento, seguimiento y evaluación de las acciones asociadas a la internacionalización del currículo.</t>
  </si>
  <si>
    <t>Incremento de la presencia de lenguas y culturas en la vida universitaria</t>
  </si>
  <si>
    <t>E2M25</t>
  </si>
  <si>
    <t>Realizar anualmente cuatro (04) actividades que promuevan la multiculturalidad y el multilingüismo</t>
  </si>
  <si>
    <t>1. Elaborar un cronograma anual de actividades multiculturales.</t>
  </si>
  <si>
    <t>1. Cronograma</t>
  </si>
  <si>
    <t>2. Realizar la promoción y difusión de las actividades.</t>
  </si>
  <si>
    <t>2. Informe de promoción y difusión</t>
  </si>
  <si>
    <t>3. Ejecutar las actividades  que promuevan la multiculturalidad y el multilingüismo</t>
  </si>
  <si>
    <t xml:space="preserve">3. Informe de ejecución </t>
  </si>
  <si>
    <t>Ampliación y uso de alianzas de cooperación internacional</t>
  </si>
  <si>
    <t>E2M26</t>
  </si>
  <si>
    <t>Participar en una red internacional por facultad y escuela para la divulgación, promoción y fortalecimiento del conocimiento generado en la institución</t>
  </si>
  <si>
    <t>1. Identificar redes internacionales para cada facultad y escuela.</t>
  </si>
  <si>
    <t>1. Informe de identificación</t>
  </si>
  <si>
    <t>2. Presentar propuestas de adhesión detalladas para cada red de interés.</t>
  </si>
  <si>
    <t>2. Solicitud de adhesión</t>
  </si>
  <si>
    <t>3. Tramitar la aprobación de adhesión de las redes presentadas.</t>
  </si>
  <si>
    <t>3. Certificado de afiliación</t>
  </si>
  <si>
    <t>4. Participar en la actividades de la red o las redes aprobadas.</t>
  </si>
  <si>
    <t>4. Informe de participación</t>
  </si>
  <si>
    <t>E2M27</t>
  </si>
  <si>
    <t>Visibilizar a Unitrópico en el mundo a través de la cooperación y la diplomacia científica en el marco acciones propuestas por las redes y asociaciones nacionales e internacionales para tal fin.</t>
  </si>
  <si>
    <t>1. Presentar los eventos de interés para la promoción de la internacionalización en el Plan Universitario de Cooperación</t>
  </si>
  <si>
    <t>1.Acto administrativo</t>
  </si>
  <si>
    <t xml:space="preserve">2. Tramitar la viabilidad de participación de los eventos consolidados en el PUC. </t>
  </si>
  <si>
    <t>2. Resoluciones de comisión</t>
  </si>
  <si>
    <t>3. Ejecutar los eventos viabilizados.</t>
  </si>
  <si>
    <t>3. Informe de comisión</t>
  </si>
  <si>
    <t>E2M28</t>
  </si>
  <si>
    <t xml:space="preserve">Gestionar la consecución de recursos externos de cooperación internacional a través de convocatorias que promuevan la internacionalización del conocimiento. </t>
  </si>
  <si>
    <t xml:space="preserve">1. Divulgar las convocatorias internacionales alineadas con la misión institucional, en las que se logre la consecución de recursos </t>
  </si>
  <si>
    <t>2. Capacitar en la formulación de proyectos asociados a las postulaciones</t>
  </si>
  <si>
    <t>3. Postularse a las convocatorias</t>
  </si>
  <si>
    <t>3. Evidencias de postulación</t>
  </si>
  <si>
    <t xml:space="preserve">4. Ejecutar proyectos o actividades de internacionalización con recursos externos </t>
  </si>
  <si>
    <t xml:space="preserve">4. Informe </t>
  </si>
  <si>
    <t>E2M29</t>
  </si>
  <si>
    <t>Participar en misiones de cooperación para el fortalecimiento académico y científico de la universidad</t>
  </si>
  <si>
    <t>1. Compilar las propuestas de misiones realizadas por las estancias académicas</t>
  </si>
  <si>
    <t>1. Propuestas compiladas</t>
  </si>
  <si>
    <t>2. Tramite de aprobación de la misión</t>
  </si>
  <si>
    <t>2. Acto administrativo</t>
  </si>
  <si>
    <t xml:space="preserve">3. Realizar misiones de cooperación. </t>
  </si>
  <si>
    <t>3. Informe misiones</t>
  </si>
  <si>
    <t>E2M30</t>
  </si>
  <si>
    <t>Aumentar en 12 el número de convenios internacionales suscritos por la institución</t>
  </si>
  <si>
    <t>1. Incluir en los Planes Universitarios de Cooperación PUC un análisis para identificar instituciones internacionales que compartan intereses académicos y de investigación similares, y que sean potenciales socios para nuevos convenios.</t>
  </si>
  <si>
    <t xml:space="preserve">2. Gestión y firmas de convenios </t>
  </si>
  <si>
    <t xml:space="preserve">2. Convenio firmado </t>
  </si>
  <si>
    <t>3. Realizar la divulgación y promoción de las nuevas alianzas formalizadas.</t>
  </si>
  <si>
    <t>3. Evidencias de socialización</t>
  </si>
  <si>
    <t>E2M31</t>
  </si>
  <si>
    <t>Incrementar el 10% el uso de convenios internacionales en el cuatrienio</t>
  </si>
  <si>
    <t xml:space="preserve">1. Divulgar los convenios vigentes para fomentar su uso </t>
  </si>
  <si>
    <t>Informe divulgación</t>
  </si>
  <si>
    <t>2. Realizar seguimiento regularmente al uso de los convenios internacionales, identificando áreas de mejora y ajustando estrategias en función de los resultados obtenidos.</t>
  </si>
  <si>
    <t>Informe de seguimiento</t>
  </si>
  <si>
    <t>Extensión de los programas académicos, como medio para alcanzar la calidad</t>
  </si>
  <si>
    <t>Fortalecimiento de las actividades de extensión de los diferentes programas académicos</t>
  </si>
  <si>
    <t>E2M32</t>
  </si>
  <si>
    <t xml:space="preserve">Realizar un (01) proyecto de proyección social o extensión por programa académico </t>
  </si>
  <si>
    <t>1. Identificar necesidades y áreas de interés</t>
  </si>
  <si>
    <t xml:space="preserve">2. Formular el programa de extensión </t>
  </si>
  <si>
    <t>2. Programa formulado</t>
  </si>
  <si>
    <t>3.Solicitar aprobación del programa por parte del Consejo de Proyección Social</t>
  </si>
  <si>
    <t xml:space="preserve">3. Documento aprobación </t>
  </si>
  <si>
    <t xml:space="preserve">4. Implementar programa de extensión </t>
  </si>
  <si>
    <t xml:space="preserve">4. informe de implementación del plan de divulgación de la investigación de Unitrópico. </t>
  </si>
  <si>
    <t>E2M33</t>
  </si>
  <si>
    <t>Ejecutar tres (03) proyectos de sostenibilidad ambiental</t>
  </si>
  <si>
    <t xml:space="preserve">1. Elaborar proyecto (fase alistamiento e identificación de población beneficiaria). </t>
  </si>
  <si>
    <t>1. Proyecto formulado</t>
  </si>
  <si>
    <t xml:space="preserve">2. Implementar proyecto (Trabajo con la comunidad, asignación de tareas a cargo de los intervinientes del proyecto). </t>
  </si>
  <si>
    <t>3. Terminar proyecto: Fase en la cual se demuestra la culminación del proyecto.</t>
  </si>
  <si>
    <t>E2M34</t>
  </si>
  <si>
    <t xml:space="preserve">Institucionalizar y realizar tres (03) jornadas anuales en atención medico quirúrgicos y bienestar animal </t>
  </si>
  <si>
    <t xml:space="preserve">1. Desarrollar de cronograma de jornada medico quirúrgico </t>
  </si>
  <si>
    <t>2. Solicitar certificado disponibilidad presupuestal para ejecución de jornadas medico quirúrgicas y bienestar animal</t>
  </si>
  <si>
    <t>2. Documento técnico</t>
  </si>
  <si>
    <t>3. Realizar las jornadas medico quirúrgicas y bienestar animal</t>
  </si>
  <si>
    <t>Servicio de Voluntariado Social Unitropista</t>
  </si>
  <si>
    <t>E2M35</t>
  </si>
  <si>
    <t>Establecer e implementar un programa permanente de voluntariado</t>
  </si>
  <si>
    <t xml:space="preserve">1. Formular programa de voluntariado. </t>
  </si>
  <si>
    <t>1. Programa formulado</t>
  </si>
  <si>
    <t xml:space="preserve">2. Presentar para revisión por parte de la autoridad competente </t>
  </si>
  <si>
    <t>2. Concepto financiero</t>
  </si>
  <si>
    <t xml:space="preserve">3. Solicitar aprobación por parte de la autoridad competente. </t>
  </si>
  <si>
    <t>4. Elaborar mecanismo de verificación y seguimiento</t>
  </si>
  <si>
    <t>4. Herramienta de seguimiento</t>
  </si>
  <si>
    <t>5. Socializar e implementar proyecto.</t>
  </si>
  <si>
    <t>5. Informe de socialización e implementación</t>
  </si>
  <si>
    <t xml:space="preserve">Fortalecimiento de  la cultura de  innovación y emprendimiento </t>
  </si>
  <si>
    <t>Innovación con calidad, para responder a las necesidades del entorno</t>
  </si>
  <si>
    <t>E2M36</t>
  </si>
  <si>
    <t xml:space="preserve">1. Realizar diagnóstico y convocatoria para identificar potenciales generadores de los bienes y servicios. </t>
  </si>
  <si>
    <t xml:space="preserve">2. Realizar maduración y evaluación de las propuestas. </t>
  </si>
  <si>
    <t>3. Realizar socialización y presentación de las propuestas innovadoras</t>
  </si>
  <si>
    <t xml:space="preserve">4. Viabilizar las propuestas y presentación ante la DNDA. </t>
  </si>
  <si>
    <t>4. Documento viabilización</t>
  </si>
  <si>
    <t>E2M37</t>
  </si>
  <si>
    <t>Crear dos (02) Spin Off a partir de la incubadora empresarial Unitropista</t>
  </si>
  <si>
    <t xml:space="preserve">1. Realizar diagnóstico y convocatoria para identificar potenciales Spin off. </t>
  </si>
  <si>
    <t>1. Informe ejecutivo</t>
  </si>
  <si>
    <t xml:space="preserve">3. Viabilizar propuestas. </t>
  </si>
  <si>
    <t>3. Documento viabilización</t>
  </si>
  <si>
    <t>4. Socializar y presentar propuestas innovadoras</t>
  </si>
  <si>
    <t>Fortalecimiento de la incubadora empresarial Unitropista</t>
  </si>
  <si>
    <t>E2M38</t>
  </si>
  <si>
    <t xml:space="preserve">Incrementar en 20% el número de emprendedores beneficiados por la incubadora empresarial Unitropista.
</t>
  </si>
  <si>
    <t xml:space="preserve">1. Realizar convocatoria: Estrategias de sensibilización y evaluación del perfil del emprendedor </t>
  </si>
  <si>
    <t xml:space="preserve">1. Informe convocatoria </t>
  </si>
  <si>
    <t>2. Realizar jornadas de ideación emprendedores exitosos</t>
  </si>
  <si>
    <t xml:space="preserve">2. Listados de asistencia a eventos  y actas de reunión. </t>
  </si>
  <si>
    <t xml:space="preserve">3. Realizar inscripciones a incubación:  Se abrirán inscripciones para proceso de Incubación de cada proyecto. </t>
  </si>
  <si>
    <t>3. Informe de Inscripciones</t>
  </si>
  <si>
    <t xml:space="preserve">4. Incubación de emprendimientos , haciendo énfasis en el valor agregado y potencial empresarial, mediante la participación en diferentes talleres, programas de formación, orientaciones y mentorías, consolidando su proyecto con el acompañamiento de expertos en cada temática y de acuerdo con su fase. </t>
  </si>
  <si>
    <t>5. Entregar incentivos y seguimiento: Los beneficiados por la Incubadora serán evaluados por medio de seguimiento y auditoría continua en base a sus indicadores en ventas, clientes y rentabilidad</t>
  </si>
  <si>
    <t>Interacción de la Universidad con la cuádruple hélice de desarrollo, un reflejo de la calidad universitaria en el entorno</t>
  </si>
  <si>
    <t>Fortalecimiento de la presencia institucional y consolidación de vínculos con el desarrollo integral y sostenible de la región</t>
  </si>
  <si>
    <t>E2M39</t>
  </si>
  <si>
    <r>
      <t xml:space="preserve">Implementar estrategias que permitan incrementar en un 5% </t>
    </r>
    <r>
      <rPr>
        <sz val="11"/>
        <rFont val="Montserrat"/>
      </rPr>
      <t>anual</t>
    </r>
    <r>
      <rPr>
        <sz val="11"/>
        <color theme="1"/>
        <rFont val="Montserrat"/>
      </rPr>
      <t xml:space="preserve"> el porcentaje de usuarios de los servicios ofrecidos por los consultorios jurídico y contable de la Universidad</t>
    </r>
  </si>
  <si>
    <t xml:space="preserve">1. Realizar diagnóstico actual </t>
  </si>
  <si>
    <t>Implementar estrategias que permitan incrementar en un 5% anual el porcentaje de usuarios de los servicios ofrecidos por los consultorios jurídico y contable de la Universidad</t>
  </si>
  <si>
    <t>2. Realizar campaña de difusión y promoción de servicios</t>
  </si>
  <si>
    <t xml:space="preserve">3. Realizar convenios con entidades locales </t>
  </si>
  <si>
    <t>4. Realizar jornadas de puertas abiertas y charlas informativas</t>
  </si>
  <si>
    <t>E2M40</t>
  </si>
  <si>
    <t xml:space="preserve">Ejecutar por programa académico un proyecto de interés local, regional y nacional, con base en la interacción de la cuádruple hélice Universidad/Estado/Empresa/Sociedad civil </t>
  </si>
  <si>
    <t xml:space="preserve">1. Articular con el sector externo, para identificar necesidades y oportunidades de intervención.                                                                                                                                                                                                                                                       </t>
  </si>
  <si>
    <t xml:space="preserve">2. Elaborar y formular iniciativas conjuntas.    </t>
  </si>
  <si>
    <t xml:space="preserve">3. Solicitar aprobación del proyecto    </t>
  </si>
  <si>
    <t xml:space="preserve">4. Ejecutar las iniciativas.      </t>
  </si>
  <si>
    <t>5. Realizar evaluación y balance de la cooperación generada con la iniciativa.</t>
  </si>
  <si>
    <t>E2M41</t>
  </si>
  <si>
    <t>Formular e implementar el programa de interacción y relacionamiento con el sector externo que atienda las necesidades del entorno</t>
  </si>
  <si>
    <t xml:space="preserve">1. Articular con el sector externo, para identificar necesidades y oportunidades de intervención.                                                                                                                                                                                                                                              </t>
  </si>
  <si>
    <t xml:space="preserve">2. Elaborar y formular las iniciativas conjuntas.             </t>
  </si>
  <si>
    <t xml:space="preserve">3. Solicitar aprobación del proyecto          </t>
  </si>
  <si>
    <t xml:space="preserve">4. Ejecutar las iniciativas. </t>
  </si>
  <si>
    <t>Promoción del conocimiento como medio para transformar realidades sociales en el territorio</t>
  </si>
  <si>
    <t>E2M42</t>
  </si>
  <si>
    <t>Establecer una oferta permanente de educación continua</t>
  </si>
  <si>
    <t>1. Realizar análisis de demanda del mercado</t>
  </si>
  <si>
    <t xml:space="preserve">2. Diseñar y aprobar  la oferta académica </t>
  </si>
  <si>
    <t xml:space="preserve">3. Promocionar y difundir la oferta de educación continuada </t>
  </si>
  <si>
    <t xml:space="preserve">4. Ejecutar la oferta de educación continuada </t>
  </si>
  <si>
    <t>5. Realizar monitoreo y evaluación a los programas de educación continuada</t>
  </si>
  <si>
    <t>E2M43</t>
  </si>
  <si>
    <t xml:space="preserve">Generar espacios de formación a través de plataformas digitales, haciendo uso de las TIC, como medio de generar apropiación social del conocimiento </t>
  </si>
  <si>
    <t>1. Realizar análisis de demanda del mercado.</t>
  </si>
  <si>
    <t>2. Diseñar y aprobar  la oferta académica.</t>
  </si>
  <si>
    <t>3. Promocionar y difundir la oferta de educación continuada.</t>
  </si>
  <si>
    <t>4. Ejecutar la oferta de educación continuada.</t>
  </si>
  <si>
    <t>5. Realizar monitoreo y evaluación a los programas de educación continuada.</t>
  </si>
  <si>
    <t>E2M44</t>
  </si>
  <si>
    <t xml:space="preserve">Crear la editorial Unitropista </t>
  </si>
  <si>
    <t xml:space="preserve">1. Proyectar documento de creación. </t>
  </si>
  <si>
    <t xml:space="preserve">2. Solicitar revisión de la Oficina Asesora Jurídica y de Contratación y a la Vicerrectoría Administrativa y Financiera. </t>
  </si>
  <si>
    <t xml:space="preserve">3. Someter a consideración y aprobación por parte del Consejo Superior. </t>
  </si>
  <si>
    <t>4. Implementar acuerdo respectivo</t>
  </si>
  <si>
    <t>E2M45</t>
  </si>
  <si>
    <t>1. Realizar una convocatoria interna para identificar textos académicos y obras artísticas de profesores, estudiantes e investigadores que puedan ser publicados.</t>
  </si>
  <si>
    <t>2. Realizar evaluación de las propuestas</t>
  </si>
  <si>
    <t xml:space="preserve">3. Asegurar la revisión técnica, de estilo y el cumplimiento de los derechos de autor para las obras seleccionadas. </t>
  </si>
  <si>
    <t>4. Realizar el diseño gráfico y la maquetación de los textos y obras artísticas seleccionadas</t>
  </si>
  <si>
    <t>5. Publicar las obras en formato físico o digital</t>
  </si>
  <si>
    <t xml:space="preserve">Promoción y apropiación de las expresiones culturales, artísticas y humanas en la universidad </t>
  </si>
  <si>
    <t xml:space="preserve">Preservación del patrimonio cultural e inmaterial de la región, una apuesta por la identidad regional </t>
  </si>
  <si>
    <t>E2M46</t>
  </si>
  <si>
    <t>Ejecutar un proyecto del patrimonio cultural de la región</t>
  </si>
  <si>
    <t xml:space="preserve">2. Realizar fase de implementación del proyecto (Trabajo con la comunidad, asignación de tareas a cargo de los intervinientes del proyecto). </t>
  </si>
  <si>
    <t>3. Realizar evaluación al proyecto</t>
  </si>
  <si>
    <t>E2M47</t>
  </si>
  <si>
    <t xml:space="preserve">Documentar saberes, tradiciones y manifestaciones folclóricas regionales </t>
  </si>
  <si>
    <t>Relacionamiento con egresados</t>
  </si>
  <si>
    <t>Fortalecimiento del relacionamiento con el egresado Unitropista</t>
  </si>
  <si>
    <t>E2M48</t>
  </si>
  <si>
    <t>Operacionalizar un sistema de egresados para evaluar su impacto en el entorno y la pertinencia de los programas académicos.</t>
  </si>
  <si>
    <t xml:space="preserve">1. Elaborar programa </t>
  </si>
  <si>
    <t xml:space="preserve">2. Solicitar aprobación por la autoridad competente </t>
  </si>
  <si>
    <t>3. Ejecutar proyecto</t>
  </si>
  <si>
    <t>E2M49</t>
  </si>
  <si>
    <t xml:space="preserve">Establecer un programa de relacionamiento con el egresado, que genere opciones de pertenencia, identidad, crecimiento y desarrollo personal y profesional, en concordancia con la política del egresado. </t>
  </si>
  <si>
    <t>E2M50</t>
  </si>
  <si>
    <t>Ejecutar un programa de articulación con los egresados en los procesos de revisión y mejoramiento curricular de los diversos programas académicos.</t>
  </si>
  <si>
    <t>Eje estratégico 3: ecosistema para el conocimiento</t>
  </si>
  <si>
    <t>Fortalecimiento de la infraestructura física del campus universitario</t>
  </si>
  <si>
    <t xml:space="preserve">Ampliación y modernización de la infraestructura física hacia un campus accesible, inclusivo e innovador </t>
  </si>
  <si>
    <t>E3M1</t>
  </si>
  <si>
    <t xml:space="preserve">Adecuar y dotar los espacios adquiridos mediante alianzas estratégicas o convenciones jurídicas. 
</t>
  </si>
  <si>
    <t>1.Realizar estudios requeridos en las fases de pre factibilidad, factibilidad o definitivos.</t>
  </si>
  <si>
    <t>1. Estudios técnicos</t>
  </si>
  <si>
    <t>2.Formular el proyecto resultante de la alianza estratégica</t>
  </si>
  <si>
    <t>2. Proyecto formulado</t>
  </si>
  <si>
    <t xml:space="preserve">3.Elaborar diseños técnicos requeridos para el proyecto de inversión. </t>
  </si>
  <si>
    <t>3. Proyecto con los soportes</t>
  </si>
  <si>
    <t>4.Radicar ante la entidad u oficina competente</t>
  </si>
  <si>
    <t>4. Radicado del proyecto ante la entidad u oficina competente</t>
  </si>
  <si>
    <t>5.Realizar las actividades y desarrollo de procesos precontractuales y contractuales en el marco de la ejecución del proyecto de inversión.</t>
  </si>
  <si>
    <t xml:space="preserve">5. Contrato </t>
  </si>
  <si>
    <t>6. Adecuar y dotar espacios adquiridos mediante alianzas estratégicas para atender las demandas de crecimiento y expansión.</t>
  </si>
  <si>
    <t>6. Informe de ejecución contractual</t>
  </si>
  <si>
    <t>E3M2</t>
  </si>
  <si>
    <t xml:space="preserve">Construir  redes eléctricas, de voz y datos   en el campus universitario. </t>
  </si>
  <si>
    <t>1. Realizar estudios requeridos en las fases de pre factibilidad, factibilidad o definitivos.</t>
  </si>
  <si>
    <t>2. Formular el proyecto para “Construcción de redes eléctricas de voz y datos internas y externas existentes en  el predio de la Granja Agropecuaria El Remanso y el predio de la Ciudadela Universitaria de Casanare de la Universidad Internacional del Trópico Americano Unitrópico”.</t>
  </si>
  <si>
    <t xml:space="preserve">3. Elaborar diseños técnicos requeridos para el proyecto de inversión. </t>
  </si>
  <si>
    <t>4. Radicar ante la entidad u oficina competente</t>
  </si>
  <si>
    <t>5. Realizar las actividades y desarrollo de procesos precontractuales y contractuales en el marco de la ejecución del proyecto de inversión.</t>
  </si>
  <si>
    <t>6. Construir redes eléctricas de voz y datos internas y externas existentes en  el predio de la Granja Agropecuaria El Remanso y el predio de la Ciudadela Universitaria de Casanare de la Universidad Internacional del Trópico Americano Unitrópico</t>
  </si>
  <si>
    <t>E3M3</t>
  </si>
  <si>
    <t>Construir redes hidrosanitarias y de gas en la Ciudadela Universitaria Casanare, que incluyen 2.791 metros lineales de red de acueducto, 1.954 metros lineales de red de alcantarillado sanitario, 2.264 metros lineales de red de alcantarillado pluvial y 1.078 metros lineales de red de gas natural.</t>
  </si>
  <si>
    <t>2.Formular el proyecto para “Ampliación de la capacidad instalada de la Universidad Internacional del Trópico Americano, mediante la construcción de redes hidrosanitarias y de gas en la ciudadela universitaria Casanare.”</t>
  </si>
  <si>
    <t>6.Construir  de redes hidrosanitarias y de gas en la ciudadela universitaria Casanare</t>
  </si>
  <si>
    <t>E3M4</t>
  </si>
  <si>
    <t xml:space="preserve">Ampliar la infraestructura física en 10.000 m2 nuevos construidos </t>
  </si>
  <si>
    <t>1.Formular y ejecutar el proyecto para la construcción de la clínica veterinaria de pequeñas especies en  la Granja Agropecuaria "el Remanso".</t>
  </si>
  <si>
    <t>Informe relacionando el estado de ejecución física y financiera del proyecto de inversión.</t>
  </si>
  <si>
    <t>2.Formular y ejecutar el proyecto para la construcción del Centro de Atención al Ciudadano para mejorar el acceso y eficiencia en los servicios de la atención al ciudadano y extensión.</t>
  </si>
  <si>
    <t>3.Formular y ejecutar el proyecto para la construcción del bloque de desarrollo de Internacionalización y relaciones exteriores.</t>
  </si>
  <si>
    <t>4.Formular y ejecutar el proyecto para la construcción del edificio aulas de pregrado en la Ciudadela Universitaria.</t>
  </si>
  <si>
    <t>5.Formular y ejecutar el proyecto para la construcción del Bloque de Anatomopatología en el predio de la Granja Agropecuaria El Remanso, para el fortalecimiento académico en la Universidad.</t>
  </si>
  <si>
    <t>6.Formular y ejecutar el proyecto para la construcción del bloque de laboratorios de Ingenierías para el fortalecimiento académico en la Universidad.</t>
  </si>
  <si>
    <t>7.Formular y ejecutar el proyecto para la construcción del bloque de archivo central que incluirá: área de conservación documental, área medios magnéticos, área inventario y descripción y depósito de archivo central.</t>
  </si>
  <si>
    <t>8.Formular y ejecutar el proyecto para la construcción y adecuación de los escenarios deportivos y recreativos de la ciudadela universitaria .</t>
  </si>
  <si>
    <t>9. Formular y ejecutar proyectos para la ampliación de las capacidades operativas de la Universidad</t>
  </si>
  <si>
    <t>E3M5</t>
  </si>
  <si>
    <t>Ampliar la capacidad operativa de Unitrópico mediante la adquisición de bienes inmuebles para fortalecer los servicios educativos y administrativos.</t>
  </si>
  <si>
    <t>1. Determinar las necesidades específicas de infraestructura para los servicios educativos y administrativos.</t>
  </si>
  <si>
    <t>2. Elaborar proyecto que incluya los objetivos, el tipo de inmuebles necesarios, y el uso previsto.</t>
  </si>
  <si>
    <t xml:space="preserve">2. Proyecto radicado </t>
  </si>
  <si>
    <t>3. Adquirir los bienes inmuebles (infraestructura física administrativa, terreno para prácticas educativas) para fortalecer los servicios educativos y administrativos.</t>
  </si>
  <si>
    <t xml:space="preserve">3. Documento que acredite la propiedad. </t>
  </si>
  <si>
    <t>E3M6</t>
  </si>
  <si>
    <t>Viabilizar tres proyectos de inversión orientados a la gestión de recursos de nivel local, regional o nacional para satisfacer las necesidades de formación integral de la comunidad universitaria</t>
  </si>
  <si>
    <t>1. Formular y presentar para financiación el  proyecto  para la construcción de espacios de bienestar, permanencia, cultura y deporte que impulsen desarrollo de capacidades, denominado centro deportivo y cultural  en la Universidad.</t>
  </si>
  <si>
    <t>Acto administrativo de financiación del proyecto por parte de la instancia o ente financiador.</t>
  </si>
  <si>
    <t xml:space="preserve">2. Formular y presentar para financiación el  proyecto   para la construcción del centro de ciencia y tecnología en la Universidad </t>
  </si>
  <si>
    <t>3. Formular y presentar para financiación el  proyecto la construcción del  centro deportivo y cultural equipado con gimnasio, fisioterapia, danza, comedor, áreas de juegos, cancha profesional de baloncesto, psicología y servicios médicos.</t>
  </si>
  <si>
    <t>4. Formular y presentar para financiación proyectos estratégicos para el fortalecimiento de las capacidades y calidad educativa de Unitrópico.</t>
  </si>
  <si>
    <t>E3M7</t>
  </si>
  <si>
    <t>Construir un edificio con ambientes de aprendizaje innovadores que impulsen el desarrollo de una sociedad en paz fundamentada en el conocimiento, denominado edificio de laboratorios y escuelas en la Universidad.</t>
  </si>
  <si>
    <t xml:space="preserve">2.Formular el proyecto para la construcción de un edificio con ambientes de aprendizaje innovadores que impulsen el desarrollo de una sociedad en paz fundamentada en el conocimiento, denominado edificio de laboratorios y escuelas en la Universidad. </t>
  </si>
  <si>
    <t xml:space="preserve">5.Formalizar convenio para la construcción de un edificio  denominado edificio de laboratorios y escuelas en la Universidad. </t>
  </si>
  <si>
    <t>5. Convenio firmado</t>
  </si>
  <si>
    <t xml:space="preserve">6. Recibir la infraestructura denominado edificio de laboratorios y escuelas en la Universidad. </t>
  </si>
  <si>
    <t>6. Acto administrativo</t>
  </si>
  <si>
    <t>Sostenibilidad y optimización de la infraestructura física existente</t>
  </si>
  <si>
    <t>E3M8</t>
  </si>
  <si>
    <t>Intervenir el 60% de la infraestructura física construida  de la Universidad, mediante procesos de adecuación, dotación, remodelación y ornato que permitan la conservación, inclusión y modernización de los espacios físicos existentes.</t>
  </si>
  <si>
    <t>1. Realizar diagnóstico de necesidades de intervención en la infraestructura física existente.</t>
  </si>
  <si>
    <t xml:space="preserve">1. Informe de diagnostico </t>
  </si>
  <si>
    <t xml:space="preserve">2. Formular proyecto de intervención de la infraestructura física existente, con análisis de costos, de recursos y gestión de los riesgos. </t>
  </si>
  <si>
    <t>2. Documento Técnico</t>
  </si>
  <si>
    <t>3. Presentar a la autoridad competente para aprobación y viabilización</t>
  </si>
  <si>
    <t>3. Radicado BPU</t>
  </si>
  <si>
    <t xml:space="preserve">4. Realizar la intervención del 60% de la infraestructura existente de  Unitrópico. </t>
  </si>
  <si>
    <t>E3M9</t>
  </si>
  <si>
    <r>
      <t>Formular</t>
    </r>
    <r>
      <rPr>
        <b/>
        <sz val="11"/>
        <rFont val="Montserrat"/>
      </rPr>
      <t xml:space="preserve"> </t>
    </r>
    <r>
      <rPr>
        <sz val="11"/>
        <rFont val="Montserrat"/>
      </rPr>
      <t>e implementar el 40% del plan Integral de movilidad universitaria (PIMU) en la Universidad</t>
    </r>
  </si>
  <si>
    <t>1. Realizar la socialización del Plan Integral de Movilidad Universitario "PIMU" con los grupos de valor.</t>
  </si>
  <si>
    <t>1. Realizar la socialización del Plan Integral de Movilidad Universitario "PIMU" con los grupos de valor</t>
  </si>
  <si>
    <t>Formular e implementar el 40% del plan Integral de movilidad universitaria (PIMU) en la Universidad</t>
  </si>
  <si>
    <t>2. Realizar la actualización del proyecto Plan Integral de Movilidad Universitario "PIMU", con las oportunidades de mejoras identificadas en la socialización.</t>
  </si>
  <si>
    <t>2. Documento Plan Integral de Movilidad Universitario "PIMU", con las oportunidades de mejoras identificadas en la socialización</t>
  </si>
  <si>
    <t>3. Presentar ante la autoridad competente para su aprobación.</t>
  </si>
  <si>
    <t>3. Documento aprobación</t>
  </si>
  <si>
    <t xml:space="preserve">4. Implementar el 40% del Plan Integral de Movilidad Universitario "PIMU". </t>
  </si>
  <si>
    <t xml:space="preserve">4. Informe de implementación del 40% </t>
  </si>
  <si>
    <t xml:space="preserve">Modernización de la infraestructura tecnológica y transformación digital del campus universitario </t>
  </si>
  <si>
    <t xml:space="preserve">Implementación del Plan Estratégico de Tecnologías de Información de Unitrópico </t>
  </si>
  <si>
    <t>E3M10</t>
  </si>
  <si>
    <t>Implementar una herramienta digital  que integre  la gestión del talento humano, el desarrollo profesional y el bienestar laboral</t>
  </si>
  <si>
    <t xml:space="preserve">1. Realizar diagnóstico e identificación  de necesidades. </t>
  </si>
  <si>
    <t xml:space="preserve">1. Informe diagnóstico </t>
  </si>
  <si>
    <t xml:space="preserve">2. Seleccionar la herramienta digital. </t>
  </si>
  <si>
    <t xml:space="preserve">2. Certificado aprobación herramienta digital aprobada por autoridad competente. </t>
  </si>
  <si>
    <t>3. Adquirir herramienta tecnológica.</t>
  </si>
  <si>
    <t>4. Personalizar la herramienta  según las necesidades específicas de la universidad.</t>
  </si>
  <si>
    <t xml:space="preserve">4. Informe ejecutivo </t>
  </si>
  <si>
    <t>5. Realizar capacitación a los funcionarios.</t>
  </si>
  <si>
    <t xml:space="preserve">5. Informe capacitación </t>
  </si>
  <si>
    <t xml:space="preserve">6. Implementar la herramienta digital. </t>
  </si>
  <si>
    <t xml:space="preserve">6. Informe implementación herramienta digital </t>
  </si>
  <si>
    <t>E3M11</t>
  </si>
  <si>
    <t>Garantizar el 100% de cobertura de red wifi en la infraestructura académica de la universidad</t>
  </si>
  <si>
    <t xml:space="preserve">1. Realizar diagnóstico de infraestructura tecnológica. </t>
  </si>
  <si>
    <t>1. Informe diagnóstico de redes</t>
  </si>
  <si>
    <t>2. Definir requerimientos</t>
  </si>
  <si>
    <t>3. Realizar proceso contractual</t>
  </si>
  <si>
    <t>3. Contrato</t>
  </si>
  <si>
    <t>4.Instalación de equipos red WIFI</t>
  </si>
  <si>
    <t>5. Realizar pruebas y validaciones de red WIFI</t>
  </si>
  <si>
    <t>6. Establecer plan de mantenimiento preventivo</t>
  </si>
  <si>
    <t xml:space="preserve">6. Plan de mantenimiento </t>
  </si>
  <si>
    <t>E3M12</t>
  </si>
  <si>
    <t xml:space="preserve">Dotar en 100% equipos de cómputo y ofimáticos de las áreas administrativas de la universidad y priorizados por la necesidad del servicio. </t>
  </si>
  <si>
    <t>2. Informe de la proyección de equipos requeridos</t>
  </si>
  <si>
    <t>4. Realizar distribución e instalación de equipos de cómputo</t>
  </si>
  <si>
    <t>4. Informe de instalación de equipos</t>
  </si>
  <si>
    <t>5. Realizar plan de mantenimiento de equipos instalados</t>
  </si>
  <si>
    <t>5. Plan de mantenimiento</t>
  </si>
  <si>
    <t>E3M13</t>
  </si>
  <si>
    <t xml:space="preserve">Dotar en 100% equipos de cómputo para los profesores provisionales y ocasionales de la universidad  y priorizados por la necesidad del servicio. </t>
  </si>
  <si>
    <t>E3M14</t>
  </si>
  <si>
    <t xml:space="preserve">Mantener actualizadas las aulas especializadas de sistemas de cómputo de los estudiantes de  la universidad de acuerdo con el plan de renovación que se elabore para tal efecto. </t>
  </si>
  <si>
    <t>E3M15</t>
  </si>
  <si>
    <t>Adquirir e implementar una solución de centro de datos datacenter para la universidad</t>
  </si>
  <si>
    <t>1. Planificar y diseñar Infraestructura centro de datos</t>
  </si>
  <si>
    <t xml:space="preserve">2. Presentar para aprobación y asignación de recursos propuesta Datacenter </t>
  </si>
  <si>
    <t>2. Documento aprobación y asignación de recursos</t>
  </si>
  <si>
    <t>3, Adquirir centro de datos</t>
  </si>
  <si>
    <t>3. Informe adquisición de centro de datos</t>
  </si>
  <si>
    <t>4, Instalar infraestructura requerida</t>
  </si>
  <si>
    <t>4. Informe instalación de infraestructura requerida</t>
  </si>
  <si>
    <t>5, Realizar configuración y pruebas</t>
  </si>
  <si>
    <t>6. Implementar y operar centro de datos</t>
  </si>
  <si>
    <t>6. Informe puesta en marcha centro de datos</t>
  </si>
  <si>
    <t>7. Realizar plan de mantenimiento al centro de datos</t>
  </si>
  <si>
    <t>7. Plan de mantenimiento</t>
  </si>
  <si>
    <t>E3M16</t>
  </si>
  <si>
    <t xml:space="preserve">Actualizar en 50% los medios educativos tecnológicos de la universidad, de acuerdo con el plan de renovación que se elabore para tal efecto. </t>
  </si>
  <si>
    <t>4, Distribución e instalación de equipos</t>
  </si>
  <si>
    <t>E3M17</t>
  </si>
  <si>
    <t>Renovar las licencias necesarias de software para el funcionamiento de la universidad</t>
  </si>
  <si>
    <t>1. Realizar diagnóstico de necesidades de software</t>
  </si>
  <si>
    <t>2. Presentar para aprobación y asignación de recursos</t>
  </si>
  <si>
    <t>3. Renovar licencias</t>
  </si>
  <si>
    <t>3. Licencia renovada</t>
  </si>
  <si>
    <t>E3M18</t>
  </si>
  <si>
    <t xml:space="preserve">Dotar de infraestructura tecnológica convergente para la creación de entornos de experimentación y desarrollo en proyectos académicos, de investigación y extensión universitaria. </t>
  </si>
  <si>
    <t>1. Realizar diagnóstico de necesidades</t>
  </si>
  <si>
    <t>2. Realizar proceso contractual</t>
  </si>
  <si>
    <t>2. Acta de inicio</t>
  </si>
  <si>
    <t xml:space="preserve">3. Implementación de infraestructura TI Convergente </t>
  </si>
  <si>
    <t>E3M19</t>
  </si>
  <si>
    <t>Crear / adquirir e implementar un sistema de información a la medida para la recolección, uso, sistematización y análisis de la información asociada a la internacionalización.</t>
  </si>
  <si>
    <t>1. Realizar un análisis de las necesidades de información específicas de la Oficina ORI que servirá como base para la solicitud de propuestas a proveedores externos.</t>
  </si>
  <si>
    <t>2.  Identificar y seleccionar proveedor para el desarrollo del sistema de información.</t>
  </si>
  <si>
    <t>2. Propuestas de proveedores</t>
  </si>
  <si>
    <t>3. Proceso contractual</t>
  </si>
  <si>
    <t>3. Acta de inicio</t>
  </si>
  <si>
    <t xml:space="preserve">4. Implementar el sistema de información para la Oficina de Relaciones y Cooperación Internacional. </t>
  </si>
  <si>
    <t>E3M20</t>
  </si>
  <si>
    <t>1. Informe de las propuestas recopiladas y evaluadas</t>
  </si>
  <si>
    <t>2. Presentar para aprobación ante la autoridad competente</t>
  </si>
  <si>
    <t>2. Documento aprobación</t>
  </si>
  <si>
    <t xml:space="preserve">3. Informe adquisición sistema de información académico administrativo </t>
  </si>
  <si>
    <t>4. Informe de implementación</t>
  </si>
  <si>
    <t>5. Informe de evaluación</t>
  </si>
  <si>
    <t>E3M21</t>
  </si>
  <si>
    <t xml:space="preserve">Crear/adquirir e implementar un sistema de gestión de la información del proceso de investigación. </t>
  </si>
  <si>
    <t xml:space="preserve">1. Identificar el sistema de información investigación que responda a las necesidades del proceso de investigación institucional </t>
  </si>
  <si>
    <t>1. Documento con el diagnóstico de las necesidades del sistema de información</t>
  </si>
  <si>
    <t xml:space="preserve">2. Adquirir el sistema de información cumpliendo con las etapas precontractuales, contractuales y poscontractuales. </t>
  </si>
  <si>
    <t xml:space="preserve">3. Configurar el sistema de información según los requerimientos institucionales. </t>
  </si>
  <si>
    <t xml:space="preserve">3. Informe ejecutivo </t>
  </si>
  <si>
    <t xml:space="preserve">4. Implementar el sistema de información con la información base del proceso de investigación </t>
  </si>
  <si>
    <t xml:space="preserve">4, Informe implementación sistema de información. </t>
  </si>
  <si>
    <t>Ampliación de recursos bibliográficos para una educación de excelencia.</t>
  </si>
  <si>
    <t>E3M22</t>
  </si>
  <si>
    <t>Crear / adquirir e implementar un sistema informático para el acceso y la gestión de los recursos bibliográficos universitarios.</t>
  </si>
  <si>
    <t>1. Elaborar diagnóstico</t>
  </si>
  <si>
    <t>2. Elaborar estudio previo</t>
  </si>
  <si>
    <t>2. Estudio previo aprobado</t>
  </si>
  <si>
    <t xml:space="preserve">3.  Adquirir el sistema bibliotecario </t>
  </si>
  <si>
    <t xml:space="preserve">4. Implementar el sistema informático para el acceso y la gestión de los recursos bibliográficos universitarios. </t>
  </si>
  <si>
    <t xml:space="preserve">5, Realizar capacitación para uso del sistema bibliotecario. </t>
  </si>
  <si>
    <t>E3M23</t>
  </si>
  <si>
    <t xml:space="preserve">Adquirir bases de datos científicas que apoyen la investigación y el desarrollo académico, de acuerdo con el plan de adquisición de bases de datos realizada para tal fin. </t>
  </si>
  <si>
    <t>1, Realizar diagnóstico</t>
  </si>
  <si>
    <t>2.Elaborar estudio previo</t>
  </si>
  <si>
    <t>4.  Adquirir bases de datos científicas</t>
  </si>
  <si>
    <t>5. Capacitar para  uso de bases de datos científicas</t>
  </si>
  <si>
    <t xml:space="preserve">4. Informe capacitaciones </t>
  </si>
  <si>
    <t>E3M24</t>
  </si>
  <si>
    <t>Adquirir recursos bibliográficos físicos, de acuerdo con el plan formulado para tal fin.</t>
  </si>
  <si>
    <t>3.  Adquirir recursos bibliográficos físicos</t>
  </si>
  <si>
    <t>E3M25</t>
  </si>
  <si>
    <t>Adquirir recursos bibliográficos  digitales, de acuerdo con el plan formulado para tal fin.</t>
  </si>
  <si>
    <t>3.  Adquirir recursos bibliográficos digitales</t>
  </si>
  <si>
    <t>4. Capacitar para  uso de recursos bibliográficos digitales</t>
  </si>
  <si>
    <t>4. Informe capacitaciones grupos de valor</t>
  </si>
  <si>
    <t xml:space="preserve">Desarrollo humano integral para una vida universitaria saludable y solidaria. </t>
  </si>
  <si>
    <t>Promoción de una oferta integral en deportes, artes, cultura y recreación para fortalecer el bienestar y la cohesión de la comunidad universitaria.</t>
  </si>
  <si>
    <t>E3M26</t>
  </si>
  <si>
    <t>Diseñar e implementar un Programa Integral de Deportes, Artes, Cultura, Recreación  y Actividad Física.</t>
  </si>
  <si>
    <t>1. Diseñar el programa integral de deportes, artes, cultura, recreación y actividad física bajo objetivos y necesidades definidas.</t>
  </si>
  <si>
    <t>1. Documento del programa integral aprobado por la autoridad competente.</t>
  </si>
  <si>
    <t>2. Implementar el programa integral de deportes, artes, cultura, recreación y actividad física para visibilidad del programa y la participación de la comunidad.</t>
  </si>
  <si>
    <t xml:space="preserve">2. Informe ejecución programa integral </t>
  </si>
  <si>
    <t xml:space="preserve">3. Realizar evaluación y seguimiento del progreso de las actividades </t>
  </si>
  <si>
    <t>E3M27</t>
  </si>
  <si>
    <t>Diversificar la oferta educativa mediante la incorporación de ocho (08) nuevos cursos de expresión artística y cultural.</t>
  </si>
  <si>
    <t>1. Diagnosticar la oferta actual y necesidades de la comunidad universitaria.</t>
  </si>
  <si>
    <t>2. Diseñar los cursos libres de acuerdo a la necesidad identificada</t>
  </si>
  <si>
    <t>2. Sílabos cursos de arte y cultura</t>
  </si>
  <si>
    <t>3. Implementar los cursos de arte y cultura</t>
  </si>
  <si>
    <t>3. Informe de Implementación</t>
  </si>
  <si>
    <t xml:space="preserve">4. Realizar evaluación y seguimiento del progreso de las actividades </t>
  </si>
  <si>
    <t>4. Informe Ejecutivo</t>
  </si>
  <si>
    <t>E3M28</t>
  </si>
  <si>
    <t>Efectuar 10 participaciones anuales de los grupos representativos de arte y cultura de Unitrópico en eventos externos</t>
  </si>
  <si>
    <t>1. Identificar y priorizar eventos que se alineen con los objetivos culturales de la universidad.</t>
  </si>
  <si>
    <t>1. Informe que detalla los eventos seleccionados, criterios utilizados para su selección y la justificación de su prioridad.</t>
  </si>
  <si>
    <t xml:space="preserve">2. Realizar la participación en los eventos de arte y cultura </t>
  </si>
  <si>
    <t>E3M29</t>
  </si>
  <si>
    <t>Diversificar la oferta educativa mediante la incorporación de 8 nuevos cursos de disciplinas deportivas.</t>
  </si>
  <si>
    <t>2. Sílabos de disciplinas deportivas</t>
  </si>
  <si>
    <t>3. Implementar los cursos de disciplinas deportivas</t>
  </si>
  <si>
    <t>E3M30</t>
  </si>
  <si>
    <t>Efectuar 20 participaciones de los grupos representativos deportivos de Unitrópico en eventos externos</t>
  </si>
  <si>
    <t>1. Identificar y priorizar eventos que se alineen con los objetivos deportivos de la universidad.</t>
  </si>
  <si>
    <t>2. Realizar la participación en eventos deportivos</t>
  </si>
  <si>
    <t>E3M31</t>
  </si>
  <si>
    <t>Alcanzar el  30% la participación en actividades físicas y recreativas del total de la comunidad universitaria</t>
  </si>
  <si>
    <t>1. Diseño de la actividad</t>
  </si>
  <si>
    <t>1. Documento actividades</t>
  </si>
  <si>
    <t>2. Realizar las actividades físicas y recreativas</t>
  </si>
  <si>
    <t>3.Realizar seguimiento y evaluación.</t>
  </si>
  <si>
    <t>3.Informe de seguimiento y evaluación.</t>
  </si>
  <si>
    <t xml:space="preserve">Implementación de entornos que fomenten la solidaridad y el sentido de pertenencia. </t>
  </si>
  <si>
    <t>E3M32</t>
  </si>
  <si>
    <t>Implementar un programa que fomente un ambiente óptimo para el aprendizaje y desarrollo humano, fortaleciendo la adaptación a la vida universitaria y la comunicación efectiva en la comunidad.</t>
  </si>
  <si>
    <t>1. Realizar un diagnóstico para identificar las necesidades y desafíos en la adaptación a la vida universitaria y la comunicación efectiva.</t>
  </si>
  <si>
    <t xml:space="preserve">1. Informe de diagnóstico </t>
  </si>
  <si>
    <t>2.Estructurar el programa integral, estableciendo los objetivos, estrategias y actividades.</t>
  </si>
  <si>
    <t>2. Programa formulado y aprobado</t>
  </si>
  <si>
    <t>3. Ejecutar las actividades y estrategias establecidas en el programa.</t>
  </si>
  <si>
    <t>4. Realizar un seguimiento durante la implementación del programa para evaluar el nivel de participación y la efectividad de las actividades.</t>
  </si>
  <si>
    <t>4. Informe de seguimiento y evaluación .</t>
  </si>
  <si>
    <t>E3M33</t>
  </si>
  <si>
    <t>Realizar una campaña anual para fortalecer el sentido de pertenencia y generar espacio de integración de los miembros de la comunidad universitaria.</t>
  </si>
  <si>
    <t>1. Formular campaña anual para fortalecer el sentido de pertenencia en la Universidad</t>
  </si>
  <si>
    <t>1. Documento diseño de la campaña</t>
  </si>
  <si>
    <t>2. Ejecutar campaña anual para fortalecer el sentido de pertenencia en la Universidad</t>
  </si>
  <si>
    <t xml:space="preserve">3. Realizar seguimiento y evaluación </t>
  </si>
  <si>
    <t>3. Informe de seguimiento</t>
  </si>
  <si>
    <t>E3M34</t>
  </si>
  <si>
    <t xml:space="preserve">Establecer diez espacios colaborativos en Unitrópico que promuevan la interacción y el trabajo en equipo entre los estudiantes </t>
  </si>
  <si>
    <t>1.Coordinar proyectos de voluntariado y servicio comunitario para la adecuación, mantenimiento y mejora de los espacios de integración.</t>
  </si>
  <si>
    <t>1. Actas de reunión</t>
  </si>
  <si>
    <t>2.Diseñar  actividades regulares en los espacios de integración existentes, tales como conversatorios, grupos de estudios, clubes, lunadas y otras actividades comunitarias.</t>
  </si>
  <si>
    <t>2. Documento de diseño de actividades</t>
  </si>
  <si>
    <t xml:space="preserve">3. Desarrollar las actividades en los espacios de integración </t>
  </si>
  <si>
    <t>4.Realizar seguimiento y evaluación para medir el uso y la efectividad de los espacios colaborativos</t>
  </si>
  <si>
    <t>4.Informe ejecutivo</t>
  </si>
  <si>
    <t>Promoción del bienestar físico y psicosocial de la comunidad universitaria a través de la creación de redes de apoyo que fomenten la salud, la inclusión y la participación activa</t>
  </si>
  <si>
    <t>E3M35</t>
  </si>
  <si>
    <r>
      <rPr>
        <sz val="11"/>
        <rFont val="Montserrat"/>
      </rPr>
      <t>Ejecutar ocho (08)</t>
    </r>
    <r>
      <rPr>
        <b/>
        <sz val="11"/>
        <color theme="9" tint="-0.249977111117893"/>
        <rFont val="Montserrat"/>
      </rPr>
      <t xml:space="preserve"> </t>
    </r>
    <r>
      <rPr>
        <sz val="11"/>
        <color theme="1"/>
        <rFont val="Montserrat"/>
      </rPr>
      <t>proyectos de voluntariado destinados a promover un ambiente saludable y sostenible en el campus.</t>
    </r>
  </si>
  <si>
    <t>1.Diseñar  proyectos de voluntariado</t>
  </si>
  <si>
    <t xml:space="preserve">1.Proyecto de voluntariado formulado </t>
  </si>
  <si>
    <t>Ejecutar ocho (08) proyectos de voluntariado destinados a promover un ambiente saludable y sostenible en el campus.</t>
  </si>
  <si>
    <t>2. Desarrollar las actividades de voluntariado</t>
  </si>
  <si>
    <t>2.Informe de ejecución de actividades</t>
  </si>
  <si>
    <t>3.Informes ejecutivo</t>
  </si>
  <si>
    <t>E3M36</t>
  </si>
  <si>
    <t>Implementar un programa integral de fortalecimiento de la salud física y psicosocial de la comunidad universitaria de Unitrópico.</t>
  </si>
  <si>
    <t>1.Elaborar diagnóstico de identificación integral de riesgos</t>
  </si>
  <si>
    <t>1.Informe de diagnóstico</t>
  </si>
  <si>
    <t>2.Formular programa integral</t>
  </si>
  <si>
    <t>2.Programa formulado y aprobado</t>
  </si>
  <si>
    <t>3. Implementar el programa integral</t>
  </si>
  <si>
    <t>3.Informe de implementación</t>
  </si>
  <si>
    <t>4.Realizar seguimiento y evaluación</t>
  </si>
  <si>
    <t>4.Informes de seguimiento y evaluación</t>
  </si>
  <si>
    <t>E3M37</t>
  </si>
  <si>
    <t>Alcanzar un porcentaje de inclusión  del 1% con base en el diagnóstico de la metodología del INES.</t>
  </si>
  <si>
    <t>1. Realizar diagnóstico de la metodología del Índice de Inclusión para Educación Superior (INES).</t>
  </si>
  <si>
    <t>2. Realizar plan de acción, acorde a los lineamientos del INES.</t>
  </si>
  <si>
    <t>2. Documento plan de acción</t>
  </si>
  <si>
    <t xml:space="preserve">3.Implementación del plan de acción. </t>
  </si>
  <si>
    <t>3. Informe de implementación</t>
  </si>
  <si>
    <t>Compromiso con la prevención y el apoyo en la vida universitaria, orientado a alcanzar el éxito y la realización personal.</t>
  </si>
  <si>
    <t>E3M38</t>
  </si>
  <si>
    <t>Crear e implementar una estrategia o  programa integral que brinde acompañamiento a los estudiantes durante las etapas de inducción, permanencia y graduación, proporcionando apoyo en los aspectos académicos, psicosociales y socioeconómicos.</t>
  </si>
  <si>
    <t>1. Realizar análisis detallado de los elementos esenciales para el programa de permanencia y graduación.</t>
  </si>
  <si>
    <t>1. Documento análisis</t>
  </si>
  <si>
    <t>2. Formular  el programa de permanencia y graduación.</t>
  </si>
  <si>
    <t>3. Implementar el programa de permanencia y graduación.</t>
  </si>
  <si>
    <t xml:space="preserve">3.Informe implementación </t>
  </si>
  <si>
    <t>4. Realizar un seguimiento y evaluación continuo del programa de permanencia y graduación.</t>
  </si>
  <si>
    <t>E3M39</t>
  </si>
  <si>
    <t>Implementar un sistema de alertas tempranas estableciendo criterios claros para la identificación de riesgos de deserción estudiantil.</t>
  </si>
  <si>
    <t>1.Actualizar el Plan de Acompañamiento y seguimiento que contemple el Sistema de Alertas Tempranas para la identificación de riesgos basados en datos académicos, psicosociales y socioeconómicos.</t>
  </si>
  <si>
    <t>1. Plan de acompañamiento y seguimiento actualizado y aprobado</t>
  </si>
  <si>
    <t>2. Capacitar al personal académico y administrativo sobre cómo utilizar el sistema eficazmente y cómo intervenir de manera adecuada cuando se identifique a los estudiantes en riesgo.</t>
  </si>
  <si>
    <t xml:space="preserve">2. Documento de ejecución de capacitaciones </t>
  </si>
  <si>
    <t xml:space="preserve">3. Implementar el plan de acompañamiento y seguimiento estudiantil  </t>
  </si>
  <si>
    <t>3. Informe de implementación que contemple el registro de seguimiento de las dimensiones del Plan</t>
  </si>
  <si>
    <t>4. Realizar seguimiento y evaluación</t>
  </si>
  <si>
    <t>E3M40</t>
  </si>
  <si>
    <t xml:space="preserve">Sostener en un dígito la tasa de deserción </t>
  </si>
  <si>
    <t xml:space="preserve">1. Informe diagnostico </t>
  </si>
  <si>
    <t>2. Implementar acciones del Programa de Permanencia y Graduación de la dimensión académica.</t>
  </si>
  <si>
    <t>2. Informe de implementación</t>
  </si>
  <si>
    <t>3. Implementar acciones del Programa de Permanencia y Graduación de la dimensión Psicosocial.</t>
  </si>
  <si>
    <t>4. Implementar acciones del Programa de Permanencia y Graduación de la dimensión socioeconómico.</t>
  </si>
  <si>
    <t>4 Informe de implementación</t>
  </si>
  <si>
    <t>Eje estratégico 4: autonomía orientada a la sostenibilidad, la justicia y la construcción de paz</t>
  </si>
  <si>
    <t>Gobernanza, participación democrática y construcción de paz</t>
  </si>
  <si>
    <t>Fortalecimiento de la gobernanza institucional, promoción de la participación democrática y construcción de paz.</t>
  </si>
  <si>
    <t>E4M1</t>
  </si>
  <si>
    <t>Fortalecer los procesos electorales universitarios.</t>
  </si>
  <si>
    <t>1. Identificar y describir los procesos electorales existentes en Unitrópico.</t>
  </si>
  <si>
    <t xml:space="preserve">1. Informe ejecutivo </t>
  </si>
  <si>
    <t>2. Identificar y gestionar los posibles escenarios de fallas, errores, problemas y vulnerabilidades que se puedan presentar.</t>
  </si>
  <si>
    <t xml:space="preserve">2. Informe ejecutivo
</t>
  </si>
  <si>
    <t xml:space="preserve">3. Formular estrategias de fortalecimiento para el proceso electoral. </t>
  </si>
  <si>
    <t xml:space="preserve">3. Documento estrategia
</t>
  </si>
  <si>
    <t xml:space="preserve">4. Socialización de las estrategias formuladas. 
</t>
  </si>
  <si>
    <t>4. Documento de evidencias</t>
  </si>
  <si>
    <t xml:space="preserve">5. Ejecutar las estrategias para el fortalecimiento del proceso electoral. </t>
  </si>
  <si>
    <t xml:space="preserve">5. Informe ejecutivo
</t>
  </si>
  <si>
    <t>E4M2</t>
  </si>
  <si>
    <t xml:space="preserve">Formular e implementar el código de ética, transparencia y buen gobierno para Unitrópico. </t>
  </si>
  <si>
    <t>1. Realizar un análisis de las prácticas actuales y necesidades específicas de Unitrópico.</t>
  </si>
  <si>
    <t xml:space="preserve">1. Informe Ejecutivo
</t>
  </si>
  <si>
    <t>2. Revisar en códigos similares de otras organizaciones para identificar elementos clave y buenas prácticas.</t>
  </si>
  <si>
    <t>2. Análisis comparativo</t>
  </si>
  <si>
    <t>3. Formular el código de ética, transparencia y buen gobierno.</t>
  </si>
  <si>
    <t>3. Proyecto de Acuerdo código de ética, transparencia y buen gobierno.</t>
  </si>
  <si>
    <t>4. Presentar el borrador a las partes interesadas y realizar ajustes según sus comentarios.</t>
  </si>
  <si>
    <t>4. Evidencias socialización</t>
  </si>
  <si>
    <t>5. Presentar para aprobación final  del consejo superior.</t>
  </si>
  <si>
    <t xml:space="preserve">6.Implementar y divulgar el Código de ética, transparencia y buen gobierno a toda la comunidad universitaria. </t>
  </si>
  <si>
    <t>6. Informe ejecutivo</t>
  </si>
  <si>
    <t>E4M3</t>
  </si>
  <si>
    <t xml:space="preserve">Fortalecer y modernizar la estructura orgánica institucional </t>
  </si>
  <si>
    <t>1. Realizar un diagnóstico de cargos y funciones</t>
  </si>
  <si>
    <t>Informe diagnóstico</t>
  </si>
  <si>
    <t xml:space="preserve">2. Actualizar el manual de funciones de la planta de cargos de Unitrópico. </t>
  </si>
  <si>
    <t xml:space="preserve">Acto Administrativo </t>
  </si>
  <si>
    <t>3. Actualizar la estructura organizacional de Unitrópico.</t>
  </si>
  <si>
    <t xml:space="preserve">4. Revisar y evaluar cómo funcionan actualmente los órganos colegiados y qué deficiencias o necesidades procedimentales o normativas existen, en coherencia con las normas superiores vigentes. </t>
  </si>
  <si>
    <t xml:space="preserve">Informe </t>
  </si>
  <si>
    <t>5. Formular los documentos que establecen las reglas, procedimientos y directrices para la operación y toma de decisiones dentro de los órganos colegiados de Unitrópico.</t>
  </si>
  <si>
    <t xml:space="preserve">Actos Administrativos </t>
  </si>
  <si>
    <t>E4M4</t>
  </si>
  <si>
    <t xml:space="preserve">Formular los instrumentos archivísticos para la gestión documental </t>
  </si>
  <si>
    <t>1. Formular el Cuadro de Clasificación Documental (CCD)</t>
  </si>
  <si>
    <t>1. Cuadro de Clasificación Documental (CCD).</t>
  </si>
  <si>
    <t xml:space="preserve">2. Formular las Tabla de Retención Documental (TRD) </t>
  </si>
  <si>
    <t>2. Tablas de Retención Documental (TRD)</t>
  </si>
  <si>
    <t>3. Formular el Programa de Gestión Documental (PGD)</t>
  </si>
  <si>
    <t>3. Programa de Gestión Documental (PGD).</t>
  </si>
  <si>
    <t>4. Formular el Plan Institucional de Archivos de la Entidad (PINAR).</t>
  </si>
  <si>
    <t>4. Plan Institucional de Archivos de la Entidad (PINAR).</t>
  </si>
  <si>
    <t xml:space="preserve">5. Elaborar el formato único de inventario documental (FUID), del archivo central. </t>
  </si>
  <si>
    <t>5. Informe del inventario documental del archivo central</t>
  </si>
  <si>
    <t xml:space="preserve">6. Formular el modelo de requisitos para la gestión de documentos electrónicos. </t>
  </si>
  <si>
    <t xml:space="preserve">6. Modelo de requisitos para la gestión de documentos electrónicos. </t>
  </si>
  <si>
    <t xml:space="preserve">8. Formular las Tablas de Valoración Documental (TVD).  </t>
  </si>
  <si>
    <t>8. Tablas de valoración documental</t>
  </si>
  <si>
    <t>9. Formular las Tablas de Control de Acceso (TCA)</t>
  </si>
  <si>
    <t>9. Tablas de Control de Acceso (TCA)</t>
  </si>
  <si>
    <t>E4M5</t>
  </si>
  <si>
    <t>Implementar y mantener actualizado el sistema normativo de la universidad (Normograma)</t>
  </si>
  <si>
    <t xml:space="preserve">1. Realizar monitoreo constante de cambios legales y reglamentarios de la normatividad aplicable a la universidad en los procesos y procedimientos.  
</t>
  </si>
  <si>
    <t>1. Ficha técnica monitoreo</t>
  </si>
  <si>
    <t xml:space="preserve">2. Establecer un calendario regular de revisión del Normograma.
</t>
  </si>
  <si>
    <t>2. Calendario establecido</t>
  </si>
  <si>
    <t xml:space="preserve">3. Realizar cargue de la norma, su función y documento digital en la página web.
</t>
  </si>
  <si>
    <t xml:space="preserve">3. Documento evidencia
</t>
  </si>
  <si>
    <t>E4M6</t>
  </si>
  <si>
    <t>Realizar la audiencia pública de rendición de cuentas anual</t>
  </si>
  <si>
    <t xml:space="preserve">1. Formular estrategia para la realización de la audiencia pública de rendición de cuentas. 
</t>
  </si>
  <si>
    <t xml:space="preserve">1. Estrategia formulada
</t>
  </si>
  <si>
    <t xml:space="preserve">2. Enviar directrices a las dependencias académico administrativas para la presentación de la información requerida
</t>
  </si>
  <si>
    <t xml:space="preserve">3. Recopilación y redacción informe de rendición de cuentas
</t>
  </si>
  <si>
    <t>3. Documento técnico</t>
  </si>
  <si>
    <t>4. Realizar la rendición de cuentas</t>
  </si>
  <si>
    <t>4. Informe rendición de cuentas</t>
  </si>
  <si>
    <t>E4M7</t>
  </si>
  <si>
    <t xml:space="preserve">Formular un (1) Plan Estratégico decenal </t>
  </si>
  <si>
    <r>
      <t>1.</t>
    </r>
    <r>
      <rPr>
        <sz val="10"/>
        <color rgb="FF000000"/>
        <rFont val="Montserrat"/>
      </rPr>
      <t>     Construir guía metodológica para orientar la formulación del plan estratégico decenal</t>
    </r>
  </si>
  <si>
    <t>1. Documento técnico</t>
  </si>
  <si>
    <r>
      <t>2.</t>
    </r>
    <r>
      <rPr>
        <sz val="10"/>
        <color rgb="FF000000"/>
        <rFont val="Montserrat"/>
      </rPr>
      <t xml:space="preserve">     Identificar tendencias, avances y retos a nivel internacional, nacional y regional de la educación superior. </t>
    </r>
  </si>
  <si>
    <r>
      <t>3.</t>
    </r>
    <r>
      <rPr>
        <sz val="10"/>
        <color rgb="FF000000"/>
        <rFont val="Montserrat"/>
      </rPr>
      <t xml:space="preserve">     Determinar el estado de las capacidades físicas, humanas y financieras de la Universidad para el desarrollo del ejercicio misional </t>
    </r>
  </si>
  <si>
    <r>
      <t>4.</t>
    </r>
    <r>
      <rPr>
        <sz val="10"/>
        <color rgb="FF000000"/>
        <rFont val="Montserrat"/>
      </rPr>
      <t xml:space="preserve">     Definir los ejes estratégicos de la Universidad Internacional del Trópico Americano, sus objetivos y grandes metas para un horizonte de 10 años. </t>
    </r>
  </si>
  <si>
    <t>4. Documento técnico</t>
  </si>
  <si>
    <r>
      <t>5.</t>
    </r>
    <r>
      <rPr>
        <sz val="10"/>
        <color rgb="FF000000"/>
        <rFont val="Montserrat"/>
      </rPr>
      <t>     Establecer el despliegue estratégico y táctico para un horizonte de 10 años.</t>
    </r>
  </si>
  <si>
    <t>5. Documento técnico</t>
  </si>
  <si>
    <t>6.     Presentar la propuesta del Plan Estratégico Institucional para discusión y aprobación a los órganos competentes.</t>
  </si>
  <si>
    <t>6. Documento técnico</t>
  </si>
  <si>
    <t>7.     Socializar el Plan Estratégico Institucional con la comunidad académica</t>
  </si>
  <si>
    <t>7. Documento técnico</t>
  </si>
  <si>
    <t>E4M8</t>
  </si>
  <si>
    <t>Capacitar permanentemente a las nuevas representaciones elegidas democráticamente en los diferentes organismos de gobierno universitario.</t>
  </si>
  <si>
    <t>1. Diseñar programa de capacitación</t>
  </si>
  <si>
    <t>1. Programa de capacitaciones</t>
  </si>
  <si>
    <t>2. Diseño y elaboración de cartillas.</t>
  </si>
  <si>
    <t>2. Cartillas</t>
  </si>
  <si>
    <t xml:space="preserve">4. Capacitar periódicamente a las nuevas representaciones elegidas democráticamente. </t>
  </si>
  <si>
    <t>E4M9</t>
  </si>
  <si>
    <t xml:space="preserve">Generar una estrategia anual para la construcción de paz y la promoción de cultura y ciudadanía. </t>
  </si>
  <si>
    <t xml:space="preserve">1. Elaborar diagnóstico </t>
  </si>
  <si>
    <t xml:space="preserve">2. Formular estrategia </t>
  </si>
  <si>
    <t>2. Estrategia documentada</t>
  </si>
  <si>
    <t xml:space="preserve">3. Ejecutar  la estrategia </t>
  </si>
  <si>
    <t>4. Evaluar el impacto de las acciones realizadas en la estrategia</t>
  </si>
  <si>
    <t xml:space="preserve">4. Informe ejecutivo
</t>
  </si>
  <si>
    <t xml:space="preserve">Canales de comunicación efectivos y participativos </t>
  </si>
  <si>
    <t xml:space="preserve">Optimización de los canales de comunicación para fortalecimiento de la identidad institucional. </t>
  </si>
  <si>
    <t>E4M10</t>
  </si>
  <si>
    <t xml:space="preserve">Modernizar y/o actualizar el 50% de la infraestructura de medios audiovisuales y gestión de datos del área de comunicaciones, de conformidad con el plan de priorización establecido para tal fin. </t>
  </si>
  <si>
    <t>1. Realizar un análisis de la infraestructura actual de medios audiovisuales y gestión de datos en el área de comunicaciones.</t>
  </si>
  <si>
    <t>2. Identificar equipos obsoletos, necesidades de actualización de software, limitaciones de almacenamiento de datos, y otros aspectos que requieran mejoras.</t>
  </si>
  <si>
    <t xml:space="preserve">3. Definir los requisitos específicos y costos de la infraestructura de medios audiovisuales y gestión de datos requerida. 
</t>
  </si>
  <si>
    <t xml:space="preserve">3. Informe </t>
  </si>
  <si>
    <t xml:space="preserve">4. Adquirir, instalar y configurar la infraestructura de medios audiovisuales y gestión de datos. 
</t>
  </si>
  <si>
    <t>5. Capacitar al personal que utilizará los nuevos equipos y software</t>
  </si>
  <si>
    <t xml:space="preserve">5. Informe </t>
  </si>
  <si>
    <t>E4M11</t>
  </si>
  <si>
    <t>Establecer y operar una emisora universitaria.</t>
  </si>
  <si>
    <t>1. Realizar estudio de viabilidad</t>
  </si>
  <si>
    <t>2. Identificación de infraestructura requerida para la operación de la emisora (Terrenos, locales, transmisores y sistema irradiante de la estación)</t>
  </si>
  <si>
    <t>3. Tecnología de transmisión solicitada fm, am o digital</t>
  </si>
  <si>
    <t>4. Certificado de disponibilidad presupuestal para financiamiento de equipos, montaje de la estación, derechos de concesión y contraprestaciones uso de espectro radioeléctrico para el primer año.</t>
  </si>
  <si>
    <t>4. Certificado de disponibilidad presupuestal</t>
  </si>
  <si>
    <t>5. Proyecto para la instalación y operación de la emisora</t>
  </si>
  <si>
    <t>5. Proyecto de instalación y operación</t>
  </si>
  <si>
    <t>6. Solicitud de licencias y permisos</t>
  </si>
  <si>
    <t>6. Licencia y permisos de funcionamiento</t>
  </si>
  <si>
    <t>6. Adquirir e instalación de equipo técnico</t>
  </si>
  <si>
    <t>7. Informe ejecutivo</t>
  </si>
  <si>
    <t>7. Instalación y operación de la emisora</t>
  </si>
  <si>
    <t>8. Informe ejecutivo</t>
  </si>
  <si>
    <t>E4M12</t>
  </si>
  <si>
    <t xml:space="preserve">Implementar la tienda Unitrópista como un canal estratégico para fortalecer la identidad institucional. </t>
  </si>
  <si>
    <t xml:space="preserve">1. Diagnóstico
</t>
  </si>
  <si>
    <t>2. Planificación tienda Unitropista</t>
  </si>
  <si>
    <t>3. Propuesta para funcionamiento de la tienda Unitropista</t>
  </si>
  <si>
    <t xml:space="preserve">3. Documento propuesta
</t>
  </si>
  <si>
    <t>4. Implementación tienda Unitropista</t>
  </si>
  <si>
    <t>E4M13</t>
  </si>
  <si>
    <t>Crear y ejecutar un plan de comunicación y marketing para posicionar el nombre de la universidad y captar nuevos estudiantes, así como fortalecer los programas académicos y la educación continuada.</t>
  </si>
  <si>
    <t>2. Formular plan de comunicaciones y marketing</t>
  </si>
  <si>
    <t>3. Ejecutar plan de comunicaciones y marketing</t>
  </si>
  <si>
    <t>4. Optimizar la página web y presencia digital</t>
  </si>
  <si>
    <t xml:space="preserve">Transparencia y atención al riesgo </t>
  </si>
  <si>
    <t xml:space="preserve">Fortalecimiento de los mecanismos de atención al ciudadano y transparencia. </t>
  </si>
  <si>
    <t>E4M14</t>
  </si>
  <si>
    <t>Implementar estrategias y mecanismos de participación, así como canales de diálogo efectivos accesibles para la comunidad universitaria, desde cada uno de los procesos institucionales</t>
  </si>
  <si>
    <t xml:space="preserve">1. Formular estrategia de participación que contenga los canales de diálogo con la comunidad universitaria. </t>
  </si>
  <si>
    <t xml:space="preserve">1. Estrategia de participación y canales de diálogo  
</t>
  </si>
  <si>
    <t xml:space="preserve">2. Implementar una estrategia de comunicación para informar y motivar a la comunidad universitaria a participar activamente en los nuevos mecanismos de participación. </t>
  </si>
  <si>
    <t xml:space="preserve">2.Estratégia de comunicación 
</t>
  </si>
  <si>
    <t xml:space="preserve">3. Ejecutar un mecanismo de participación por cada uno de los procesos institucionales con la comunidad universitaria (foro, feria de servicios, encuentro de diálogo participativo) </t>
  </si>
  <si>
    <t>E4M15</t>
  </si>
  <si>
    <t>1. Desarrollar materiales de difusión.</t>
  </si>
  <si>
    <t>1. Documentos</t>
  </si>
  <si>
    <t>2. Organizar campaña de lanzamiento</t>
  </si>
  <si>
    <t xml:space="preserve">3. Realizar campañas en redes sociales 
</t>
  </si>
  <si>
    <t>3. Documentos</t>
  </si>
  <si>
    <t>E4M16</t>
  </si>
  <si>
    <t>Aumentar el nivel de cumplimiento del índice de transparencia y Acceso a la Información Pública (ITA)</t>
  </si>
  <si>
    <t xml:space="preserve">1. Establecer plan de mejoramiento del ITA anual del año inmediatamente anterior. </t>
  </si>
  <si>
    <t xml:space="preserve">1. Plan de mejoramiento ITA </t>
  </si>
  <si>
    <t xml:space="preserve">2. Realizar seguimiento interno de cumplimiento a las dependencias responsables de la información solicitada en el formulario.
</t>
  </si>
  <si>
    <t>2. Actas, listas de asistencia</t>
  </si>
  <si>
    <t xml:space="preserve">3. Diligenciar y enviar oportunamente el formulario de la matriz del Índice de Transparencia y Acceso a la Información Pública de la Procuraduría General de la Nación.
</t>
  </si>
  <si>
    <t>3. Formato matriz cumplimiento ITA diligenciado  y enviado a la Procuraduría General de la Nación, y resultados ITA por la Procuraduría General de Nación.</t>
  </si>
  <si>
    <t>4, Estructurar  y socializar la Guía metodológica para la formulación del Programa Institucional de Riesgos, Transparencia y Ética Pública de la Universidad Internacional del Trópico Americano.</t>
  </si>
  <si>
    <t>4. Guía metodológica</t>
  </si>
  <si>
    <t>5, Formulación del Programa Institucional de Riesgos, Transparencia y Ética Pública de la Universidad Internacional del Trópico Americano.</t>
  </si>
  <si>
    <t>5. Programa Institucional de Riesgos, Transparencia y Ética Pública de la Universidad Internacional del Trópico Americano.</t>
  </si>
  <si>
    <t>6, Validación del Programa Institucional de Riesgos, Transparencia y Ética Pública de la Universidad Internacional del Trópico Americano.</t>
  </si>
  <si>
    <t>6. Acta de validación</t>
  </si>
  <si>
    <t>7, Aprobación del Programa Institucional de Riesgos, Transparencia y Ética Pública de la Universidad Internacional del Trópico Americano.</t>
  </si>
  <si>
    <t>7. Resolución Rectoral</t>
  </si>
  <si>
    <t>8, Publicación del Programa Institucional de Riesgos, Transparencia y Ética Pública de la Universidad Internacional del Trópico Americano.</t>
  </si>
  <si>
    <t>8. Publicación página web institucional sección transparencia</t>
  </si>
  <si>
    <t>9.  Socialización del Programa Institucional de Riesgos, Transparencia y Ética Pública de la Universidad Internacional del Trópico Americano.</t>
  </si>
  <si>
    <t>9. Difusión redes sociales y correo institucional.</t>
  </si>
  <si>
    <t>E4M17</t>
  </si>
  <si>
    <t xml:space="preserve">Robustecer el sistema de análisis de data y operaciones estadísticas para optimizar la toma de decisiones </t>
  </si>
  <si>
    <t xml:space="preserve">1. Identificar las necesidades  de información estadística de la institución sujetas de aplicación de operaciones estadística con base en el Plan Estadístico Institucional  </t>
  </si>
  <si>
    <t xml:space="preserve">1. Informe  de identificación de necesidades de información sujetas de  aplicación de operaciones estadística </t>
  </si>
  <si>
    <t xml:space="preserve">2. Desarrollar las fases de Diseño y Construcción de los instrumentos de interoperabilidad estadística  enmarcados en el Plan Estadístico Institucional  </t>
  </si>
  <si>
    <t xml:space="preserve">2. Informe documental de las fases de diseño y construcción  </t>
  </si>
  <si>
    <t xml:space="preserve">3. Desarrollar las operaciones estadísticas identificadas con base en la fase de recolección/acopio de datos contemplada en el Plan Estadístico Institucional  </t>
  </si>
  <si>
    <t>3. Informe de seguimiento de recolección/acopio</t>
  </si>
  <si>
    <t xml:space="preserve">4. Procesar, analizar y difundir los productos estadísticos programados en el Plan Estadístico Institucional, que deriven de la implementación del Plan Estadístico Institucional en la vigencia  </t>
  </si>
  <si>
    <t xml:space="preserve">4. Repositorio de bases de datos procesadas y analizadas y productos estadísticos programados </t>
  </si>
  <si>
    <t xml:space="preserve">5. Evaluar el cumplimiento del desarrollo de las fases del Plan Estadístico Institucional con base en la meta de la ampliación de operaciones estadísticas para la vigencia </t>
  </si>
  <si>
    <t xml:space="preserve">5. Informe de evaluación de la vigencia  </t>
  </si>
  <si>
    <t>E4M18</t>
  </si>
  <si>
    <t xml:space="preserve">Realizar la medición de la satisfacción de los usuarios y partes interesadas frente a los servicios prestados en Unitrópico.  </t>
  </si>
  <si>
    <t>1. Diseñar y realizar encuestas periódicas entre los usuarios y partes interesadas para recopilar retroalimentación sobre sus experiencias con los servicios de Unitrópico.</t>
  </si>
  <si>
    <t xml:space="preserve">1. Encuestas
</t>
  </si>
  <si>
    <t xml:space="preserve">2. Analizar los datos recopilados de las encuestas para identificar áreas de fortaleza y oportunidades de mejora.
</t>
  </si>
  <si>
    <t xml:space="preserve">3. Diseñar plan de acción basado en los datos recopilados 
</t>
  </si>
  <si>
    <t xml:space="preserve">3. Plan de Acción 
</t>
  </si>
  <si>
    <t xml:space="preserve">4. Socializar los resultados de las encuestas y las acciones tomadas a todos los niveles de la organización.
</t>
  </si>
  <si>
    <t xml:space="preserve">4. Documento evidencias
</t>
  </si>
  <si>
    <t>5. Ejecutar el plan de acción</t>
  </si>
  <si>
    <t>E4M19</t>
  </si>
  <si>
    <t>Automatizar la gestión y seguimiento de las PQRS</t>
  </si>
  <si>
    <t xml:space="preserve">1. Realizar un análisis detallado del proceso actual de gestión de PQRS </t>
  </si>
  <si>
    <t xml:space="preserve">2. Implementar la herramienta tecnológica seleccionada para mejorar la gestión de las PQRS </t>
  </si>
  <si>
    <t xml:space="preserve">2. Informe </t>
  </si>
  <si>
    <t>3. Capacitación y seguimiento a la herramienta tecnológica para la gestión de PQRS</t>
  </si>
  <si>
    <t xml:space="preserve">3. Documento evidencias
</t>
  </si>
  <si>
    <t>Avance PDI</t>
  </si>
  <si>
    <t>Servicio de voluntariado social Unitropista</t>
  </si>
  <si>
    <t xml:space="preserve">Promoción del bienestar físico y psicosocial de la comunidad universitaria a través de la creación de redes de apoyo que fomenten la salud, la inclusión y la participación activa. </t>
  </si>
  <si>
    <t>Implementación de entornos que fomenten la solidaridad y el sentido de pertenencia.</t>
  </si>
  <si>
    <t>BPU -2024023</t>
  </si>
  <si>
    <t>BPU -2024024</t>
  </si>
  <si>
    <t>BPU -2024025</t>
  </si>
  <si>
    <t>BPU -2024026</t>
  </si>
  <si>
    <t>BPU -2024027</t>
  </si>
  <si>
    <t>BPU -2024028</t>
  </si>
  <si>
    <t>BPU -2024029</t>
  </si>
  <si>
    <t>BPU -2024030</t>
  </si>
  <si>
    <t>BPU -2024031</t>
  </si>
  <si>
    <t>BPU -2024032</t>
  </si>
  <si>
    <t>BPU -2024033</t>
  </si>
  <si>
    <t>BPU -2024034</t>
  </si>
  <si>
    <t>BPU -2024035</t>
  </si>
  <si>
    <t>BPU -2024036</t>
  </si>
  <si>
    <t>BPU -2024037</t>
  </si>
  <si>
    <t>BPU -2024038</t>
  </si>
  <si>
    <t>BPU -2024039</t>
  </si>
  <si>
    <t>BPU -2024040</t>
  </si>
  <si>
    <t>BPU -2024041</t>
  </si>
  <si>
    <t>BPU -2024042</t>
  </si>
  <si>
    <t>BPU -2024043</t>
  </si>
  <si>
    <t>BPU -2024044</t>
  </si>
  <si>
    <t>BPU -2024045</t>
  </si>
  <si>
    <t>BPU -2024046</t>
  </si>
  <si>
    <t>BPU -2024047</t>
  </si>
  <si>
    <t>BPU -2024048</t>
  </si>
  <si>
    <t>BPU -2024049</t>
  </si>
  <si>
    <t>BPU -2024050</t>
  </si>
  <si>
    <t>BPU -2024051</t>
  </si>
  <si>
    <t>BPU -2024052</t>
  </si>
  <si>
    <t>total</t>
  </si>
  <si>
    <t>No. Proyecto</t>
  </si>
  <si>
    <t>Proyecto</t>
  </si>
  <si>
    <t>Programado</t>
  </si>
  <si>
    <t>ejecutado</t>
  </si>
  <si>
    <t>Avance proyecto PDI</t>
  </si>
  <si>
    <t>Avance proyecto del 100%</t>
  </si>
  <si>
    <t xml:space="preserve">Avance por proyecto </t>
  </si>
  <si>
    <t>Celda verificar</t>
  </si>
  <si>
    <t>Implementar estrategias institucionales de optimización Académico Administrativa</t>
  </si>
  <si>
    <t>Realizar Estrategias Institucionales de Optimización Académico Administrativa para la Calidad Académica:
1) Formular estrategias que garanticen las condiciones académico administrativas, físicas y tecnológicas para un óptimo funcionamiento eficiente y con impacto académico de las Políticas institucionales, S.A.R.A. y P.A.S.P.I., que contemplen espacios adecuados y pertinentes para el análisis y la retroalimentación de sus procesos de desarrollo, seguimiento, evaluación y actualización académica para los actores de dichos procesos (planta profesoral y académico administrativa).</t>
  </si>
  <si>
    <t>4) Implementar estrategias de Optimización Académico Administrativa por la Calidad Académica.</t>
  </si>
  <si>
    <t xml:space="preserve">Actualizar e implementar el Plan Institucional de Bilingüismo español inglés </t>
  </si>
  <si>
    <t>Formular un nuevo plan institucional de bilingüismo
1) Construir un nuevo plan institucional de bilingüismo 
2) Socializar Plan Institucional de Bilingüismo Español Inglés actualizado a la comunidad profesoral y estudiantil, para observaciones y ajustes</t>
  </si>
  <si>
    <t>Aprobar el Plan Institucional de Bilingüismo Español Inglés:
1) Presentar documento consolidado ante Consejo Académico.
2) Revisión Proyecto de Acuerdo por parte del Consejo Académico.
3) Aprobar Proyecto de Acuerdo por parte del Consejo Académico.</t>
  </si>
  <si>
    <t xml:space="preserve">Implementar Plan Institucional de Bilingüismo Español Inglés 
</t>
  </si>
  <si>
    <t xml:space="preserve"> </t>
  </si>
  <si>
    <t>Desarrollar tres (03) bienes o servicios tecnológicos con registro ante la Dirección Nacional de Derecho de Autor   DNDA</t>
  </si>
  <si>
    <t>Publicar textos u obras artísticas (investigación   formación) a través de la editorial unitropista</t>
  </si>
  <si>
    <t>Crear / adquirir e implementar el sistema de gestión de la información académico   administrativa</t>
  </si>
  <si>
    <t>1. Identificar el Sistema de gestión de la información académico administrativa</t>
  </si>
  <si>
    <t>3. Adquirir el Sistema de gestión de la información académico   administrativa</t>
  </si>
  <si>
    <t>4. Implementar el Sistema de gestión de la información académico   administrativa</t>
  </si>
  <si>
    <t>5. Evaluar el sistema de gestión de la información académico   administrativa</t>
  </si>
  <si>
    <t xml:space="preserve">                </t>
  </si>
  <si>
    <t xml:space="preserve">6. Asegurar que las herramientas y tecnologías disponibles apoyen la nueva estructura y procesos   Implementar el PETI </t>
  </si>
  <si>
    <t>7. Formular el banco terminológico de tipos, series y subseries documentales   BANTER</t>
  </si>
  <si>
    <t>7. Banco terminológico de tipos, series y subseries documentales   BANTER</t>
  </si>
  <si>
    <t xml:space="preserve">Realizar la difusión del Plan de Desarrollo Institucional 2024   2028 </t>
  </si>
  <si>
    <t>4. Realizar evento difusión Plan de Desarrollo Institucional 2024 2028</t>
  </si>
  <si>
    <t>EJE-01</t>
  </si>
  <si>
    <t>EJE-02</t>
  </si>
  <si>
    <t>EJE-03</t>
  </si>
  <si>
    <t>EJE-04</t>
  </si>
  <si>
    <t>PROG-001</t>
  </si>
  <si>
    <t>PROG-002</t>
  </si>
  <si>
    <t>PROG-003</t>
  </si>
  <si>
    <t>PROG-004</t>
  </si>
  <si>
    <t>PROG-005</t>
  </si>
  <si>
    <t>PROG-006</t>
  </si>
  <si>
    <t>PROG-007</t>
  </si>
  <si>
    <t>PROG-008</t>
  </si>
  <si>
    <t>PROG-009</t>
  </si>
  <si>
    <t>PROG-010</t>
  </si>
  <si>
    <t>PROG-011</t>
  </si>
  <si>
    <t>PROG-012</t>
  </si>
  <si>
    <t>PROG-013</t>
  </si>
  <si>
    <t>PROG-014</t>
  </si>
  <si>
    <t>PROG-015</t>
  </si>
  <si>
    <t>id_programa</t>
  </si>
  <si>
    <t>id_proyecto</t>
  </si>
  <si>
    <t>ponderacion_meta</t>
  </si>
  <si>
    <t>A-001</t>
  </si>
  <si>
    <t>A-002</t>
  </si>
  <si>
    <t>A-003</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</si>
  <si>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</si>
  <si>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</si>
  <si>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</si>
  <si>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</si>
  <si>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</si>
  <si>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</si>
  <si>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</si>
  <si>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</si>
  <si>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</si>
  <si>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</si>
  <si>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</si>
  <si>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</si>
  <si>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</si>
  <si>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</si>
  <si>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</si>
  <si>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</si>
  <si>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</si>
  <si>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</si>
  <si>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</si>
  <si>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</si>
  <si>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</si>
  <si>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</si>
  <si>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</si>
  <si>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</si>
  <si>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A-028</t>
  </si>
  <si>
    <t>A-029</t>
  </si>
  <si>
    <t>A-030</t>
  </si>
  <si>
    <t>A-031</t>
  </si>
  <si>
    <t>A-032</t>
  </si>
  <si>
    <t>A-033</t>
  </si>
  <si>
    <t>A-034</t>
  </si>
  <si>
    <t>A-035</t>
  </si>
  <si>
    <t>A-036</t>
  </si>
  <si>
    <t>A-037</t>
  </si>
  <si>
    <t>A-038</t>
  </si>
  <si>
    <t>A-039</t>
  </si>
  <si>
    <t>A-040</t>
  </si>
  <si>
    <t>A-041</t>
  </si>
  <si>
    <t>A-042</t>
  </si>
  <si>
    <t>A-043</t>
  </si>
  <si>
    <t>A-044</t>
  </si>
  <si>
    <t>A-045</t>
  </si>
  <si>
    <t>A-046</t>
  </si>
  <si>
    <t>A-047</t>
  </si>
  <si>
    <t>A-048</t>
  </si>
  <si>
    <t>A-049</t>
  </si>
  <si>
    <t>A-050</t>
  </si>
  <si>
    <t>A-051</t>
  </si>
  <si>
    <t>A-052</t>
  </si>
  <si>
    <t>A-053</t>
  </si>
  <si>
    <t>A-054</t>
  </si>
  <si>
    <t>A-055</t>
  </si>
  <si>
    <t>A-056</t>
  </si>
  <si>
    <t>A-057</t>
  </si>
  <si>
    <t>A-058</t>
  </si>
  <si>
    <t>A-059</t>
  </si>
  <si>
    <t>A-060</t>
  </si>
  <si>
    <t>A-061</t>
  </si>
  <si>
    <t>A-062</t>
  </si>
  <si>
    <t>A-063</t>
  </si>
  <si>
    <t>A-064</t>
  </si>
  <si>
    <t>A-065</t>
  </si>
  <si>
    <t>A-066</t>
  </si>
  <si>
    <t>A-067</t>
  </si>
  <si>
    <t>A-068</t>
  </si>
  <si>
    <t>A-069</t>
  </si>
  <si>
    <t>A-070</t>
  </si>
  <si>
    <t>A-071</t>
  </si>
  <si>
    <t>A-072</t>
  </si>
  <si>
    <t>A-073</t>
  </si>
  <si>
    <t>A-074</t>
  </si>
  <si>
    <t>A-075</t>
  </si>
  <si>
    <t>A-076</t>
  </si>
  <si>
    <t>A-077</t>
  </si>
  <si>
    <t>A-078</t>
  </si>
  <si>
    <t>A-079</t>
  </si>
  <si>
    <t>A-080</t>
  </si>
  <si>
    <t>A-081</t>
  </si>
  <si>
    <t>A-082</t>
  </si>
  <si>
    <t>A-083</t>
  </si>
  <si>
    <t>A-084</t>
  </si>
  <si>
    <t>A-085</t>
  </si>
  <si>
    <t>A-086</t>
  </si>
  <si>
    <t>A-087</t>
  </si>
  <si>
    <t>A-088</t>
  </si>
  <si>
    <t>A-089</t>
  </si>
  <si>
    <t>A-090</t>
  </si>
  <si>
    <t>A-091</t>
  </si>
  <si>
    <t>A-092</t>
  </si>
  <si>
    <t>A-093</t>
  </si>
  <si>
    <t>A-094</t>
  </si>
  <si>
    <t>A-095</t>
  </si>
  <si>
    <t>A-096</t>
  </si>
  <si>
    <t>A-097</t>
  </si>
  <si>
    <t>A-098</t>
  </si>
  <si>
    <t>A-099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</si>
  <si>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</si>
  <si>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</si>
  <si>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</si>
  <si>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</si>
  <si>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</si>
  <si>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</si>
  <si>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</si>
  <si>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</si>
  <si>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</si>
  <si>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</si>
  <si>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</si>
  <si>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</si>
  <si>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</si>
  <si>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</si>
  <si>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</si>
  <si>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</si>
  <si>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</si>
  <si>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</si>
  <si>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</si>
  <si>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</si>
  <si>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</si>
  <si>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</si>
  <si>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</si>
  <si>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</si>
  <si>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</si>
  <si>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</si>
  <si>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</si>
  <si>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</si>
  <si>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</si>
  <si>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</si>
  <si>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</si>
  <si>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</si>
  <si>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</si>
  <si>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</si>
  <si>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</si>
  <si>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</si>
  <si>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</si>
  <si>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</si>
  <si>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</si>
  <si>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</si>
  <si>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</si>
  <si>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</si>
  <si>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</si>
  <si>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</si>
  <si>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</si>
  <si>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</si>
  <si>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</si>
  <si>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</si>
  <si>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</si>
  <si>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</si>
  <si>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</si>
  <si>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</si>
  <si>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</si>
  <si>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</si>
  <si>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</si>
  <si>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</si>
  <si>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</si>
  <si>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</si>
  <si>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</si>
  <si>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</si>
  <si>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</si>
  <si>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</si>
  <si>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</si>
  <si>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</si>
  <si>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</si>
  <si>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</si>
  <si>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</si>
  <si>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</si>
  <si>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</si>
  <si>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</si>
  <si>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</si>
  <si>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</si>
  <si>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</si>
  <si>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</si>
  <si>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</si>
  <si>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</si>
  <si>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</si>
  <si>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</si>
  <si>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</si>
  <si>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</si>
  <si>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</si>
  <si>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</si>
  <si>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</si>
  <si>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</si>
  <si>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</si>
  <si>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</si>
  <si>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</si>
  <si>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</si>
  <si>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</si>
  <si>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</si>
  <si>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</si>
  <si>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</si>
  <si>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</si>
  <si>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</si>
  <si>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</si>
  <si>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</si>
  <si>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</si>
  <si>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</si>
  <si>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</si>
  <si>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</si>
  <si>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</si>
  <si>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</si>
  <si>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</si>
  <si>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</si>
  <si>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</si>
  <si>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</si>
  <si>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</si>
  <si>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</si>
  <si>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</si>
  <si>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</si>
  <si>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</si>
  <si>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</si>
  <si>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</si>
  <si>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</si>
  <si>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</si>
  <si>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</si>
  <si>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</si>
  <si>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</si>
  <si>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</si>
  <si>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</si>
  <si>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</si>
  <si>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</si>
  <si>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</si>
  <si>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</si>
  <si>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</si>
  <si>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</si>
  <si>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</si>
  <si>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</si>
  <si>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</si>
  <si>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</si>
  <si>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</si>
  <si>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</si>
  <si>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</si>
  <si>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</si>
  <si>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</si>
  <si>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</si>
  <si>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</si>
  <si>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</si>
  <si>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</si>
  <si>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</si>
  <si>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</si>
  <si>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</si>
  <si>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</si>
  <si>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</si>
  <si>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</si>
  <si>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</si>
  <si>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</si>
  <si>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</si>
  <si>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</si>
  <si>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</si>
  <si>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</si>
  <si>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</si>
  <si>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</si>
  <si>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</si>
  <si>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</si>
  <si>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</si>
  <si>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A-256</t>
  </si>
  <si>
    <t>A-257</t>
  </si>
  <si>
    <t>A-258</t>
  </si>
  <si>
    <t>A-259</t>
  </si>
  <si>
    <t>A-260</t>
  </si>
  <si>
    <t>A-261</t>
  </si>
  <si>
    <t>A-262</t>
  </si>
  <si>
    <t>A-263</t>
  </si>
  <si>
    <t>A-264</t>
  </si>
  <si>
    <t>A-265</t>
  </si>
  <si>
    <t>A-266</t>
  </si>
  <si>
    <t>A-267</t>
  </si>
  <si>
    <t>A-268</t>
  </si>
  <si>
    <t>A-269</t>
  </si>
  <si>
    <t>A-270</t>
  </si>
  <si>
    <t>A-271</t>
  </si>
  <si>
    <t>A-272</t>
  </si>
  <si>
    <t>A-273</t>
  </si>
  <si>
    <t>A-274</t>
  </si>
  <si>
    <t>A-275</t>
  </si>
  <si>
    <t>A-276</t>
  </si>
  <si>
    <t>A-277</t>
  </si>
  <si>
    <t>A-278</t>
  </si>
  <si>
    <t>A-279</t>
  </si>
  <si>
    <t>A-280</t>
  </si>
  <si>
    <t>A-281</t>
  </si>
  <si>
    <t>A-282</t>
  </si>
  <si>
    <t>A-283</t>
  </si>
  <si>
    <t>A-284</t>
  </si>
  <si>
    <t>A-285</t>
  </si>
  <si>
    <t>A-286</t>
  </si>
  <si>
    <t>A-287</t>
  </si>
  <si>
    <t>A-288</t>
  </si>
  <si>
    <t>A-289</t>
  </si>
  <si>
    <t>A-290</t>
  </si>
  <si>
    <t>A-291</t>
  </si>
  <si>
    <t>A-292</t>
  </si>
  <si>
    <t>A-293</t>
  </si>
  <si>
    <t>A-294</t>
  </si>
  <si>
    <t>A-295</t>
  </si>
  <si>
    <t>A-296</t>
  </si>
  <si>
    <t>A-297</t>
  </si>
  <si>
    <t>A-298</t>
  </si>
  <si>
    <t>A-299</t>
  </si>
  <si>
    <t>A-300</t>
  </si>
  <si>
    <t>A-301</t>
  </si>
  <si>
    <t>A-302</t>
  </si>
  <si>
    <t>A-303</t>
  </si>
  <si>
    <t>A-304</t>
  </si>
  <si>
    <t>A-305</t>
  </si>
  <si>
    <t>A-306</t>
  </si>
  <si>
    <t>A-307</t>
  </si>
  <si>
    <t>A-308</t>
  </si>
  <si>
    <t>A-309</t>
  </si>
  <si>
    <t>A-310</t>
  </si>
  <si>
    <t>A-311</t>
  </si>
  <si>
    <t>A-312</t>
  </si>
  <si>
    <t>A-313</t>
  </si>
  <si>
    <t>A-314</t>
  </si>
  <si>
    <t>A-315</t>
  </si>
  <si>
    <t>A-316</t>
  </si>
  <si>
    <t>A-317</t>
  </si>
  <si>
    <t>A-318</t>
  </si>
  <si>
    <t>A-319</t>
  </si>
  <si>
    <t>A-320</t>
  </si>
  <si>
    <t>A-321</t>
  </si>
  <si>
    <t>A-322</t>
  </si>
  <si>
    <t>A-323</t>
  </si>
  <si>
    <t>A-324</t>
  </si>
  <si>
    <t>A-325</t>
  </si>
  <si>
    <t>A-326</t>
  </si>
  <si>
    <t>A-327</t>
  </si>
  <si>
    <t>A-328</t>
  </si>
  <si>
    <t>A-329</t>
  </si>
  <si>
    <t>A-330</t>
  </si>
  <si>
    <t>A-331</t>
  </si>
  <si>
    <t>A-332</t>
  </si>
  <si>
    <t>A-333</t>
  </si>
  <si>
    <t>A-334</t>
  </si>
  <si>
    <t>A-335</t>
  </si>
  <si>
    <t>A-336</t>
  </si>
  <si>
    <t>A-337</t>
  </si>
  <si>
    <t>A-338</t>
  </si>
  <si>
    <t>A-339</t>
  </si>
  <si>
    <t>A-340</t>
  </si>
  <si>
    <t>A-341</t>
  </si>
  <si>
    <t>A-342</t>
  </si>
  <si>
    <t>A-343</t>
  </si>
  <si>
    <t>A-344</t>
  </si>
  <si>
    <t>A-345</t>
  </si>
  <si>
    <t>A-346</t>
  </si>
  <si>
    <t>A-347</t>
  </si>
  <si>
    <t>A-348</t>
  </si>
  <si>
    <t>A-349</t>
  </si>
  <si>
    <t>A-350</t>
  </si>
  <si>
    <t>A-351</t>
  </si>
  <si>
    <t>A-352</t>
  </si>
  <si>
    <t>A-353</t>
  </si>
  <si>
    <t>A-354</t>
  </si>
  <si>
    <t>A-355</t>
  </si>
  <si>
    <t>A-356</t>
  </si>
  <si>
    <t>A-357</t>
  </si>
  <si>
    <t>A-358</t>
  </si>
  <si>
    <t>A-359</t>
  </si>
  <si>
    <t>A-360</t>
  </si>
  <si>
    <t>A-361</t>
  </si>
  <si>
    <t>A-362</t>
  </si>
  <si>
    <t>A-363</t>
  </si>
  <si>
    <t>A-364</t>
  </si>
  <si>
    <t>A-365</t>
  </si>
  <si>
    <t>A-366</t>
  </si>
  <si>
    <t>A-367</t>
  </si>
  <si>
    <t>A-368</t>
  </si>
  <si>
    <t>A-369</t>
  </si>
  <si>
    <t>A-370</t>
  </si>
  <si>
    <t>A-371</t>
  </si>
  <si>
    <t>A-372</t>
  </si>
  <si>
    <t>A-373</t>
  </si>
  <si>
    <t>A-374</t>
  </si>
  <si>
    <t>A-375</t>
  </si>
  <si>
    <t>A-376</t>
  </si>
  <si>
    <t>A-377</t>
  </si>
  <si>
    <t>A-378</t>
  </si>
  <si>
    <t>A-379</t>
  </si>
  <si>
    <t>A-380</t>
  </si>
  <si>
    <t>A-381</t>
  </si>
  <si>
    <t>A-382</t>
  </si>
  <si>
    <t>A-383</t>
  </si>
  <si>
    <t>A-384</t>
  </si>
  <si>
    <t>A-385</t>
  </si>
  <si>
    <t>A-386</t>
  </si>
  <si>
    <t>A-387</t>
  </si>
  <si>
    <t>A-388</t>
  </si>
  <si>
    <t>A-389</t>
  </si>
  <si>
    <t>A-390</t>
  </si>
  <si>
    <t>A-391</t>
  </si>
  <si>
    <t>A-392</t>
  </si>
  <si>
    <t>A-393</t>
  </si>
  <si>
    <t>A-394</t>
  </si>
  <si>
    <t>A-395</t>
  </si>
  <si>
    <t>A-396</t>
  </si>
  <si>
    <t>A-397</t>
  </si>
  <si>
    <t>A-398</t>
  </si>
  <si>
    <t>A-399</t>
  </si>
  <si>
    <t>A-400</t>
  </si>
  <si>
    <t>A-401</t>
  </si>
  <si>
    <t>A-402</t>
  </si>
  <si>
    <t>A-403</t>
  </si>
  <si>
    <t>A-404</t>
  </si>
  <si>
    <t>A-405</t>
  </si>
  <si>
    <t>A-406</t>
  </si>
  <si>
    <t>A-407</t>
  </si>
  <si>
    <t>A-408</t>
  </si>
  <si>
    <t>A-409</t>
  </si>
  <si>
    <t>A-410</t>
  </si>
  <si>
    <t>A-411</t>
  </si>
  <si>
    <t>A-412</t>
  </si>
  <si>
    <t>A-413</t>
  </si>
  <si>
    <t>A-414</t>
  </si>
  <si>
    <t>A-415</t>
  </si>
  <si>
    <t>A-416</t>
  </si>
  <si>
    <t>A-417</t>
  </si>
  <si>
    <t>A-418</t>
  </si>
  <si>
    <t>A-419</t>
  </si>
  <si>
    <t>A-420</t>
  </si>
  <si>
    <t>A-421</t>
  </si>
  <si>
    <t>A-422</t>
  </si>
  <si>
    <t>A-423</t>
  </si>
  <si>
    <t>A-424</t>
  </si>
  <si>
    <t>A-425</t>
  </si>
  <si>
    <t>A-426</t>
  </si>
  <si>
    <t>A-427</t>
  </si>
  <si>
    <t>A-428</t>
  </si>
  <si>
    <t>A-429</t>
  </si>
  <si>
    <t>A-430</t>
  </si>
  <si>
    <t>A-431</t>
  </si>
  <si>
    <t>A-432</t>
  </si>
  <si>
    <t>A-433</t>
  </si>
  <si>
    <t>A-434</t>
  </si>
  <si>
    <t>A-435</t>
  </si>
  <si>
    <t>A-436</t>
  </si>
  <si>
    <t>A-437</t>
  </si>
  <si>
    <t>A-438</t>
  </si>
  <si>
    <t>A-439</t>
  </si>
  <si>
    <t>A-440</t>
  </si>
  <si>
    <t>A-441</t>
  </si>
  <si>
    <t>A-442</t>
  </si>
  <si>
    <t>A-443</t>
  </si>
  <si>
    <t>A-444</t>
  </si>
  <si>
    <t>A-445</t>
  </si>
  <si>
    <t>A-446</t>
  </si>
  <si>
    <t>A-447</t>
  </si>
  <si>
    <t>A-448</t>
  </si>
  <si>
    <t>A-449</t>
  </si>
  <si>
    <t>A-450</t>
  </si>
  <si>
    <t>A-451</t>
  </si>
  <si>
    <t>A-452</t>
  </si>
  <si>
    <t>A-453</t>
  </si>
  <si>
    <t>A-454</t>
  </si>
  <si>
    <t>A-455</t>
  </si>
  <si>
    <t>A-456</t>
  </si>
  <si>
    <t>A-457</t>
  </si>
  <si>
    <t>A-458</t>
  </si>
  <si>
    <t>A-459</t>
  </si>
  <si>
    <t>A-460</t>
  </si>
  <si>
    <t>A-461</t>
  </si>
  <si>
    <t>A-462</t>
  </si>
  <si>
    <t>A-463</t>
  </si>
  <si>
    <t>A-464</t>
  </si>
  <si>
    <t>A-465</t>
  </si>
  <si>
    <t>A-466</t>
  </si>
  <si>
    <t>A-467</t>
  </si>
  <si>
    <t>A-468</t>
  </si>
  <si>
    <t>A-469</t>
  </si>
  <si>
    <t>A-470</t>
  </si>
  <si>
    <t>A-471</t>
  </si>
  <si>
    <t>A-472</t>
  </si>
  <si>
    <t>A-473</t>
  </si>
  <si>
    <t>A-474</t>
  </si>
  <si>
    <t>A-475</t>
  </si>
  <si>
    <t>A-476</t>
  </si>
  <si>
    <t>A-477</t>
  </si>
  <si>
    <t>A-478</t>
  </si>
  <si>
    <t>A-479</t>
  </si>
  <si>
    <t>A-480</t>
  </si>
  <si>
    <t>A-481</t>
  </si>
  <si>
    <t>A-482</t>
  </si>
  <si>
    <t>A-483</t>
  </si>
  <si>
    <t>A-484</t>
  </si>
  <si>
    <t>A-485</t>
  </si>
  <si>
    <t>A-486</t>
  </si>
  <si>
    <t>A-487</t>
  </si>
  <si>
    <t>A-488</t>
  </si>
  <si>
    <t>A-489</t>
  </si>
  <si>
    <t>A-490</t>
  </si>
  <si>
    <t>A-491</t>
  </si>
  <si>
    <t>A-492</t>
  </si>
  <si>
    <t>A-493</t>
  </si>
  <si>
    <t>A-494</t>
  </si>
  <si>
    <t>A-495</t>
  </si>
  <si>
    <t>A-496</t>
  </si>
  <si>
    <t>A-497</t>
  </si>
  <si>
    <t>A-498</t>
  </si>
  <si>
    <t>A-499</t>
  </si>
  <si>
    <t>A-500</t>
  </si>
  <si>
    <t>A-501</t>
  </si>
  <si>
    <t>A-502</t>
  </si>
  <si>
    <t>A-503</t>
  </si>
  <si>
    <t>A-504</t>
  </si>
  <si>
    <t>A-505</t>
  </si>
  <si>
    <t>A-506</t>
  </si>
  <si>
    <t>A-507</t>
  </si>
  <si>
    <t>A-508</t>
  </si>
  <si>
    <t>A-509</t>
  </si>
  <si>
    <t>A-510</t>
  </si>
  <si>
    <t>A-511</t>
  </si>
  <si>
    <t>A-512</t>
  </si>
  <si>
    <t>A-513</t>
  </si>
  <si>
    <t>A-514</t>
  </si>
  <si>
    <t>A-515</t>
  </si>
  <si>
    <t>A-516</t>
  </si>
  <si>
    <t>A-517</t>
  </si>
  <si>
    <t>A-518</t>
  </si>
  <si>
    <t>A-519</t>
  </si>
  <si>
    <t>A-520</t>
  </si>
  <si>
    <t>A-521</t>
  </si>
  <si>
    <t>A-522</t>
  </si>
  <si>
    <t>A-523</t>
  </si>
  <si>
    <t>A-524</t>
  </si>
  <si>
    <t>A-525</t>
  </si>
  <si>
    <t>A-526</t>
  </si>
  <si>
    <t>A-527</t>
  </si>
  <si>
    <t>titulo_accion</t>
  </si>
  <si>
    <t>formato</t>
  </si>
  <si>
    <t>pdf</t>
  </si>
  <si>
    <t>excel</t>
  </si>
  <si>
    <t>evidencia</t>
  </si>
  <si>
    <t>avance_año1</t>
  </si>
  <si>
    <t>avance_año2</t>
  </si>
  <si>
    <t>avance_año3</t>
  </si>
  <si>
    <t>avance_año4</t>
  </si>
  <si>
    <t>avance_eje</t>
  </si>
  <si>
    <t>avance_eje_100</t>
  </si>
  <si>
    <t>descripcion_eje</t>
  </si>
  <si>
    <t>avance_programa_100</t>
  </si>
  <si>
    <t>avance_programas</t>
  </si>
  <si>
    <t>avance_proyecto_100</t>
  </si>
  <si>
    <t>Eje</t>
  </si>
  <si>
    <t>Avance_eje_100</t>
  </si>
  <si>
    <t>Avance_PDI</t>
  </si>
  <si>
    <t>programacion_avance_meta_año1</t>
  </si>
  <si>
    <t>PROG-016</t>
  </si>
  <si>
    <t>Fortalecimiento de una cultura de Autoevaluación representa un compromiso firme de Unitrópico con la calidad educativa. A través de la autoevaluación, la implementación de un SIAC y la búsqueda de acreditación en alta calidad, la universidad se posiciona en la senda de la excelencia, asegurando que sus procesos y resultados se alineen con las expectativas de la comunidad académica y la sociedad en general.</t>
  </si>
  <si>
    <t>Apropiación social del conocimiento integra la Investigación, la Docencia, la Proyección Social, la Extensión y la Internacionalización, asegurando que el saber académico se traduzca en soluciones prácticas. Se aspira a que este eje responda a las necesidades tanto de la comunidad universitaria como de la sociedad, conectando los procesos misionales y los objetivos institucionales.</t>
  </si>
  <si>
    <t>El Eje Estratégico 3 se centra en el desarrollo de un ecosistema de conocimiento, con el propósito de brindar una educación de calidad y contribuir con el desarrollo del territorio. Para alcanzar este objetivo, se enfoca en ampliar y fortalecer el acceso a recursos físicos, tecnológicos y bibliográficos esenciales para el aprendizaje, la investigación, la proyección social y el bienestar universitario. Además, impulsa la modernización de los procesos académicos y administrativos mediante la integración de Tecnologías de la Información y las Comunicaciones (TIC), Tecnologías del Aprendizaje y el Conocimiento (TAC) y Tecnologías del Empoderamiento y la Participación (TEP).</t>
  </si>
  <si>
    <t>El Eje Estratégico 4 reconoce la autonomía universitaria como un pilar fundamental para la educación superior. Esta autonomía permite a las universidades gestionar sus decisiones académicas y administrativas de manera independiente, sin interferencias externas, garantizando así la libertad de cátedra, la investigación y la promoción del conocimiento.</t>
  </si>
  <si>
    <t>Objetivo</t>
  </si>
  <si>
    <t>Consolidar un sistema de autoevaluación y autorregulación
institucional permanente que facilite la recolección, sistematización y análisis
continuo de la información necesaria para el aseguramiento interno de la calidad.</t>
  </si>
  <si>
    <t>Diseñar e implementar un modelo de medición de indicadores que
evalúe el impacto de la gestión institucional. Este modelo fomentará la
autoevaluación como parte integral de la cultura organizacional y garantizará
que las políticas institucionales se conviertan en prácticas efectivas y sostenibles.</t>
  </si>
  <si>
    <t>Establecer las condiciones iniciales para la acreditación en alta calidad
de programas académicos. Se buscará tanto la acreditación de programas
específicos como la acreditación institucional, asegurando el cumplimiento de
estándares internacionales.</t>
  </si>
  <si>
    <t>Este proyecto busca la creación de bienes y servicios que respondan a
los desafíos identificados en el territorio. Incluye el registro de productos ante la
Dirección Nacional de Derecho de Autor, promoviendo la protección de la
propiedad intelectual y la transferencia de tecnología</t>
  </si>
  <si>
    <t>Crear un programa de voluntariado que permita a los estudiantes y
miembros de la comunidad involucrarse en actividades sociales y comunitarias
de manera continua. A través de este programa, se fomentará el desarrollo de
competencias sociales y profesionales, al tiempo que se contribuye a mejorar la
calidad de vida de la población</t>
  </si>
  <si>
    <t>Ampliar y fortalecer las actividades de extensión que cada programa académico
ofrece a la comunidad. Incluirá la realización de talleres, capacitaciones y
proyectos de investigación aplicada que aborden las necesidades específicas de
la sociedad, asegurando que la educación y el conocimiento generados tengan
un impacto directo y positivo</t>
  </si>
  <si>
    <t>Fortalecer la cooperación internacional incrementando la participación
en redes globales para la internacionalización, la gestión de recursos externos y
la promoción de alianzas nacionales e internacionales en beneficio del desarrollo
académico y científico de la universidad</t>
  </si>
  <si>
    <t>Promover la multiculturalidad y el multilingüismo en la comunidad
universitaria y la región, mediante la realización de actividades que fomenten el
intercambio cultural, la diversidad lingüística y la interacción entre grupos
sociales diversos</t>
  </si>
  <si>
    <t>Fortalecer las competencias interculturales y disciplinares de la
comunidad universitaria mediante la internacionalización del currículo, las
iniciativas de internacionalización en casa y procesos permanentes de movilidad
académica y científica en doble vía</t>
  </si>
  <si>
    <t>Fortalecer las capacidades institucionales y el conocimiento en
relaciones y cooperación internacional mediante la participación activa en
actividades de actualización, desarrollo profesional y divulgación, con el fin de
promover la internacionalización y el posicionamiento global de la universidad</t>
  </si>
  <si>
    <t>Fortalecer las capacidades de investigación en Unitrópico para
consolidar el sistema de investigación en articulación con las necesidades
regionales, para avanzar en la categorización de los grupos de investigación y la
divulgación de la productividad de estos, contribuyendo al desarrollo regional</t>
  </si>
  <si>
    <t>Actualizar el sistema de evaluación del desempeño profesoral para
adaptarlo a las nuevas demandas educativas, garantizando una evaluación más
precisa y equitativa de los profesores. Implementar un Plan de Formación y
Capacitación Profesoral asociado a la entrega de productos que fomente el
desarrollo de habilidades avanzadas y promueva estrategias pedagógicas
innovadoras, asegurando así la mejora continua del cuerpo profesoral en
respuesta a las necesidades de los estudiantes y de la universidad</t>
  </si>
  <si>
    <t>Actualizar y fortalecer Proyecto Educativo Institucional (PEI) y los
Proyectos Educativos de Programas (PEP) para asegurar que la universidad
cuente con una estructura pedagógica coherente y adecuada a su misión y
visión. Se desarrollarán estrategias para optimizar la gestión académicoadministrativa
y se implementará un programa transversal y permanente que
apoye la consecución de resultados de aprendizaje significativos para los
estudiantes. Asimismo, se actualizará y ejecutará el Plan Institucional de
Bilingüismo Español-inglés, mejorando las competencias lingüísticas de la
comunidad académica</t>
  </si>
  <si>
    <t>Ampliar y fortalecer la oferta educativa de la universidad mediante la
creación de cinco nuevos programas de pregrado y cinco de posgrado, dirigidos
a fortalecer la oferta educativa y ampliar la cobertura en la región. Estas nuevas
ofertas académicas estarán alineadas con las tendencias globales, buscando
formar profesionales altamente capacitados para enfrentar los desafíos del siglo
XXI</t>
  </si>
  <si>
    <t>Potenciar la Incubadora Empresarial Unitropista, creando un espacio
propicio para el desarrollo de emprendimientos innovadores y sostenibles. Se
enfocará en incrementar en un 20% el número de emprendedores beneficiados,
proporcionando apoyo integral que incluye asesoramiento, capacitación y
acceso a recursos financieros</t>
  </si>
  <si>
    <t>Fortalecer la colaboración entre la universidad y otros actores de la
cuádruple hélice. Se implementarán estrategias para incrementar la utilización
de servicios ofrecidos por los consultorios jurídico y contable de la universidad,
asegurando que estos respondan a las necesidades del entorno y generen un
impacto positivo en la comunidad</t>
  </si>
  <si>
    <t>Establecer la editorial Unitropista, que se encargará de publicar
investigaciones, textos académicos y obras artísticas. Fomentará la difusión del
conocimiento generado en la universidad y facilitará el acceso a la información
relevante para la comunidad, promoviendo la educación continua y la formación
integral</t>
  </si>
  <si>
    <t>Identificar, documentar y promover el patrimonio cultural e inmaterial
de la región. Incluirá la realización de actividades que fomenten la participación
de la comunidad en la preservación de sus tradiciones y saberes, fortaleciendo
así la identidad cultural local</t>
  </si>
  <si>
    <t>Establecer un sistema efectivo de comunicación y colaboración con
los egresados. Se realizarán actividades que permitan evaluar el impacto de la
formación académica en el entorno laboral y se impulsarán programas de
desarrollo profesional y personal, fortaleciendo el vínculo entre la universidad y
sus egresados</t>
  </si>
  <si>
    <t>Lograr que el campus universitario de Unitrópico sea un espacio
accesible para toda la comunidad, permitiendo una infraestructura moderna y
bien equipada para la educación superior</t>
  </si>
  <si>
    <t>Mantener y mejorar la infraestructura física de la universidad a través
de intervenciones que aseguren la conservación, modernización e inclusión en
los espacios existentes</t>
  </si>
  <si>
    <t>Modernizar y optimizar la infraestructura tecnológica de la universidad
para promover una gestión eficiente y un entorno académico digitalmente
avanzado.</t>
  </si>
  <si>
    <t>Fortalecer el acceso a los recursos bibliográficos de la universidad
mediante la adquisición y gestión de bases de datos, libros físicos y digitales que
apoyen la formación académica y la investigación.</t>
  </si>
  <si>
    <t>Ampliar la oferta de actividades extracurriculares que fomenten el
desarrollo integral de los estudiantes mediante la promoción de deportes, artes,
cultura y recreación</t>
  </si>
  <si>
    <t>Crear un entorno que promueva la solidaridad, el trabajo en equipo y
el sentido de pertenencia en la comunidad universitaria, mejorando la
experiencia estudiantil y fomentando la cohesión entre los miembros</t>
  </si>
  <si>
    <t>Promover el bienestar físico y psicosocial de la comunidad
universitaria mediante la creación de redes de apoyo que fomenten la salud, la
inclusión y la participación</t>
  </si>
  <si>
    <t>Establecer un compromiso con la prevención y el apoyo en la vida
universitaria para alcanzar el éxito y la realización personal de los estudiantes</t>
  </si>
  <si>
    <t>Fortalecer los procesos electorales universitarios, la estructura
orgánica institucional y la gestión documental mediante la implementación de
un código de ética, transparencia y buen gobierno, además de formular y
ejecutar un plan estratégico decenal, asegurando la participación de la
comunidad universitaria y la rendición de cuentas públicas anuales, así como la
construcción de paz</t>
  </si>
  <si>
    <t>Modernizar y actualizar el 50% de la infraestructura de medios
audiovisuales y de comunicación, establecer una emisora universitaria y la tienda
Unitropista como canales estratégicos para fortalecer la identidad institucional,
ejecutar un plan de comunicación y marketing que posicione a la universidad, y
capte nuevos estudiantes</t>
  </si>
  <si>
    <t>Implementar estrategias de participación accesibles, mejorar los
canales de diálogo entre la comunidad universitaria y los procesos
institucionales, aumentar el cumplimiento del índice de transparencia y acceso
a la información pública, optimizar el análisis de datos para la toma de decisiones
y automatizar la gestión de PQRS para garantizar una atención eficiente y
oportuna</t>
  </si>
  <si>
    <t>porcentaje</t>
  </si>
  <si>
    <t>tipo_programacion</t>
  </si>
  <si>
    <t>Avance PDI2</t>
  </si>
  <si>
    <t>inversion_realizada</t>
  </si>
  <si>
    <t>id_responsable</t>
  </si>
  <si>
    <t>documento</t>
  </si>
  <si>
    <t>nombre_completo</t>
  </si>
  <si>
    <t>cargo</t>
  </si>
  <si>
    <t>area</t>
  </si>
  <si>
    <t>correo</t>
  </si>
  <si>
    <t>correo_personal</t>
  </si>
  <si>
    <t>R1</t>
  </si>
  <si>
    <t>ACHAGUA PINTO JAVIER LEANDRO</t>
  </si>
  <si>
    <t>AUXILIAR ADMINISTRATIVO</t>
  </si>
  <si>
    <t>CLINICA VETERINARIA</t>
  </si>
  <si>
    <t>aux.clinicaveterinaria@unitropico.edu.co</t>
  </si>
  <si>
    <t>javierlachagua@unitropico.edu.co</t>
  </si>
  <si>
    <t>R2</t>
  </si>
  <si>
    <t>AFRICANO MONTAÑEZ ANGIE MILENA</t>
  </si>
  <si>
    <t>TÉCNICO ADMINISTRATIVO</t>
  </si>
  <si>
    <t>OFICINA DE GESTIÓN DOCUMENTAL</t>
  </si>
  <si>
    <t>vur@unitropico.edu.co</t>
  </si>
  <si>
    <t>angiemafricano@unitropico.edu.co</t>
  </si>
  <si>
    <t>R3</t>
  </si>
  <si>
    <t>AGUIRRE CONTRERAS CLAUDIA MILENA</t>
  </si>
  <si>
    <t>PROFESIONAL UNIVERSITARIO</t>
  </si>
  <si>
    <t>DIVISIÓN DEL SISTEMA INTEGRADO DE GESTIÓN</t>
  </si>
  <si>
    <t>pu.calidad@unitropico.edu.co</t>
  </si>
  <si>
    <t>claudiamaguirre@unitropico.edu.co</t>
  </si>
  <si>
    <t>R4</t>
  </si>
  <si>
    <t>ALEGRIA VELASQUEZ LUZ MARY</t>
  </si>
  <si>
    <t>VICERRECTORIA DE PROYECCIÓN SOCIAL</t>
  </si>
  <si>
    <t>asis.proyeccion@unitropico.edu.co</t>
  </si>
  <si>
    <t>luzmalegria@unitropico.edu.co</t>
  </si>
  <si>
    <t>R5</t>
  </si>
  <si>
    <t>ALVAREZ LUIS EMIRO</t>
  </si>
  <si>
    <t>PROFESIONAL ESPECIALIZADO</t>
  </si>
  <si>
    <t>BIBLIOTECA UNIVERSITARIA</t>
  </si>
  <si>
    <t>biblioteca@unitropico.edu.co</t>
  </si>
  <si>
    <t>luisealvarez@unitropico.edu.co</t>
  </si>
  <si>
    <t>R6</t>
  </si>
  <si>
    <t>AREVALO VIÑAS VERA ALEXANDRA</t>
  </si>
  <si>
    <t>JEFE OFCINA DE CONTROL INTERNO Y DISCIPLINARIO</t>
  </si>
  <si>
    <t>OFICINA DE CONTROL INTERNO DISCIPLINARIO</t>
  </si>
  <si>
    <t>controlinternodisciplinario@unitropico.edu.co</t>
  </si>
  <si>
    <t>veraarevalo@unitropico.edu.co</t>
  </si>
  <si>
    <t>R7</t>
  </si>
  <si>
    <t>AVELLA GONZALEZ YEIMY KATERINE</t>
  </si>
  <si>
    <t>FACULTAD DE CIENCIAS -  MEDICINA VETERINARIA Y ZOOTECNIA</t>
  </si>
  <si>
    <t>aux.medicinaveterinaria@unitropico.edu.co</t>
  </si>
  <si>
    <t>katerineavellag@unitropico.edu.co</t>
  </si>
  <si>
    <t>R8</t>
  </si>
  <si>
    <t>BARON GOMEZ KAROL TATIANA</t>
  </si>
  <si>
    <t>OFICINA ASESORA JURIDICA Y DE CONTRATACIÓN</t>
  </si>
  <si>
    <t>apoyocontratacion@unitropico.edu.co</t>
  </si>
  <si>
    <t>karoltbaron@unitropico.edu.co</t>
  </si>
  <si>
    <t>R9</t>
  </si>
  <si>
    <t>BARRAGAN BARRERA KAREN DIANE</t>
  </si>
  <si>
    <t>DEPARTAMENTO DE CIENCIAS BÁSICAS TRANSVERSALES</t>
  </si>
  <si>
    <t>aux.laboratoriocienciasbasicas@unitropico.edu.co</t>
  </si>
  <si>
    <t>karendbarragan@unitropico.edu.co</t>
  </si>
  <si>
    <t>R10</t>
  </si>
  <si>
    <t>BARRERA  HERNANDEZ NOHORA CECILIA</t>
  </si>
  <si>
    <t>ta.gestiondocumental@unitropico.edu.co</t>
  </si>
  <si>
    <t>nohoracbarrera@unitropico.edu.co</t>
  </si>
  <si>
    <t>R11</t>
  </si>
  <si>
    <t>BERMUDEZ GARRIDO DANIELA SMITH</t>
  </si>
  <si>
    <t>CONSULTORIO JURÌDICO</t>
  </si>
  <si>
    <t>aux.consultoriojuridico@unitropico.edu.co</t>
  </si>
  <si>
    <t>danielabgarrido@unitropico.edu.co</t>
  </si>
  <si>
    <t>R12</t>
  </si>
  <si>
    <t xml:space="preserve">BERNAL PARRA ANDREA </t>
  </si>
  <si>
    <t>pu.clinicaveterinaria@unitropico.edu.co</t>
  </si>
  <si>
    <t>andreabparra@unitropico.edu.co</t>
  </si>
  <si>
    <t>R13</t>
  </si>
  <si>
    <t>BETANCOURT PRIETO ELIZABETH</t>
  </si>
  <si>
    <t>SUBDIRECTOR DE CONTABILIDAD</t>
  </si>
  <si>
    <t>SUBDIRECCIÓN DE CONTABILIDAD</t>
  </si>
  <si>
    <t>contabilidad@unitropico.edu.co</t>
  </si>
  <si>
    <t>elizabethbetancourtp@unitropico.edu.co</t>
  </si>
  <si>
    <t>R14</t>
  </si>
  <si>
    <t>BOHORQUEZ ALEXIS FERLEY</t>
  </si>
  <si>
    <t>JEFE OFICINA ASESORA JURIDICA Y CONTRATACION</t>
  </si>
  <si>
    <t>juridica@unitropico.edu.co</t>
  </si>
  <si>
    <t>alexisbohorquez@unitropico.edu.co</t>
  </si>
  <si>
    <t>R15</t>
  </si>
  <si>
    <t>BOLAÑOS MANRIQUE LIGIA JOANA</t>
  </si>
  <si>
    <t>FACULTAD DE INGENIERIAS - INGENIERIA AGROFORESTAL</t>
  </si>
  <si>
    <t>aux.ingagroforestal@unitropico.edu.co</t>
  </si>
  <si>
    <t>ligiabolanos@unitropico.edu.co</t>
  </si>
  <si>
    <t>R16</t>
  </si>
  <si>
    <t>BUITRAGO ALFONSO LUIS HERNANDO</t>
  </si>
  <si>
    <t>DIRECTOR DE CENTRO DE DEPORTES</t>
  </si>
  <si>
    <t>OFICINA DE BIENESTAR UNIVERSITARIO</t>
  </si>
  <si>
    <t>deportes@unitropico.edu.co</t>
  </si>
  <si>
    <t>luisbuitrago@unitropico.edu.co</t>
  </si>
  <si>
    <t>R17</t>
  </si>
  <si>
    <t>CABEZAS BOLAÑOS MARTHA ISABEL</t>
  </si>
  <si>
    <t>JEFE DE OFICINA ASESORA DE PRENSA, COMUNICACIONES Y MERCADEO</t>
  </si>
  <si>
    <t>OFICINA ASESORADE PRENSA, COMUNICACIONES Y MERCADEO</t>
  </si>
  <si>
    <t>comunicaciones@unitropico.edu.co</t>
  </si>
  <si>
    <t>marthacabezas@unitropico.edu.co</t>
  </si>
  <si>
    <t>R18</t>
  </si>
  <si>
    <t>CACERES  JOSE  NEVER</t>
  </si>
  <si>
    <t>OPERATIVO</t>
  </si>
  <si>
    <t>SUBDIRECCIÓN DE INFRAESTRUCTURA Y RECURSOS FÍSICOS</t>
  </si>
  <si>
    <t>operario2.recursosfisicos@unitropico.edu.co</t>
  </si>
  <si>
    <t>josencaceres@unitropico.edu.co</t>
  </si>
  <si>
    <t>R19</t>
  </si>
  <si>
    <t>CAICEDO CIPAGAUTA ELIANI YUBELLI</t>
  </si>
  <si>
    <t>OFICINA ASESORA DE PLANEACIÓN</t>
  </si>
  <si>
    <t>bancoproyectos@unitropico.edu.co</t>
  </si>
  <si>
    <t>elianiycaicedo@unitropico.edu.co</t>
  </si>
  <si>
    <t>R20</t>
  </si>
  <si>
    <t>CALDERON SANCHEZ DARWIN</t>
  </si>
  <si>
    <t>estrategiaplaneacion@unitropico.edu.co</t>
  </si>
  <si>
    <t>darwincalderons@unitropico.edu.co</t>
  </si>
  <si>
    <t>R21</t>
  </si>
  <si>
    <t>CAMARGO ORDUZ MARIA TERESA</t>
  </si>
  <si>
    <t>OFICINA DE ASEGURAMIENTO A LA CALIDAD Y ACREDITACIÓN</t>
  </si>
  <si>
    <t>aux.siac@unitropico.edu.co</t>
  </si>
  <si>
    <t>mariatcamargo@unitropico.edu.co</t>
  </si>
  <si>
    <t>R22</t>
  </si>
  <si>
    <t>CAÑON AGUILLON ADRIANA KATHERINE</t>
  </si>
  <si>
    <t>FACULTAD DE INGENIERÍAS - ECONOMINA</t>
  </si>
  <si>
    <t>aux.economia@unitropico.edu.co</t>
  </si>
  <si>
    <t>adrianacanon@unitropico.edu.co</t>
  </si>
  <si>
    <t>R23</t>
  </si>
  <si>
    <t>CARO BERNAL PEDRO ANTONIO</t>
  </si>
  <si>
    <t>OFICINA DE SISTEMAS DE INFORMACÍÓN Y TECNOLOGÍA</t>
  </si>
  <si>
    <t>pu.sistemas@unitropico.edu.co</t>
  </si>
  <si>
    <t>pedrocbernal@unitropico.edu.co</t>
  </si>
  <si>
    <t>R24</t>
  </si>
  <si>
    <t>CASTILLO PEREZ OLGA</t>
  </si>
  <si>
    <t>pu.recursosfisicos@unitropico.edu.co</t>
  </si>
  <si>
    <t>olgacastillo@unitropico.edu.co</t>
  </si>
  <si>
    <t>R25</t>
  </si>
  <si>
    <t>CASTRO PINEDA CESAR ROLANDO</t>
  </si>
  <si>
    <t>SECRETARIO GENERAL</t>
  </si>
  <si>
    <t>SECRETARIA GENERAL</t>
  </si>
  <si>
    <t>secretariageneral@unitropico.edu.co</t>
  </si>
  <si>
    <t>R26</t>
  </si>
  <si>
    <t>CEBALLOS GIL JOSE HAROLD</t>
  </si>
  <si>
    <t>OPERARIO ASISTENCIAL</t>
  </si>
  <si>
    <t>GRANJA EL REMANSO</t>
  </si>
  <si>
    <t>ope.granjaelremanso@unitropico.edu.co</t>
  </si>
  <si>
    <t>josehceballos@unitropico.edu.co</t>
  </si>
  <si>
    <t>R27</t>
  </si>
  <si>
    <t>CHAPARRO CHAPARRO GUSTAVO ADAN</t>
  </si>
  <si>
    <t>BIOLOGIA AMBIENTAL</t>
  </si>
  <si>
    <t>aux.biologia@unitropico.edu.co</t>
  </si>
  <si>
    <t>gustavoachaparro@unitropico.edu.co</t>
  </si>
  <si>
    <t>R28</t>
  </si>
  <si>
    <t>CHAVERRA HENAO MARIA PATRICIA</t>
  </si>
  <si>
    <t>OFICINA DE RELACIONES Y COOPERACIÓN INTERNACIONAL</t>
  </si>
  <si>
    <t>aux.relacionescooperacioninternacional@unitropico.edu.co</t>
  </si>
  <si>
    <t>mariapchaverra@unitropico.edu.co</t>
  </si>
  <si>
    <t>R29</t>
  </si>
  <si>
    <t>CORREA DARAPO MARIA ANGELICA</t>
  </si>
  <si>
    <t>FACULTAD DE CIENCIAS ECONOMICAS Y ADMINISTRATIVAS - CONTADURIA PUBLICA</t>
  </si>
  <si>
    <t>aux.contaduriapublica@unitropico.edu.co</t>
  </si>
  <si>
    <t>mariaacorrea@unitropico.edu.co</t>
  </si>
  <si>
    <t>R30</t>
  </si>
  <si>
    <t>CORREDOR CRUZ BELCY ZORINDA</t>
  </si>
  <si>
    <t>AUXILIAR AREA SALUD</t>
  </si>
  <si>
    <t>DISPENSARIO MEDICO</t>
  </si>
  <si>
    <t>enfermeria@unitropico.edu.co</t>
  </si>
  <si>
    <t>belcyzcorredor@unitropico.edu.co</t>
  </si>
  <si>
    <t>R31</t>
  </si>
  <si>
    <t>CRIOLLO FONSECA CARLOS ANDRÉS</t>
  </si>
  <si>
    <t>OFICINA ASESORA DE PRENSA, COMUNICACIONES Y MERCADEO</t>
  </si>
  <si>
    <t>pu.comunicaciones@unitropico.edu.co</t>
  </si>
  <si>
    <t>carloscfonseca@unitropico.edu.co</t>
  </si>
  <si>
    <t>R32</t>
  </si>
  <si>
    <t>CRUZ HOLGUIN OSCAR MAURICIO</t>
  </si>
  <si>
    <t>VICERRECTOR DE PROYECCIÓN SOCIAL</t>
  </si>
  <si>
    <t>viceproyeccion@unitropico.edu.co</t>
  </si>
  <si>
    <t>oscarcholguin@unitropico.edu.co</t>
  </si>
  <si>
    <t>R33</t>
  </si>
  <si>
    <t>CUEVAS SERRANO FLOR ANGELA</t>
  </si>
  <si>
    <t>JEFE DE OFICINA DE ATENCIÓN AL USUARIO</t>
  </si>
  <si>
    <t>OFICINA DE ATENCIÓN AL CIUDADANO</t>
  </si>
  <si>
    <t>atencionalciudadano@unitropico.edu.co</t>
  </si>
  <si>
    <t>karenfonseca@unitropico.edu.co</t>
  </si>
  <si>
    <t>R34</t>
  </si>
  <si>
    <t>DUEÑAS CUBIDES AMANDA</t>
  </si>
  <si>
    <t>JEFE OFICINA ASESORA DE PLANEACIÓN</t>
  </si>
  <si>
    <t>planeacion@unitropico.edu.co</t>
  </si>
  <si>
    <t>amandaduenasc@unitropico.edu.co</t>
  </si>
  <si>
    <t>R35</t>
  </si>
  <si>
    <t>ESCOBAR AVILA YEBCENITH</t>
  </si>
  <si>
    <t>SECRETARIA EJECUTIVA</t>
  </si>
  <si>
    <t>RECTORÍA</t>
  </si>
  <si>
    <t>secrerectoria@unitropico.edu.co</t>
  </si>
  <si>
    <t>yebcenitheavila@unitropico.edu.co</t>
  </si>
  <si>
    <t>R36</t>
  </si>
  <si>
    <t>FONSECA ROSAS KAREN LISSETH</t>
  </si>
  <si>
    <t>JEFE OFICINA CONTROL INTERNO Y GESTIÓN</t>
  </si>
  <si>
    <t>OFICINA DE CONTROL INTERNO Y DE GESTIÓN</t>
  </si>
  <si>
    <t>controlinternogestion@unitropico.edu.co</t>
  </si>
  <si>
    <t>R37</t>
  </si>
  <si>
    <t>FORERO ESTEVEZ MIGUEL</t>
  </si>
  <si>
    <t>FACULTAD DE INGENERIAS - INGENIERIA CIVIL</t>
  </si>
  <si>
    <t>aux.ingenieriacivil@unitropico.edu.co</t>
  </si>
  <si>
    <t>miguelforero@unitropico.edu.co</t>
  </si>
  <si>
    <t>R38</t>
  </si>
  <si>
    <t>FRANCO NAYDUYIBED</t>
  </si>
  <si>
    <t>VICERRECTORIA ACADEMICA</t>
  </si>
  <si>
    <t>aux.academica@unitropico.edu.co</t>
  </si>
  <si>
    <t>nayduyibedfranco@unitropico.edu.co</t>
  </si>
  <si>
    <t>R39</t>
  </si>
  <si>
    <t>GALVIS MORALES ANDREA BIBIANA</t>
  </si>
  <si>
    <t>aux.controlinternodisciplinario@unitropico.edu.co</t>
  </si>
  <si>
    <t>andreabgalvis@unitropico.edu.co</t>
  </si>
  <si>
    <t>R40</t>
  </si>
  <si>
    <t>GARCIA GOMEZ JAVIER ANDRES</t>
  </si>
  <si>
    <t>SUBDIRECTOR DE INFRAESTRUCTURA Y RECURSOS  FISICOS</t>
  </si>
  <si>
    <t>recursosfisicos@unitropico.edu.co</t>
  </si>
  <si>
    <t>javiergarciag@unitropico.edu.co</t>
  </si>
  <si>
    <t>R41</t>
  </si>
  <si>
    <t xml:space="preserve">GARCIA GRANADOS YUSNEY </t>
  </si>
  <si>
    <t>OFICINA DE TALENTO HUMANO</t>
  </si>
  <si>
    <t>ta.talentohumano@unitropico.edu.co</t>
  </si>
  <si>
    <t>yusneygarciag@unitropico.edu.co</t>
  </si>
  <si>
    <t>R42</t>
  </si>
  <si>
    <t>GARCIA RODRIGUEZ HEIDY YULIANA</t>
  </si>
  <si>
    <t>heidygarcia@unitropico.edu.co</t>
  </si>
  <si>
    <t>R43</t>
  </si>
  <si>
    <t>GARCIA VILLAMARIN NICOLAS SANTIAGO</t>
  </si>
  <si>
    <t>aux1.clinicaveterinaria@unitropico.edu.co</t>
  </si>
  <si>
    <t>nicolasgvillamarin@unitropico.edu.co</t>
  </si>
  <si>
    <t>R44</t>
  </si>
  <si>
    <t>GODOY GUTIERREZ MILLER GIOBERTI</t>
  </si>
  <si>
    <t>DIVISION DE AUTOEVALUACIÓN Y ACREDITACIÓN</t>
  </si>
  <si>
    <t>pu.autoevaluacion@unitropico.edu.co</t>
  </si>
  <si>
    <t>millerggodoy@unitropico.edu.co</t>
  </si>
  <si>
    <t>R45</t>
  </si>
  <si>
    <t>GOMEZ CASTRO GASTON ROBERTO</t>
  </si>
  <si>
    <t>clinicaveterinaria@unitropico.edu.co</t>
  </si>
  <si>
    <t>gastongomez@unitropico.edu.co</t>
  </si>
  <si>
    <t>R46</t>
  </si>
  <si>
    <t>GONZÁLEZ AYA DIANA MARCELA</t>
  </si>
  <si>
    <t>TESORERO GENERAL</t>
  </si>
  <si>
    <t>TESORERIA</t>
  </si>
  <si>
    <t>tesoreria@unitropico.edu.co</t>
  </si>
  <si>
    <t>dianagaya@unitropico.edu.co</t>
  </si>
  <si>
    <t>R47</t>
  </si>
  <si>
    <t>GONZALEZ FERNANDEZ BETTY MARCELA</t>
  </si>
  <si>
    <t>ceiremanso@unitropico.edu.co</t>
  </si>
  <si>
    <t>bettygonzalez@unitropico.edu.co</t>
  </si>
  <si>
    <t>R48</t>
  </si>
  <si>
    <t>GONZALEZ VARGAS IRAIDA MARIA</t>
  </si>
  <si>
    <t>FACULTAD DE INGENIERIAS - INGENIERIA AGROINDUSTRIAL</t>
  </si>
  <si>
    <t>aux.ingagroindustrial@unitropico.edu.co</t>
  </si>
  <si>
    <t>iraidamgonzalez@unitropico.edu.co</t>
  </si>
  <si>
    <t>R49</t>
  </si>
  <si>
    <t>GUANARE EREGUA VIKYS EMILSE</t>
  </si>
  <si>
    <t>ta.tesoreria@unitropico.edu.co</t>
  </si>
  <si>
    <t>vikisgeregua@unitropico.edu.co</t>
  </si>
  <si>
    <t>R50</t>
  </si>
  <si>
    <t>GUARIN AGUILAR YURY STEFANY</t>
  </si>
  <si>
    <t>aux.general@unitropico.edu.co</t>
  </si>
  <si>
    <t>yurysguarin@unitropico.edu.co</t>
  </si>
  <si>
    <t>R51</t>
  </si>
  <si>
    <t>GUATAVA FERNANDEZ SINDY LORENA</t>
  </si>
  <si>
    <t>VICERRECTORA DE INVESTIGACIÓN</t>
  </si>
  <si>
    <t>VICERRECTORIA DE INVESTIGACIONES</t>
  </si>
  <si>
    <t>viceinvestigacion@unitropico.edu.co</t>
  </si>
  <si>
    <t>sindyguatava@unitropico.edu.co</t>
  </si>
  <si>
    <t>R52</t>
  </si>
  <si>
    <t>GUERRERO CIPRIAN ADRIANA CONSTANZA</t>
  </si>
  <si>
    <t>TECNICO ADMINISTRATIVO</t>
  </si>
  <si>
    <t>OFICINA DE ADMISIONES Y REGISTRO</t>
  </si>
  <si>
    <t>ta.admisiones@unitropico.edu.co</t>
  </si>
  <si>
    <t>adrianacguerrero@unitropico.edu.co</t>
  </si>
  <si>
    <t>R53</t>
  </si>
  <si>
    <t>GUEVARA PEÑA MARIA ALEJANDRA DEL MAR</t>
  </si>
  <si>
    <t xml:space="preserve">DIVISION DE  AUTOEVALUACION Y ACREDITACION </t>
  </si>
  <si>
    <t>autoevaluacionyacreditacion@unitropico.edu.co</t>
  </si>
  <si>
    <t>mariaguevara@unitropico.edu.co</t>
  </si>
  <si>
    <t>R54</t>
  </si>
  <si>
    <t>GUTIERREZ CAMARGO DURLEY</t>
  </si>
  <si>
    <t>profesionalcontratacion@unitropico.edu.co</t>
  </si>
  <si>
    <t>durleygcamargo@unitropico.edu.co</t>
  </si>
  <si>
    <t>R55</t>
  </si>
  <si>
    <t>GUTIERREZ PEÑA DORA LUBETH</t>
  </si>
  <si>
    <t>SUBDIRECTOR DE FOMENTO DE LA INVESTIGACIÓN</t>
  </si>
  <si>
    <t>VICERRECTORIA DE INVESTIGACION</t>
  </si>
  <si>
    <t>subdireccionfomentoinvestigacion@unitropico.edu.co</t>
  </si>
  <si>
    <t>doragutierrez@unitropico.edu.co</t>
  </si>
  <si>
    <t>R56</t>
  </si>
  <si>
    <t>GUTIERREZ PRECIADO KELY YOHANA</t>
  </si>
  <si>
    <t>internacionalizacion@unitropico.edu.co</t>
  </si>
  <si>
    <t>kelygpreciado@unitropico.edu.co</t>
  </si>
  <si>
    <t>R57</t>
  </si>
  <si>
    <t>HIGUERA CARRILLO ALEXI</t>
  </si>
  <si>
    <t>CONDUCTOR</t>
  </si>
  <si>
    <t>conductorbus@unitropico.edu.co</t>
  </si>
  <si>
    <t>alexihcarrillo@unitropico.edu.co</t>
  </si>
  <si>
    <t>R58</t>
  </si>
  <si>
    <t>IGLESIAS RANGEL GINNA LIZCETH</t>
  </si>
  <si>
    <t>aux.atencionalciudadano@unitropico.edu.co</t>
  </si>
  <si>
    <t>ginnairangel@unitropico.edu.co</t>
  </si>
  <si>
    <t>R59</t>
  </si>
  <si>
    <t>JIMENEZ ADAN JONATHAN</t>
  </si>
  <si>
    <t>pu.viceacademica@unitropico.edu.co</t>
  </si>
  <si>
    <t>jonathanjimeneza@unitropico.edu.co</t>
  </si>
  <si>
    <t>R60</t>
  </si>
  <si>
    <t>JIMÉNEZ SILVA ORIOL</t>
  </si>
  <si>
    <t>RECTOR</t>
  </si>
  <si>
    <t>rectoria@unitropico.edu.co</t>
  </si>
  <si>
    <t>oriol.jimenez@unitropico.edu.co</t>
  </si>
  <si>
    <t>R61</t>
  </si>
  <si>
    <t>LAROTTA MARIÑO LILIAN GABRIELA</t>
  </si>
  <si>
    <t>ta.comunicaciones@unitropico.edu.co</t>
  </si>
  <si>
    <t>lilianglarotta@unitropico.edu.co</t>
  </si>
  <si>
    <t>R62</t>
  </si>
  <si>
    <t>LEGUIZAMON SILVA ANCIZAR</t>
  </si>
  <si>
    <t>DIVISIÓN DE EGRESADOS - VICERRECTORIA DE PROYECCION SOCIAL</t>
  </si>
  <si>
    <t>egresados@unitropico.edu.co</t>
  </si>
  <si>
    <t>ancizarleguizamons@unitropico.edu.co</t>
  </si>
  <si>
    <t>R63</t>
  </si>
  <si>
    <t>LEMUS RODRIGUEZ NURY STELLA</t>
  </si>
  <si>
    <t>pu.talentohumano2@unitropico.edu.co</t>
  </si>
  <si>
    <t>nuryslemus@unitropico.edu.co</t>
  </si>
  <si>
    <t>R64</t>
  </si>
  <si>
    <t xml:space="preserve">LONDOÑO CARDENAS YENNY PAOLA </t>
  </si>
  <si>
    <t>pu.talentohumano3@unitropico.edu.co</t>
  </si>
  <si>
    <t>yennylondono@unitropico.edu.co</t>
  </si>
  <si>
    <t>R65</t>
  </si>
  <si>
    <t>LÓPEZ BARRERA FANNY YANETH</t>
  </si>
  <si>
    <t>asesorjuridica@unitropico.edu.co - contratacion@unitropico.edu.co</t>
  </si>
  <si>
    <t>fannylbarrera@unitropico.edu.co</t>
  </si>
  <si>
    <t>R66</t>
  </si>
  <si>
    <t>LOPEZ RIOS MARLEY</t>
  </si>
  <si>
    <t>DIVISIÓN DE PRESUPUESTO</t>
  </si>
  <si>
    <t>profesionalpresupuesto@unitropico.edu.co</t>
  </si>
  <si>
    <t>marleylrios@unitropico.edu.co</t>
  </si>
  <si>
    <t>R67</t>
  </si>
  <si>
    <t>MANRIQUE VEGA CLAUDIA PATRICIA</t>
  </si>
  <si>
    <t>VICERRECTOR ADMINISTRATIVO Y FINANCIERO</t>
  </si>
  <si>
    <t>VICERRECTORIA ADMINISTRATIVA Y FINANCIERA</t>
  </si>
  <si>
    <t>vicefinanciera@unitropico.edu.co</t>
  </si>
  <si>
    <t>claudiamvega@unitropico.edu.co</t>
  </si>
  <si>
    <t>R68</t>
  </si>
  <si>
    <t>MARIÑO PARRA LINA MARIA</t>
  </si>
  <si>
    <t>aux.cigestion@unitropico.edu.co</t>
  </si>
  <si>
    <t>linamarino@unitropico.edu.co</t>
  </si>
  <si>
    <t>R69</t>
  </si>
  <si>
    <t>MARTINEZ MONTAÑO AMANDA</t>
  </si>
  <si>
    <t>DIVISIÓN DE EMPRENDIMIENTO</t>
  </si>
  <si>
    <t>emprendimiento@unitropico.edu.co</t>
  </si>
  <si>
    <t>amandamartinezm@unitropico.edu.co</t>
  </si>
  <si>
    <t>R70</t>
  </si>
  <si>
    <t>MESA EDGAR IVAN</t>
  </si>
  <si>
    <t>pu.talentohumano1@unitropico.edu.co</t>
  </si>
  <si>
    <t>edgarmesa@unitropico.edu.co</t>
  </si>
  <si>
    <t>R71</t>
  </si>
  <si>
    <t>MESA JIMENEZ JULIETH PAOLA</t>
  </si>
  <si>
    <t>ta.biblioteca@unitropico.edu.co</t>
  </si>
  <si>
    <t>juliethpmesa@unitropico.edu.co</t>
  </si>
  <si>
    <t>R72</t>
  </si>
  <si>
    <t>MICHEL PINZON VALERIE STHEFANIA</t>
  </si>
  <si>
    <t>FACULTAD DE CIENCIAS - ESPECIALIZACIÓN EN EVALUACIÓN Y GESTIÓN AMBIENTAL</t>
  </si>
  <si>
    <t>aux.especializacionega@unitropico.edu.co</t>
  </si>
  <si>
    <t>valeriesmichel@unitropico.edu.co</t>
  </si>
  <si>
    <t>R73</t>
  </si>
  <si>
    <t>MOLANO ROJAS JENNY ROCIO</t>
  </si>
  <si>
    <t>TECNICO OPERATIVO</t>
  </si>
  <si>
    <t>to.recursosfisicos@unitropico.edu.co</t>
  </si>
  <si>
    <t>jennyrmolano@unitropico.edu.co</t>
  </si>
  <si>
    <t>R74</t>
  </si>
  <si>
    <t>MOLINA OYOLA CATERINE</t>
  </si>
  <si>
    <t>TÉCNICO OPERATIVO</t>
  </si>
  <si>
    <t>to.clinicaveterinaria@unitropico.edu.co</t>
  </si>
  <si>
    <t>Caterinemoyola@unitropico.edu.co</t>
  </si>
  <si>
    <t>R75</t>
  </si>
  <si>
    <t>MONROY RIOS ANGEL OMAR</t>
  </si>
  <si>
    <t>JEFE DE OFICINA DE PROYECTOS ESPECIALES Y RELACIONES INTERINSTITUCIONALES</t>
  </si>
  <si>
    <t>OFICINA DE PROYECTOS ESPECIALES Y RELACIONES INTERINSTITUCIONALES</t>
  </si>
  <si>
    <t>proyectosespeciales@unitropico.edu.co</t>
  </si>
  <si>
    <t>angelmonroy@unitropico.edu.co</t>
  </si>
  <si>
    <t>R76</t>
  </si>
  <si>
    <t>MONTENEGRO CASTAÑEDA ELIANA</t>
  </si>
  <si>
    <t>FACULTAD DE ARTES- ARQUITECTURA</t>
  </si>
  <si>
    <t>aux.arquitectura@unitropico.edu.co</t>
  </si>
  <si>
    <t>elianamontenegroc@unitropico.edu.co</t>
  </si>
  <si>
    <t>R77</t>
  </si>
  <si>
    <t>MORALES PARADA DIDIER JULIAN</t>
  </si>
  <si>
    <t>tecnicosistemas@unitropico.edu.co</t>
  </si>
  <si>
    <t>didierjmorales@unitropico.edu.co</t>
  </si>
  <si>
    <t>R78</t>
  </si>
  <si>
    <t xml:space="preserve">MORENO JIMENEZ EMILY BEATRIZ </t>
  </si>
  <si>
    <t>pu.secretariageneral@unitropico.edu.co</t>
  </si>
  <si>
    <t>emilymjimenez@unitropico.edu.co</t>
  </si>
  <si>
    <t>R79</t>
  </si>
  <si>
    <t>NAVARRO SÁNCHEZ MAUREN CARLINA</t>
  </si>
  <si>
    <t>JEFE DE OFICINA DE ASEGURAMIENTO DE LA CALIDAD Y ACREDITACIÓN</t>
  </si>
  <si>
    <t>siac@unitropico.edu.co</t>
  </si>
  <si>
    <t>maurencnavarro@unitropico.edu.co</t>
  </si>
  <si>
    <t>R80</t>
  </si>
  <si>
    <t xml:space="preserve">NIÑO LOZANO ALBERTO </t>
  </si>
  <si>
    <t>aux.atencionalciudadano1@unitropico.edu.co</t>
  </si>
  <si>
    <t>albertonino@unitropico.edu.co</t>
  </si>
  <si>
    <t>R81</t>
  </si>
  <si>
    <t>NOCUA NEME DUVAL ANDRES</t>
  </si>
  <si>
    <t>aux.comunicaciones@unitropico.edu.co</t>
  </si>
  <si>
    <t>duvalnneme@unitropico.edu.co</t>
  </si>
  <si>
    <t>R82</t>
  </si>
  <si>
    <t>NOCUA NEME LILIA ANDREA</t>
  </si>
  <si>
    <t>JEFE DE TALENTO HUMANO</t>
  </si>
  <si>
    <t>JEFE OFICINA DE TALENTO HUMANO</t>
  </si>
  <si>
    <t>talentohumano@unitropico.edu.co</t>
  </si>
  <si>
    <t>andreanocuan@unitropico.edu.co</t>
  </si>
  <si>
    <t>R83</t>
  </si>
  <si>
    <t>PAEZ MESA CYNTHIA MILENA</t>
  </si>
  <si>
    <t>TÉCNICO AREA SALUD</t>
  </si>
  <si>
    <t>cynthiapaez@unitropico.edu.co</t>
  </si>
  <si>
    <t>R84</t>
  </si>
  <si>
    <t>PARRA CASTAÑEDA LUIS ANTONIO</t>
  </si>
  <si>
    <t>deptsistemas@unitropico.edu.co</t>
  </si>
  <si>
    <t>luisparra@unitropico.edu.co</t>
  </si>
  <si>
    <t>R85</t>
  </si>
  <si>
    <t>PATIÑO CASTELLANOS ZULMA YINED</t>
  </si>
  <si>
    <t>VICERRECTORÍA ACADEMICA</t>
  </si>
  <si>
    <t>ta.viceacademica@unitropico.edu.co</t>
  </si>
  <si>
    <t>zulmaypatino@unitropico.edu.co</t>
  </si>
  <si>
    <t>R86</t>
  </si>
  <si>
    <t>PERALTA SANABRIA DIEGO ALFREDO</t>
  </si>
  <si>
    <t>ta.diseno@unitropico.edu.co</t>
  </si>
  <si>
    <t>diegoaperalta@unitropico.edu.co</t>
  </si>
  <si>
    <t>R87</t>
  </si>
  <si>
    <t>PEREZ ACHAGUA LUZ MAYERLY</t>
  </si>
  <si>
    <t>JEFE OFICINA GESTIÓN DOCUMENTAL</t>
  </si>
  <si>
    <t>OFICINA GESTION DOCUMENTAL</t>
  </si>
  <si>
    <t>GESTIONDOCUMENTAL@unitropico.edu.co</t>
  </si>
  <si>
    <t>luzperez@unitropico.edu.co</t>
  </si>
  <si>
    <t>R88</t>
  </si>
  <si>
    <t>PEREZ DUEÑAS MAYRA ALEJANDRA</t>
  </si>
  <si>
    <t>proyectos@unitropico.edu.co</t>
  </si>
  <si>
    <t>alejandraperezd@unitropico.edu.co</t>
  </si>
  <si>
    <t>R89</t>
  </si>
  <si>
    <t xml:space="preserve">PEREZ RODRIGUEZ GLEDY YACELY </t>
  </si>
  <si>
    <t>DIVISION DE SEGURIDAD Y SALUD EN EL TRABAJO</t>
  </si>
  <si>
    <t>seguridadysalud@unitropico.edu.co</t>
  </si>
  <si>
    <t>gledyrodriguez@unitropico.edu.co</t>
  </si>
  <si>
    <t>R90</t>
  </si>
  <si>
    <t>PINZON OVALLE MISEL LIYER</t>
  </si>
  <si>
    <t>consultoriojuridico@unitropico.edu.co</t>
  </si>
  <si>
    <t>miselpinzon@unitropico.edu.co</t>
  </si>
  <si>
    <t>R91</t>
  </si>
  <si>
    <t>PLAZAS MOLINA DANIELA </t>
  </si>
  <si>
    <t>DIVISIÓN DE ARCHIVO</t>
  </si>
  <si>
    <t>aux.gestiondocumental@unitropico.edu.co</t>
  </si>
  <si>
    <t>danielaplazas@unitropico.edu.co</t>
  </si>
  <si>
    <t>R92</t>
  </si>
  <si>
    <t>QUIZENA QUIROGA JUAN ALEXANDER</t>
  </si>
  <si>
    <t>aux.culturaydeporte@unitropico.edu.co</t>
  </si>
  <si>
    <t>juanaquizena@unitropico.edu.co</t>
  </si>
  <si>
    <t>R93</t>
  </si>
  <si>
    <t>RAMIREZ CARDENAS ROSAURA ANDREA</t>
  </si>
  <si>
    <t>aux.talento@unitropico.edu.co</t>
  </si>
  <si>
    <t>rosauraramirezc@unitropico.edu.co</t>
  </si>
  <si>
    <t>R94</t>
  </si>
  <si>
    <t>RAMIREZ HERNANDEZ MAGDA CECILIA</t>
  </si>
  <si>
    <t>LIDER DE LABORATORIOS</t>
  </si>
  <si>
    <t>laboratoriounitropico@unitropico.edu.co</t>
  </si>
  <si>
    <t>magdarhernandez@unitropico.edu.co</t>
  </si>
  <si>
    <t>R95</t>
  </si>
  <si>
    <t>RANGEL PEREZ LINA MARIA</t>
  </si>
  <si>
    <t>circulacionyprestamo@unitropico.edu.co</t>
  </si>
  <si>
    <t>linarangel@unitropico.edu.co</t>
  </si>
  <si>
    <t>R96</t>
  </si>
  <si>
    <t>RANGEL YULIANA ANDREA</t>
  </si>
  <si>
    <t>FACULTAD DE CIENCIAS ECONOMICAS Y ADMINISTRATIVAS - ADMINISTRACIÓN Y NEGOCIOS INTERNACIONALES</t>
  </si>
  <si>
    <t>aux.ani@unitropico.edu.co</t>
  </si>
  <si>
    <t>yulianaarangel@unitropico.edu.co</t>
  </si>
  <si>
    <t>R97</t>
  </si>
  <si>
    <t xml:space="preserve">REMACHE PEREZ JUDITH BEATRIZ </t>
  </si>
  <si>
    <t>sig@unitropico.edu.co</t>
  </si>
  <si>
    <t>judithremache@unitropico.edu.co</t>
  </si>
  <si>
    <t>R98</t>
  </si>
  <si>
    <t xml:space="preserve">RINCON CAMPOS PEDRO NEL </t>
  </si>
  <si>
    <t>OPERARIO</t>
  </si>
  <si>
    <t>operario.recursosfisicos@unitropico.edu.co</t>
  </si>
  <si>
    <t>pedrorcampos@unitropico.edu.co</t>
  </si>
  <si>
    <t>R99</t>
  </si>
  <si>
    <t>RINCON DIAZ ILCE MILENA</t>
  </si>
  <si>
    <t>pu.controlinternogestion@unitropico.edu.co</t>
  </si>
  <si>
    <t>milena.rincon@unitropico.edu.co</t>
  </si>
  <si>
    <t>R100</t>
  </si>
  <si>
    <t xml:space="preserve">RINCÓN ORDUZ CELMIRA </t>
  </si>
  <si>
    <t>aux.vicefinanciera@unitropico.edu.co</t>
  </si>
  <si>
    <t>celmirarincono@unitropico.edu.co</t>
  </si>
  <si>
    <t>R101</t>
  </si>
  <si>
    <t>RODIGUEZ BOCANEGRA BRANDON</t>
  </si>
  <si>
    <t>OFICINA DE CONTROL INTERNO DISCIPLINARIO DISCIPLINARIO</t>
  </si>
  <si>
    <t>pu.talentohumano@unitropico.edu.co</t>
  </si>
  <si>
    <t>brandonrodriguez@unitropico.edu.co</t>
  </si>
  <si>
    <t>R102</t>
  </si>
  <si>
    <t>RODRIGUEZ LOZANO LUZ MONICA</t>
  </si>
  <si>
    <t>FACULTAD DE INGENIERIAS - PETROLEOS</t>
  </si>
  <si>
    <t>aux.ingpetroleos@unitropico.edu.co</t>
  </si>
  <si>
    <t>luzrlozano@unitropico.edu.co</t>
  </si>
  <si>
    <t>R103</t>
  </si>
  <si>
    <t>ROJAS BOHÓRQUEZ RORY EDERLEY</t>
  </si>
  <si>
    <t>aux.investigacion@unitropico.edu.co</t>
  </si>
  <si>
    <t>roryerojas@unitropico.edu.co</t>
  </si>
  <si>
    <t>R104</t>
  </si>
  <si>
    <t>ROJAS DÍAZ MAGDA ALEJANDRA</t>
  </si>
  <si>
    <t>presupuesto@unitropico.edu.co</t>
  </si>
  <si>
    <t>magdardiaz@unitropico.edu.co</t>
  </si>
  <si>
    <t>R105</t>
  </si>
  <si>
    <t>ROJAS HEREDIA EDITH KARINE</t>
  </si>
  <si>
    <t>ta.contabilidad@unitropico.edu.co</t>
  </si>
  <si>
    <t>karinerojas@unitropico.edu.co</t>
  </si>
  <si>
    <t>R106</t>
  </si>
  <si>
    <t>RUIZ AMADOR EDISON FABIAN</t>
  </si>
  <si>
    <t>ADMISIONES Y REGISTRO</t>
  </si>
  <si>
    <t>aux.registro@unitropico.edu.co</t>
  </si>
  <si>
    <t>edisonruiz@unitropico.edu.co</t>
  </si>
  <si>
    <t>R107</t>
  </si>
  <si>
    <t>SALGUERO BELLUZ JOSE ALFREDO</t>
  </si>
  <si>
    <t>ope.sistemas@unitropico.edu.co</t>
  </si>
  <si>
    <t>josesalguero@unitropico.edu.co</t>
  </si>
  <si>
    <t>R108</t>
  </si>
  <si>
    <t>SANABRIA VEGA NEFFER DAVID</t>
  </si>
  <si>
    <t>admisiones@unitropico.edu.co</t>
  </si>
  <si>
    <t>nefferdavidsanabria@unitropico.edu.co</t>
  </si>
  <si>
    <t>R109</t>
  </si>
  <si>
    <t>SÁNCHEZ CATIMAY ELKIN SANTIAGO</t>
  </si>
  <si>
    <t>ta.admisionesyregistro@unitropico.edu.co</t>
  </si>
  <si>
    <t>elkinssanchez@unitropico.edu.co</t>
  </si>
  <si>
    <t>R110</t>
  </si>
  <si>
    <t>bienestar@unitropico.edu.co</t>
  </si>
  <si>
    <t>R111</t>
  </si>
  <si>
    <t>SIABATO MORENO EDWIN ALDRUMAR</t>
  </si>
  <si>
    <t>JEFE DE OFICINA ADMISIONES Y REGISTRO</t>
  </si>
  <si>
    <t>ADMISIONESYREGISTRO@UNITROPICO.EDU.CO</t>
  </si>
  <si>
    <t>edwinsmoreno@unitropico.edu.co</t>
  </si>
  <si>
    <t>R112</t>
  </si>
  <si>
    <t>SIERRA DIAZ LAURA TATIANA</t>
  </si>
  <si>
    <t>ori.cooperacion@unitropico.edu.co</t>
  </si>
  <si>
    <t>tatianasdiaz@unitropico.edu.co</t>
  </si>
  <si>
    <t>R113</t>
  </si>
  <si>
    <t>SILVA VANEGAS JEISON HERNANDO</t>
  </si>
  <si>
    <t>ta.contable@unitropico.edu.co</t>
  </si>
  <si>
    <t>jeisonhsilva@unitropico.edu.co</t>
  </si>
  <si>
    <t>R114</t>
  </si>
  <si>
    <t>SOLANO BALAGUERA PAULA ANDREA</t>
  </si>
  <si>
    <t>ASESOR DE RECTORIA</t>
  </si>
  <si>
    <t>asesorrectoria1@unitropico.edu.co</t>
  </si>
  <si>
    <t>paulasbalaguera@unitropico.edu.co</t>
  </si>
  <si>
    <t>R115</t>
  </si>
  <si>
    <t>SOSA ORTEGA ANGIE PAOLA</t>
  </si>
  <si>
    <t>DIVISIONES DE VICERRECTORIA DE PROYECCIÓN SOCIAL</t>
  </si>
  <si>
    <t>aux.proyeccionsocial@unitropico.edu.co</t>
  </si>
  <si>
    <t>angiesortega@unitropico.edu.co</t>
  </si>
  <si>
    <t>R116</t>
  </si>
  <si>
    <t>SOTO ENCINOSA YULI ALEJANDRA</t>
  </si>
  <si>
    <t>FACULTAD DE CIENCIAS ECONOMICAS Y ADMINISTRATIVAS - ADMINISTRACIÓN DE EMPRESAS</t>
  </si>
  <si>
    <t>aux.admempresas@unitropico.edu.co</t>
  </si>
  <si>
    <t>yuliasoto@unitropico.edu.co</t>
  </si>
  <si>
    <t>R117</t>
  </si>
  <si>
    <t>SUATERNA PEREZ SILVIA PATRICIA</t>
  </si>
  <si>
    <t>asis.juridica@unitropico.edu.co</t>
  </si>
  <si>
    <t>silviasuaterna@unitropico.edu.co</t>
  </si>
  <si>
    <t>R118</t>
  </si>
  <si>
    <t>TORRES HERNANDEZ EDNA MARCELA</t>
  </si>
  <si>
    <t>ta.seguridadysalud@unitropico.edu.co</t>
  </si>
  <si>
    <t>ednamtorres@unitropico.edu.co</t>
  </si>
  <si>
    <t>R119</t>
  </si>
  <si>
    <t xml:space="preserve">URBANO BURGOS YOBAN </t>
  </si>
  <si>
    <t>ta.infraestructurarecursosfisicos@unitropico.edu.co</t>
  </si>
  <si>
    <t>yobanuburgos@unitropico.edu.co</t>
  </si>
  <si>
    <t>R120</t>
  </si>
  <si>
    <t>VALERO REYES AUREY</t>
  </si>
  <si>
    <t>FACULTAD DE DERECHO Y CIENCIAS POLITICAS- DERECHO</t>
  </si>
  <si>
    <t>aux.derecho@unitropico.edu.co</t>
  </si>
  <si>
    <t>aureyvreyes@unitropico.edu.co</t>
  </si>
  <si>
    <t>R121</t>
  </si>
  <si>
    <t>VANEGAS MORENO HAROL HERNANDO</t>
  </si>
  <si>
    <t>cartera@unitropico.edu.co</t>
  </si>
  <si>
    <t>harolvmoreno@unitropico.edu.co</t>
  </si>
  <si>
    <t>R122</t>
  </si>
  <si>
    <t>VELA BARRERA ERIKA DEL PILAR</t>
  </si>
  <si>
    <t>asis.registro@unitropico.edu.co</t>
  </si>
  <si>
    <t>erikapvela@unitropico.edu.co</t>
  </si>
  <si>
    <t>R123</t>
  </si>
  <si>
    <t>ZAMBRANO JIMENEZ JUAN SEBASTIAN</t>
  </si>
  <si>
    <t>aux.planeacion@unitropico.edu.co</t>
  </si>
  <si>
    <t>juanzambrano@unitropico.edu.co</t>
  </si>
  <si>
    <t>R124</t>
  </si>
  <si>
    <t>R125</t>
  </si>
  <si>
    <t xml:space="preserve">AVILA GONZALEZ LUZ ALEJANDRA </t>
  </si>
  <si>
    <t>LIDER Y/O COORDINADOR DEL PROGRAMA DE ADMINISTRACIÓN DE EMPRESAS</t>
  </si>
  <si>
    <t>administracionempresas@unitropico.edu.co</t>
  </si>
  <si>
    <t>luzavila@unitropico.edu.co</t>
  </si>
  <si>
    <t>R126</t>
  </si>
  <si>
    <t>BARRAGAN CALDERON ALIX TATIANA</t>
  </si>
  <si>
    <t>LIDER Y/O COORDINADOR DEL PROGRAMA DE ESPECIALIZACION Y GESTION AMBIENTAL</t>
  </si>
  <si>
    <t>eambiental@unitropico.edu.co</t>
  </si>
  <si>
    <t>alixbarragan@unitropico.edu.co</t>
  </si>
  <si>
    <t>R127</t>
  </si>
  <si>
    <t>BARRERA CUTA DIANA EMILCE</t>
  </si>
  <si>
    <t>LIDER Y/O COORDINADOR DEL PROGRAMA DE CONTADURÌA PÚBLICA</t>
  </si>
  <si>
    <t>contaduria@unitropico.edu.co</t>
  </si>
  <si>
    <t>dianabarrera@unitropico.edu.co</t>
  </si>
  <si>
    <t>R128</t>
  </si>
  <si>
    <t xml:space="preserve">DIAZ BAQUERO JULIAN LEONARDO </t>
  </si>
  <si>
    <t>LIDER Y/O COORDINADOR PROGRAMA DE DERECHO</t>
  </si>
  <si>
    <t>derecho@unitropico.edu.co</t>
  </si>
  <si>
    <t>juliandiaz@unitropico.edu.co</t>
  </si>
  <si>
    <t>R129</t>
  </si>
  <si>
    <t>GARCIA VARGAS CARLOS ANDRES</t>
  </si>
  <si>
    <t>LIDER Y/O COORDINADOR DEL PROGRAMA DE ADMINISTRACIÓN Y NEGOCIOS INTERNACIONALES</t>
  </si>
  <si>
    <t>ani@unitropico.edu.co</t>
  </si>
  <si>
    <t>cagarciavargas@unitropico.edu.co</t>
  </si>
  <si>
    <t>R130</t>
  </si>
  <si>
    <t>OCHICA PLAZAS CLAUDIA PATRICIA</t>
  </si>
  <si>
    <t>LIDER Y/O COORDINADOR DEL PROGRAMA DE INGENIERIA DE SISTEMAS</t>
  </si>
  <si>
    <t>FACULTAD DE INGENIERIAS - INGENIERIA DE SISTEMAS</t>
  </si>
  <si>
    <t>ingsistemas@unitropico.edu.co</t>
  </si>
  <si>
    <t>claudiaochica@unitropico.edu.co</t>
  </si>
  <si>
    <t>R131</t>
  </si>
  <si>
    <t>PEÑA DIAZ ANUAR HERNAN</t>
  </si>
  <si>
    <t>DIRECTOR DE LA ESCUELA DE CIENCIAS HUMANAS</t>
  </si>
  <si>
    <t>ESCUELA DE CIENCIAS HUMANAS</t>
  </si>
  <si>
    <t>escuelacienciashumanas@unitropico.edu.co</t>
  </si>
  <si>
    <t>anuarpena@unitropico.edu.co</t>
  </si>
  <si>
    <t>R132</t>
  </si>
  <si>
    <t>PEREZ SANABRIA CAMILO ANDRES</t>
  </si>
  <si>
    <t>LIDER Y/O COORDINADOR DEL PROGRAMA DE INGENIERIA CIVIL</t>
  </si>
  <si>
    <t>FACULTAD DE INGENIERIAS - INGENIERIA CIVIL</t>
  </si>
  <si>
    <t>ingcivil@unitropico.edu.co</t>
  </si>
  <si>
    <t>camiloperez@unitropico.edu.co</t>
  </si>
  <si>
    <t>R133</t>
  </si>
  <si>
    <t>PINZON ROJAS JULIAN RICARDO</t>
  </si>
  <si>
    <t>LIDER Y/O COORDINADOR DEL PROGRAMA DE INGENIERIA DE PETROLEOS</t>
  </si>
  <si>
    <t>FACULTAD DE INGENIERIAS - INGENIERIA DE PETROLEOS</t>
  </si>
  <si>
    <t>ingpetroleos@unitropico.edu.co</t>
  </si>
  <si>
    <t>julianpinzon@unitropico.edu.co</t>
  </si>
  <si>
    <t>R134</t>
  </si>
  <si>
    <t xml:space="preserve">PITA NIÑO SANDRA YOLIMA </t>
  </si>
  <si>
    <t>LIDER DE DEPARTAMENTO DE CIENCIAS BÁSICAS TRANSVERSALES</t>
  </si>
  <si>
    <t>cienciasbasicas@unitropico.edu.co</t>
  </si>
  <si>
    <t>sandrapita@unitropico.edu.co</t>
  </si>
  <si>
    <t>R135</t>
  </si>
  <si>
    <t>SANDOVAL PARRA KAREN XIMENA</t>
  </si>
  <si>
    <t>LIDER Y/O COORDINADOR DEL PROGRAMA DE BIOLOGÌA AMBIENTAL</t>
  </si>
  <si>
    <t>FACULTAD DE CIENCIAS - BIOLOGIA AMBIENTAL</t>
  </si>
  <si>
    <t>biologia@unitropico.edu.co</t>
  </si>
  <si>
    <t>karensandoval@unitropico.edu.co</t>
  </si>
  <si>
    <t>R136</t>
  </si>
  <si>
    <t>AVILA SANABRIA ALIETH DEL ROCÍO</t>
  </si>
  <si>
    <t xml:space="preserve">PROFESOR PROVISIONAL EN COMISIÓN DE CARGO POR PERIODO FIJO DENOMINADO - VICERRECTOR ACADEMICO </t>
  </si>
  <si>
    <t>viceacademica@unitropico.edu.co</t>
  </si>
  <si>
    <t>aliethavila@unitropico.edu.co</t>
  </si>
  <si>
    <t>R137</t>
  </si>
  <si>
    <t>BARAHONA PICO YENNY ASTRID</t>
  </si>
  <si>
    <t>PROFESOR PROVISIONAL</t>
  </si>
  <si>
    <t>N/A</t>
  </si>
  <si>
    <t>jennybarahona@unitropico.edu.co</t>
  </si>
  <si>
    <t>R138</t>
  </si>
  <si>
    <t>CAMARGO MARTÍNEZ JOSE ALFREDO</t>
  </si>
  <si>
    <t>jcamargo@unitropico.edu.co</t>
  </si>
  <si>
    <t>R139</t>
  </si>
  <si>
    <t>CELY CABALLERO MARIA ODILA</t>
  </si>
  <si>
    <t>mariacely@unitropico.edu.co</t>
  </si>
  <si>
    <t>R140</t>
  </si>
  <si>
    <t>CHAPARRO MESA JORGE ENRIQUE</t>
  </si>
  <si>
    <t xml:space="preserve">PROFESOR PROVISIONAL </t>
  </si>
  <si>
    <t>jorgechaparro@unitropico.edu.co</t>
  </si>
  <si>
    <t>R141</t>
  </si>
  <si>
    <t>CHAPARRO PESCA JORGE ALBERTO</t>
  </si>
  <si>
    <t>chaparropesca@unitropico.edu.co</t>
  </si>
  <si>
    <t>R142</t>
  </si>
  <si>
    <t>CORREA HIGUERA LADY  JOHANA</t>
  </si>
  <si>
    <t>ladycorrea@unitropico.edu.co</t>
  </si>
  <si>
    <t>R143</t>
  </si>
  <si>
    <t>DIAZ TOVAR DAIRO</t>
  </si>
  <si>
    <t>PROFESOR PROVISIONAL - COMISIÓN DE ESTUDIOS</t>
  </si>
  <si>
    <t>dairodiaz@unitropico.edu.co</t>
  </si>
  <si>
    <t>R144</t>
  </si>
  <si>
    <t>GAMEZ PORRAS JUAN CAMILO</t>
  </si>
  <si>
    <t xml:space="preserve">PROFESOR PROVISIONAL-  DELEGACIÓN DE FUNCIONES DE JEFE DE OFICINA DE RELACIONES Y COOPERACIÓN INTERNACIONAL </t>
  </si>
  <si>
    <t>ESCUELA DE CIENCIAS DEL LENGUAJE</t>
  </si>
  <si>
    <t>ori@unitropico.edu.co</t>
  </si>
  <si>
    <t>juangamez@unitropico.edu.co</t>
  </si>
  <si>
    <t>R145</t>
  </si>
  <si>
    <t>HERNANDEZ NIÑO JAIRO RICARDO</t>
  </si>
  <si>
    <t>jairohernandez@unitropico.edu.co</t>
  </si>
  <si>
    <t>R146</t>
  </si>
  <si>
    <t>HINCAPIE LANDINEZ ALEXANDER</t>
  </si>
  <si>
    <t>alexanderhincapie@unitropico.edu.co</t>
  </si>
  <si>
    <t>R147</t>
  </si>
  <si>
    <t>MARQUEZ MEDINA ADRIANA</t>
  </si>
  <si>
    <t>PROFESOR PROVISIONAL  EN COMISIÓN DE CARGO POR PERIODO FIJO DENOMINADO - DIRECTORA DE LA ESCUELA DE CIENCIAS DEL LENGUAJE</t>
  </si>
  <si>
    <t>Esc.cienciaslenguaje@unitropico.edu.co</t>
  </si>
  <si>
    <t>adrianamarquez@unitropico.edu.co</t>
  </si>
  <si>
    <t>R148</t>
  </si>
  <si>
    <t>MARTINEZ PEÑARANDA SARA SUCCEN</t>
  </si>
  <si>
    <t>saramartinez@unitropico.edu.co</t>
  </si>
  <si>
    <t>R149</t>
  </si>
  <si>
    <t>MEDINA LARA DIANA MARIA</t>
  </si>
  <si>
    <t>PROFESOR TIEMPO COMPLETO EN COMISIÓN DE CARGO POR PERIODO FIJO DENOMINADO - SUBDIRECTOR DE PRODUCCIÓN Y DIVULGACIÓN</t>
  </si>
  <si>
    <t>dianamedina@unitropico.edu.co</t>
  </si>
  <si>
    <t>R150</t>
  </si>
  <si>
    <t>MOLINA ROA CARLOS IVÁN</t>
  </si>
  <si>
    <t>carlosmolina@unitropico.edu.co</t>
  </si>
  <si>
    <t>R151</t>
  </si>
  <si>
    <t>MORENO MESA ANGELA MARIA</t>
  </si>
  <si>
    <t>PROFESOR TRANSITORIO  EN COMISIÓN DE CARGO POR PERIODO FIJO DENOMINADO - LIDER Y/O COOODINADOR DE PROGRAMA DE ARQUITECTURA</t>
  </si>
  <si>
    <t>FACULTAD DE ARTES - ARQUITECTURA</t>
  </si>
  <si>
    <t>arquitectura@unitropico.edu.co</t>
  </si>
  <si>
    <t>angelamoreno@unitropico.edu.co</t>
  </si>
  <si>
    <t>R152</t>
  </si>
  <si>
    <t>NARVAEZ ORTIZ ILDEFONSO</t>
  </si>
  <si>
    <t>ildefonsonarvaez@unitropico.edu.co</t>
  </si>
  <si>
    <t>R153</t>
  </si>
  <si>
    <t>PEREZ GUERRERO YOHAIRA ANDREA</t>
  </si>
  <si>
    <t>PROFESOR PROVISIONAL EN COMISIÓN DE CARGO POR PERIODO FIJO DENOMINADO - LIDER Y/O COOODINADOR DE PROGRAMA DE MEDICINA VETERINARIA Y ZOOTECNIA</t>
  </si>
  <si>
    <t>FACULTAD DE CIENCIAS- MEDICINA VETERINARIA Y ZOOTECNIA</t>
  </si>
  <si>
    <t>veterinaria@unitropico.edu.co</t>
  </si>
  <si>
    <t>yohairaperez@unitropico.edu.co</t>
  </si>
  <si>
    <t>R154</t>
  </si>
  <si>
    <t>RAMOS GUARNIZO EDWIN LEONARDO</t>
  </si>
  <si>
    <t>edwinramos@unitropico.edu.co</t>
  </si>
  <si>
    <t>R155</t>
  </si>
  <si>
    <t>ROBLES ORTIZ DEISY YANET</t>
  </si>
  <si>
    <t>deisyrobles@unitropico.edu.co</t>
  </si>
  <si>
    <t>R156</t>
  </si>
  <si>
    <t xml:space="preserve">RODRÍGUEZ FANDIÑO OSCAR ANDRÉS      </t>
  </si>
  <si>
    <t>oscarrodriguez@unitropico.edu.co</t>
  </si>
  <si>
    <t>R157</t>
  </si>
  <si>
    <t xml:space="preserve">ROJAS VERGARA WILLIAM </t>
  </si>
  <si>
    <t>williamrojas@unitropico.edu.co</t>
  </si>
  <si>
    <t>R158</t>
  </si>
  <si>
    <t xml:space="preserve">SALAMANCA HERNÁNDEZ HUGO HERNAN </t>
  </si>
  <si>
    <t>miguelsalamanca@unitropico.edu.co</t>
  </si>
  <si>
    <t>R159</t>
  </si>
  <si>
    <t xml:space="preserve">SALCEDO CALDAS HERNANDO </t>
  </si>
  <si>
    <t>hernandosalcedo@unitropico.edu.co</t>
  </si>
  <si>
    <t>R160</t>
  </si>
  <si>
    <t>SÁNCHEZ ROJAS ANA EDILCE</t>
  </si>
  <si>
    <t>anasanchez@unitropico.edu.co</t>
  </si>
  <si>
    <t>R161</t>
  </si>
  <si>
    <t xml:space="preserve">SANDOVAL RAMIREZ EMILSE </t>
  </si>
  <si>
    <t>PROFESOR PROVISIONAL  EN COMISIÓN DE CARGO POR PERIODO FIJO DENOMINADO - LÍDER Y/O COORDINADOR DE PROGRAMA DE INGENIERÍA AGROINDUSTRIAL</t>
  </si>
  <si>
    <t>ingagroindustrial@unitropico.edu.co</t>
  </si>
  <si>
    <t>emilsesandoval@unitropico.edu.co</t>
  </si>
  <si>
    <t>R162</t>
  </si>
  <si>
    <t>SOTO GOMEZ ERIKA YAZMIN</t>
  </si>
  <si>
    <t>erikasoto@unitropico.edu.co</t>
  </si>
  <si>
    <t>R163</t>
  </si>
  <si>
    <t>SUAREZ JIMENEZ LUZ HELENA</t>
  </si>
  <si>
    <t>luzsuarez@unitropico.edu.co</t>
  </si>
  <si>
    <t>R164</t>
  </si>
  <si>
    <t>TORRES MAMANCHE HENRY LEONARDO</t>
  </si>
  <si>
    <t>henrytorres@unitropico.edu.co</t>
  </si>
  <si>
    <t>R165</t>
  </si>
  <si>
    <t>TRUJILLO SUAREZ FERNANDO  AUGUSTO</t>
  </si>
  <si>
    <t>fernando.trujillo@unitropico.edu.co</t>
  </si>
  <si>
    <t>R166</t>
  </si>
  <si>
    <t>URBANO TIBADUIZA PLUTARCO</t>
  </si>
  <si>
    <t>plutarcourbano@unitropico.edu.co</t>
  </si>
  <si>
    <t>R167</t>
  </si>
  <si>
    <t>VALDERRAMA GUTIERREZ OMAR  MAURICIO</t>
  </si>
  <si>
    <t>omarvalderrama@unitropico.edu.co</t>
  </si>
  <si>
    <t>R168</t>
  </si>
  <si>
    <t>VARGAS VILLAMIL ALEJANDRO ALBERTO</t>
  </si>
  <si>
    <t>PROFESOR PROVISIONAL  EN COMISIÓN DE CARGO POR PERIODO FIJO DENOMINADO - LIDER Y/ COORDINADOR PROGRAMA DE ECONOMIA</t>
  </si>
  <si>
    <t>FACULTAD CIENCIAS ECONOMICAS Y ADMINISTRATIVAS - ECONOMIA</t>
  </si>
  <si>
    <t>economia@unitropico.edu.co</t>
  </si>
  <si>
    <t>alejandrovargas@unitropico.edu.co</t>
  </si>
  <si>
    <t xml:space="preserve">R79
</t>
  </si>
  <si>
    <t>VICERRECTORÍA ACADÉMICA</t>
  </si>
  <si>
    <t xml:space="preserve">R136 
Escuela de Ciencias Humanas </t>
  </si>
  <si>
    <t>R169</t>
  </si>
  <si>
    <t>consejoacademico@unitropico.edu.co</t>
  </si>
  <si>
    <t>R170</t>
  </si>
  <si>
    <t>consejosuperior@unitropico.edu.co</t>
  </si>
  <si>
    <t xml:space="preserve">R51 </t>
  </si>
  <si>
    <t xml:space="preserve">R67 </t>
  </si>
  <si>
    <t>R136, R51, R67, R32</t>
  </si>
  <si>
    <t>R136 , R51, R67, R32</t>
  </si>
  <si>
    <t xml:space="preserve">R32 </t>
  </si>
  <si>
    <t>R67, R136, R51</t>
  </si>
  <si>
    <t>R67, R136, R52</t>
  </si>
  <si>
    <t>R67, R136, R53</t>
  </si>
  <si>
    <t>R171</t>
  </si>
  <si>
    <t>Todas las Facultades</t>
  </si>
  <si>
    <t>facultades@unitropico.edu.co</t>
  </si>
  <si>
    <t>R51, R171</t>
  </si>
  <si>
    <t>R51, R32, R136</t>
  </si>
  <si>
    <t>R136, R144</t>
  </si>
  <si>
    <t>R32, R136</t>
  </si>
  <si>
    <t>Todas las Vicerrectorías</t>
  </si>
  <si>
    <t>vicerrectorias@unitropico.edu.co</t>
  </si>
  <si>
    <t>R172</t>
  </si>
  <si>
    <t>R173</t>
  </si>
  <si>
    <t>Todas los programas</t>
  </si>
  <si>
    <t>programas@unitropico.edu.co</t>
  </si>
  <si>
    <t>R79, R172, R173</t>
  </si>
  <si>
    <t>R32, R128, R127</t>
  </si>
  <si>
    <t>KAROL TATIANA VARON GOMEZ</t>
  </si>
  <si>
    <t xml:space="preserve">R110 </t>
  </si>
  <si>
    <t>SECRETARÍA GENERAL</t>
  </si>
  <si>
    <t>cesarcastro@unitropico.edu.co</t>
  </si>
  <si>
    <t xml:space="preserve">R25 </t>
  </si>
  <si>
    <t xml:space="preserve">R17, R136, R110 </t>
  </si>
  <si>
    <t xml:space="preserve">R136, R110 </t>
  </si>
  <si>
    <t xml:space="preserve">R34 </t>
  </si>
  <si>
    <t xml:space="preserve">R79, R34, R172, R36
</t>
  </si>
  <si>
    <t>R79, R34, R172, R36</t>
  </si>
  <si>
    <t>R79, R172</t>
  </si>
  <si>
    <t>R67, R40</t>
  </si>
  <si>
    <t>R136, R110</t>
  </si>
  <si>
    <t>R67, R82</t>
  </si>
  <si>
    <t>R67, R144</t>
  </si>
  <si>
    <t>R136, R67</t>
  </si>
  <si>
    <t>R51, R67</t>
  </si>
  <si>
    <t xml:space="preserve">R33 
</t>
  </si>
  <si>
    <t>R174</t>
  </si>
  <si>
    <t>Todos los lideres con procesos institucionales</t>
  </si>
  <si>
    <t>procesos@unitropico.edu.co</t>
  </si>
  <si>
    <t>apoyoestrategia@unitropico.edu.co</t>
  </si>
  <si>
    <t>karolvaron@unitropico.edu.co</t>
  </si>
  <si>
    <t>JEFE DE LA OFICINA DE BIENESTAR UNIVERSITARIO</t>
  </si>
  <si>
    <t>JACKSON PARRA MARTÍNEZ</t>
  </si>
  <si>
    <t>apoyogestionplaneacion@unitropico.edu.co</t>
  </si>
  <si>
    <t>jacksonparra@unitropico.edu.co</t>
  </si>
  <si>
    <t>Proramación PAA</t>
  </si>
  <si>
    <t>Programado 2025</t>
  </si>
  <si>
    <t>Si</t>
  </si>
  <si>
    <t>No</t>
  </si>
  <si>
    <t>BPU-2024023</t>
  </si>
  <si>
    <t>BPU-2024024</t>
  </si>
  <si>
    <t>BPU-2024025</t>
  </si>
  <si>
    <t>BPU-2024026</t>
  </si>
  <si>
    <t>BPU-2024027</t>
  </si>
  <si>
    <t>BPU-2024028</t>
  </si>
  <si>
    <t>BPU-2024029</t>
  </si>
  <si>
    <t>BPU-2024030</t>
  </si>
  <si>
    <t>BPU-2024031</t>
  </si>
  <si>
    <t>BPU-2024032</t>
  </si>
  <si>
    <t>BPU-2024033</t>
  </si>
  <si>
    <t>BPU-2024034</t>
  </si>
  <si>
    <t>BPU-2024035</t>
  </si>
  <si>
    <t>BPU-2024036</t>
  </si>
  <si>
    <t>BPU-2024037</t>
  </si>
  <si>
    <t>BPU-2024038</t>
  </si>
  <si>
    <t>BPU-2024039</t>
  </si>
  <si>
    <t>BPU-2024040</t>
  </si>
  <si>
    <t>BPU-2024041</t>
  </si>
  <si>
    <t>BPU-2024042</t>
  </si>
  <si>
    <t>BPU-2024043</t>
  </si>
  <si>
    <t>BPU-2024044</t>
  </si>
  <si>
    <t>BPU-2024045</t>
  </si>
  <si>
    <t>BPU-2024046</t>
  </si>
  <si>
    <t>BPU-2024047</t>
  </si>
  <si>
    <t>BPU-2024048</t>
  </si>
  <si>
    <t>BPU-2024049</t>
  </si>
  <si>
    <t>BPU-2024050</t>
  </si>
  <si>
    <t>BPU-2024051</t>
  </si>
  <si>
    <t>BPU-2024052</t>
  </si>
  <si>
    <t>avance_accion1</t>
  </si>
  <si>
    <t>avance_accion_año1</t>
  </si>
  <si>
    <t>avance_accion_año2</t>
  </si>
  <si>
    <t>entero</t>
  </si>
  <si>
    <t>avance_eje_101</t>
  </si>
  <si>
    <t>tipo_acumulacion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</si>
</sst>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 #,##0_-;_-* &quot;-&quot;_-;_-@_-"/>
    <numFmt numFmtId="44" formatCode="_-&quot;$&quot;\ * #,##0.00_-;\-&quot;$&quot;\ * #,##0.00_-;_-&quot;$&quot;\ * &quot;-&quot;??_-;_-@_-"/>
    <numFmt numFmtId="43" formatCode="_-* #,##0.00_-;\-* #,##0.00_-;_-* &quot;-&quot;??_-;_-@_-"/>
    <numFmt numFmtId="164" formatCode="0.0000%"/>
    <numFmt numFmtId="165" formatCode="0.000%"/>
    <numFmt numFmtId="166" formatCode="0.00000%"/>
    <numFmt numFmtId="167" formatCode="0.0%"/>
    <numFmt numFmtId="168" formatCode="0.000"/>
    <numFmt numFmtId="169" formatCode="0.0"/>
  </numFmts>
  <fonts count="25" x14ac:knownFonts="1">
    <font>
      <sz val="11"/>
      <color theme="1"/>
      <name val="Aptos Narrow"/>
      <family val="2"/>
      <scheme val="minor"/>
    </font>
    <font>
      <sz val="11"/>
      <color theme="1"/>
      <name val="Aptos Narrow"/>
      <family val="2"/>
      <scheme val="minor"/>
    </font>
    <font>
      <sz val="8"/>
      <name val="Aptos Narrow"/>
      <family val="2"/>
      <scheme val="minor"/>
    </font>
    <font>
      <sz val="11"/>
      <color theme="1"/>
      <name val="Montserrat"/>
    </font>
    <font>
      <sz val="11"/>
      <name val="Montserrat"/>
    </font>
    <font>
      <b/>
      <sz val="11"/>
      <name val="Montserrat"/>
    </font>
    <font>
      <sz val="11"/>
      <color rgb="FF000000"/>
      <name val="Montserrat"/>
    </font>
    <font>
      <sz val="11"/>
      <color rgb="FFFF0000"/>
      <name val="Montserrat"/>
    </font>
    <font>
      <b/>
      <sz val="11"/>
      <color theme="9" tint="-0.249977111117893"/>
      <name val="Montserrat"/>
    </font>
    <font>
      <b/>
      <sz val="11"/>
      <color theme="1"/>
      <name val="Montserrat"/>
    </font>
    <font>
      <sz val="10"/>
      <color theme="1"/>
      <name val="Montserrat"/>
    </font>
    <font>
      <sz val="10"/>
      <color rgb="FF000000"/>
      <name val="Montserrat"/>
    </font>
    <font>
      <sz val="10"/>
      <name val="Montserrat"/>
    </font>
    <font>
      <sz val="8"/>
      <color theme="1"/>
      <name val="Montserrat"/>
    </font>
    <font>
      <b/>
      <sz val="8"/>
      <color theme="1"/>
      <name val="Montserrat"/>
    </font>
    <font>
      <b/>
      <sz val="11"/>
      <color theme="0"/>
      <name val="Montserrat"/>
    </font>
    <font>
      <sz val="9"/>
      <color indexed="81"/>
      <name val="Tahoma"/>
      <charset val="1"/>
    </font>
    <font>
      <b/>
      <sz val="9"/>
      <color indexed="81"/>
      <name val="Tahoma"/>
      <charset val="1"/>
    </font>
    <font>
      <u/>
      <sz val="11"/>
      <color theme="10"/>
      <name val="Aptos Narrow"/>
      <family val="2"/>
      <scheme val="minor"/>
    </font>
    <font>
      <b/>
      <sz val="9"/>
      <color theme="1"/>
      <name val="Arial"/>
      <family val="2"/>
    </font>
    <font>
      <b/>
      <sz val="9"/>
      <name val="Arial"/>
      <family val="2"/>
    </font>
    <font>
      <sz val="9"/>
      <color theme="1"/>
      <name val="Arial"/>
      <family val="2"/>
    </font>
    <font>
      <sz val="9"/>
      <name val="Arial"/>
      <family val="2"/>
    </font>
    <font>
      <u/>
      <sz val="9"/>
      <name val="Arial"/>
      <family val="2"/>
    </font>
    <font>
      <u/>
      <sz val="10"/>
      <name val="Aptos Narrow"/>
      <family val="2"/>
      <scheme val="minor"/>
    </font>
  </fonts>
  <fills count="33">
    <fill>
      <patternFill patternType="none"/>
    </fill>
    <fill>
      <patternFill patternType="gray125"/>
    </fill>
    <fill>
      <patternFill patternType="solid">
        <fgColor rgb="FFEBF3FB"/>
        <bgColor indexed="64"/>
      </patternFill>
    </fill>
    <fill>
      <patternFill patternType="solid">
        <fgColor rgb="FFFDECE3"/>
        <bgColor indexed="64"/>
      </patternFill>
    </fill>
    <fill>
      <patternFill patternType="solid">
        <fgColor rgb="FFEBF3FB"/>
        <bgColor rgb="FFFEF2CB"/>
      </patternFill>
    </fill>
    <fill>
      <patternFill patternType="solid">
        <fgColor rgb="FFEBF3FB"/>
        <bgColor rgb="FFF2F2F2"/>
      </patternFill>
    </fill>
    <fill>
      <patternFill patternType="solid">
        <fgColor rgb="FFFDECE3"/>
        <bgColor rgb="FFFEF2CB"/>
      </patternFill>
    </fill>
    <fill>
      <patternFill patternType="solid">
        <fgColor rgb="FFFDECE3"/>
        <bgColor rgb="FFF2F2F2"/>
      </patternFill>
    </fill>
    <fill>
      <patternFill patternType="solid">
        <fgColor rgb="FFFDECE3"/>
        <bgColor rgb="FFFBE4D5"/>
      </patternFill>
    </fill>
    <fill>
      <patternFill patternType="solid">
        <fgColor rgb="FFFDECE3"/>
        <bgColor rgb="FFE2EFD9"/>
      </patternFill>
    </fill>
    <fill>
      <patternFill patternType="solid">
        <fgColor rgb="FFEBF3FB"/>
        <bgColor rgb="FFE2EFD9"/>
      </patternFill>
    </fill>
    <fill>
      <patternFill patternType="solid">
        <fgColor rgb="FFEBF3FB"/>
        <bgColor rgb="FFFBE4D5"/>
      </patternFill>
    </fill>
    <fill>
      <patternFill patternType="solid">
        <fgColor theme="0" tint="-0.14999847407452621"/>
        <bgColor indexed="64"/>
      </patternFill>
    </fill>
    <fill>
      <patternFill patternType="solid">
        <fgColor theme="0"/>
        <bgColor indexed="64"/>
      </patternFill>
    </fill>
    <fill>
      <patternFill patternType="solid">
        <fgColor theme="0"/>
        <bgColor rgb="FFFEF2CB"/>
      </patternFill>
    </fill>
    <fill>
      <patternFill patternType="solid">
        <fgColor theme="0"/>
        <bgColor rgb="FFFBE4D5"/>
      </patternFill>
    </fill>
    <fill>
      <patternFill patternType="solid">
        <fgColor theme="0"/>
        <bgColor rgb="FFE2EFD9"/>
      </patternFill>
    </fill>
    <fill>
      <patternFill patternType="solid">
        <fgColor theme="2" tint="-9.9978637043366805E-2"/>
        <bgColor indexed="64"/>
      </patternFill>
    </fill>
    <fill>
      <patternFill patternType="solid">
        <fgColor rgb="FFFDECE3"/>
        <bgColor rgb="FF000000"/>
      </patternFill>
    </fill>
    <fill>
      <patternFill patternType="solid">
        <fgColor rgb="FFEBF3FB"/>
        <bgColor rgb="FF000000"/>
      </patternFill>
    </fill>
    <fill>
      <patternFill patternType="solid">
        <fgColor theme="5" tint="0.79998168889431442"/>
        <bgColor rgb="FF000000"/>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CC"/>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FFCC66"/>
        <bgColor indexed="64"/>
      </patternFill>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theme="7" tint="0.39997558519241921"/>
      </bottom>
      <diagonal/>
    </border>
  </borders>
  <cellStyleXfs count="10">
    <xf numFmtId="0" fontId="0"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 fillId="0" borderId="0"/>
    <xf numFmtId="0" fontId="18" fillId="0" borderId="0" applyNumberFormat="0" applyFill="0" applyBorder="0" applyAlignment="0" applyProtection="0"/>
  </cellStyleXfs>
  <cellXfs count="522">
    <xf numFmtId="0" fontId="0" fillId="0" borderId="0" xfId="0"/>
    <xf numFmtId="0" fontId="3" fillId="0" borderId="0" xfId="0" applyFont="1" applyAlignment="1">
      <alignment horizontal="center" vertical="top"/>
    </xf>
    <xf numFmtId="0" fontId="3" fillId="3" borderId="1" xfId="0" applyFont="1" applyFill="1" applyBorder="1" applyAlignment="1">
      <alignment horizontal="center" vertical="top"/>
    </xf>
    <xf numFmtId="9" fontId="3" fillId="3" borderId="1" xfId="0" applyNumberFormat="1" applyFont="1" applyFill="1" applyBorder="1" applyAlignment="1">
      <alignment horizontal="center" vertical="top"/>
    </xf>
    <xf numFmtId="0" fontId="3" fillId="3" borderId="5" xfId="0" applyFont="1" applyFill="1" applyBorder="1" applyAlignment="1">
      <alignment horizontal="left" vertical="top"/>
    </xf>
    <xf numFmtId="9" fontId="3" fillId="3" borderId="5" xfId="0" applyNumberFormat="1" applyFont="1" applyFill="1" applyBorder="1" applyAlignment="1">
      <alignment horizontal="center" vertical="top"/>
    </xf>
    <xf numFmtId="0" fontId="3" fillId="3" borderId="1" xfId="0" applyFont="1" applyFill="1" applyBorder="1" applyAlignment="1">
      <alignment horizontal="left" vertical="top"/>
    </xf>
    <xf numFmtId="0" fontId="3" fillId="2" borderId="1" xfId="0" applyFont="1" applyFill="1" applyBorder="1" applyAlignment="1">
      <alignment horizontal="center" vertical="top"/>
    </xf>
    <xf numFmtId="9" fontId="3" fillId="2" borderId="1" xfId="0" applyNumberFormat="1" applyFont="1" applyFill="1" applyBorder="1" applyAlignment="1">
      <alignment horizontal="center" vertical="top"/>
    </xf>
    <xf numFmtId="0" fontId="3" fillId="2" borderId="1" xfId="0" applyFont="1" applyFill="1" applyBorder="1" applyAlignment="1">
      <alignment horizontal="left" vertical="top"/>
    </xf>
    <xf numFmtId="9" fontId="3" fillId="3" borderId="1" xfId="1" applyFont="1" applyFill="1" applyBorder="1" applyAlignment="1">
      <alignment horizontal="center" vertical="top"/>
    </xf>
    <xf numFmtId="9" fontId="3" fillId="2" borderId="1" xfId="1" applyFont="1" applyFill="1" applyBorder="1" applyAlignment="1">
      <alignment horizontal="center" vertical="top"/>
    </xf>
    <xf numFmtId="1" fontId="3" fillId="3" borderId="1" xfId="0" applyNumberFormat="1" applyFont="1" applyFill="1" applyBorder="1" applyAlignment="1">
      <alignment horizontal="center" vertical="top"/>
    </xf>
    <xf numFmtId="1" fontId="3" fillId="2" borderId="1" xfId="0" applyNumberFormat="1" applyFont="1" applyFill="1" applyBorder="1" applyAlignment="1">
      <alignment horizontal="center" vertical="top"/>
    </xf>
    <xf numFmtId="0" fontId="3" fillId="2" borderId="1" xfId="2" applyFont="1" applyFill="1" applyBorder="1" applyAlignment="1">
      <alignment horizontal="center" vertical="top"/>
    </xf>
    <xf numFmtId="9" fontId="3" fillId="2" borderId="1" xfId="2" applyNumberFormat="1" applyFont="1" applyFill="1" applyBorder="1" applyAlignment="1">
      <alignment horizontal="center" vertical="top"/>
    </xf>
    <xf numFmtId="0" fontId="3" fillId="2" borderId="5" xfId="0" applyFont="1" applyFill="1" applyBorder="1" applyAlignment="1">
      <alignment horizontal="center" vertical="top"/>
    </xf>
    <xf numFmtId="0" fontId="3" fillId="3" borderId="5" xfId="0" applyFont="1" applyFill="1" applyBorder="1" applyAlignment="1">
      <alignment horizontal="center" vertical="top"/>
    </xf>
    <xf numFmtId="9" fontId="4" fillId="2" borderId="1" xfId="1" applyFont="1" applyFill="1" applyBorder="1" applyAlignment="1">
      <alignment horizontal="center" vertical="top"/>
    </xf>
    <xf numFmtId="0" fontId="4" fillId="2" borderId="1" xfId="2" applyFont="1" applyFill="1" applyBorder="1" applyAlignment="1">
      <alignment horizontal="center" vertical="top"/>
    </xf>
    <xf numFmtId="0" fontId="3" fillId="2" borderId="4" xfId="0" applyFont="1" applyFill="1" applyBorder="1" applyAlignment="1">
      <alignment horizontal="left" vertical="top"/>
    </xf>
    <xf numFmtId="0" fontId="3" fillId="2" borderId="4" xfId="0" applyFont="1" applyFill="1" applyBorder="1" applyAlignment="1">
      <alignment horizontal="center" vertical="top"/>
    </xf>
    <xf numFmtId="9" fontId="3" fillId="2" borderId="4" xfId="1" applyFont="1" applyFill="1" applyBorder="1" applyAlignment="1">
      <alignment horizontal="center" vertical="top"/>
    </xf>
    <xf numFmtId="0" fontId="3" fillId="3" borderId="1" xfId="2" applyFont="1" applyFill="1" applyBorder="1" applyAlignment="1">
      <alignment horizontal="center" vertical="top"/>
    </xf>
    <xf numFmtId="0" fontId="3" fillId="3" borderId="1" xfId="2" applyFont="1" applyFill="1" applyBorder="1" applyAlignment="1">
      <alignment horizontal="left" vertical="top"/>
    </xf>
    <xf numFmtId="9" fontId="3" fillId="3" borderId="1" xfId="2" applyNumberFormat="1" applyFont="1" applyFill="1" applyBorder="1" applyAlignment="1">
      <alignment horizontal="center" vertical="top"/>
    </xf>
    <xf numFmtId="0" fontId="3" fillId="2" borderId="1" xfId="2" applyFont="1" applyFill="1" applyBorder="1" applyAlignment="1">
      <alignment horizontal="left" vertical="top"/>
    </xf>
    <xf numFmtId="10" fontId="3" fillId="3" borderId="1" xfId="2" applyNumberFormat="1" applyFont="1" applyFill="1" applyBorder="1" applyAlignment="1">
      <alignment horizontal="center" vertical="top"/>
    </xf>
    <xf numFmtId="0" fontId="4" fillId="3" borderId="1" xfId="2" applyFont="1" applyFill="1" applyBorder="1" applyAlignment="1">
      <alignment horizontal="left" vertical="top"/>
    </xf>
    <xf numFmtId="9" fontId="3" fillId="2" borderId="1" xfId="3" applyFont="1" applyFill="1" applyBorder="1" applyAlignment="1">
      <alignment horizontal="center" vertical="top"/>
    </xf>
    <xf numFmtId="0" fontId="4" fillId="3" borderId="1" xfId="2" applyFont="1" applyFill="1" applyBorder="1" applyAlignment="1">
      <alignment horizontal="center" vertical="top"/>
    </xf>
    <xf numFmtId="9" fontId="3" fillId="3" borderId="1" xfId="3" applyFont="1" applyFill="1" applyBorder="1" applyAlignment="1">
      <alignment horizontal="center" vertical="top"/>
    </xf>
    <xf numFmtId="0" fontId="3" fillId="3" borderId="1" xfId="4" applyFont="1" applyFill="1" applyBorder="1" applyAlignment="1">
      <alignment horizontal="center" vertical="top"/>
    </xf>
    <xf numFmtId="0" fontId="3" fillId="3" borderId="1" xfId="4" applyFont="1" applyFill="1" applyBorder="1" applyAlignment="1">
      <alignment horizontal="left" vertical="top"/>
    </xf>
    <xf numFmtId="9" fontId="3" fillId="3" borderId="1" xfId="4" applyNumberFormat="1" applyFont="1" applyFill="1" applyBorder="1" applyAlignment="1">
      <alignment horizontal="center" vertical="top"/>
    </xf>
    <xf numFmtId="0" fontId="4" fillId="3" borderId="1" xfId="4" applyFont="1" applyFill="1" applyBorder="1" applyAlignment="1">
      <alignment horizontal="left" vertical="top"/>
    </xf>
    <xf numFmtId="0" fontId="3" fillId="2" borderId="1" xfId="4" applyFont="1" applyFill="1" applyBorder="1" applyAlignment="1">
      <alignment horizontal="center" vertical="top"/>
    </xf>
    <xf numFmtId="0" fontId="3" fillId="2" borderId="1" xfId="4" applyFont="1" applyFill="1" applyBorder="1" applyAlignment="1">
      <alignment horizontal="left" vertical="top"/>
    </xf>
    <xf numFmtId="9" fontId="3" fillId="2" borderId="1" xfId="4" applyNumberFormat="1" applyFont="1" applyFill="1" applyBorder="1" applyAlignment="1">
      <alignment horizontal="center" vertical="top"/>
    </xf>
    <xf numFmtId="9" fontId="3" fillId="3" borderId="1" xfId="5" applyFont="1" applyFill="1" applyBorder="1" applyAlignment="1">
      <alignment horizontal="center" vertical="top"/>
    </xf>
    <xf numFmtId="0" fontId="3" fillId="8" borderId="1" xfId="2" applyFont="1" applyFill="1" applyBorder="1" applyAlignment="1">
      <alignment horizontal="center" vertical="top"/>
    </xf>
    <xf numFmtId="0" fontId="4" fillId="2" borderId="1" xfId="8" applyFont="1" applyFill="1" applyBorder="1" applyAlignment="1">
      <alignment horizontal="center" vertical="top"/>
    </xf>
    <xf numFmtId="0" fontId="4" fillId="3" borderId="1" xfId="8" applyFont="1" applyFill="1" applyBorder="1" applyAlignment="1">
      <alignment horizontal="center" vertical="top"/>
    </xf>
    <xf numFmtId="9" fontId="3" fillId="2" borderId="1" xfId="8" applyNumberFormat="1" applyFont="1" applyFill="1" applyBorder="1" applyAlignment="1">
      <alignment horizontal="center" vertical="top"/>
    </xf>
    <xf numFmtId="9" fontId="4" fillId="8" borderId="1" xfId="8" applyNumberFormat="1" applyFont="1" applyFill="1" applyBorder="1" applyAlignment="1">
      <alignment horizontal="center" vertical="top"/>
    </xf>
    <xf numFmtId="0" fontId="3" fillId="10" borderId="1" xfId="8" applyFont="1" applyFill="1" applyBorder="1" applyAlignment="1">
      <alignment horizontal="center" vertical="top"/>
    </xf>
    <xf numFmtId="9" fontId="3" fillId="10" borderId="1" xfId="8" applyNumberFormat="1" applyFont="1" applyFill="1" applyBorder="1" applyAlignment="1">
      <alignment horizontal="center" vertical="top"/>
    </xf>
    <xf numFmtId="9" fontId="3" fillId="9" borderId="1" xfId="8" applyNumberFormat="1" applyFont="1" applyFill="1" applyBorder="1" applyAlignment="1">
      <alignment horizontal="center" vertical="top"/>
    </xf>
    <xf numFmtId="9" fontId="3" fillId="6" borderId="1" xfId="8" applyNumberFormat="1" applyFont="1" applyFill="1" applyBorder="1" applyAlignment="1">
      <alignment horizontal="center" vertical="top"/>
    </xf>
    <xf numFmtId="9" fontId="3" fillId="4" borderId="1" xfId="8" applyNumberFormat="1" applyFont="1" applyFill="1" applyBorder="1" applyAlignment="1">
      <alignment horizontal="center" vertical="top"/>
    </xf>
    <xf numFmtId="9" fontId="4" fillId="0" borderId="0" xfId="1" applyFont="1" applyFill="1" applyBorder="1" applyAlignment="1">
      <alignment horizontal="center" vertical="top"/>
    </xf>
    <xf numFmtId="9" fontId="3" fillId="0" borderId="0" xfId="1" applyFont="1" applyFill="1" applyBorder="1" applyAlignment="1">
      <alignment horizontal="center" vertical="top"/>
    </xf>
    <xf numFmtId="2" fontId="3" fillId="2" borderId="1" xfId="2" applyNumberFormat="1" applyFont="1" applyFill="1" applyBorder="1" applyAlignment="1">
      <alignment horizontal="left" vertical="top"/>
    </xf>
    <xf numFmtId="2" fontId="3" fillId="3" borderId="1" xfId="2" applyNumberFormat="1" applyFont="1" applyFill="1" applyBorder="1" applyAlignment="1">
      <alignment horizontal="left" vertical="top"/>
    </xf>
    <xf numFmtId="2" fontId="4" fillId="2" borderId="1" xfId="2" applyNumberFormat="1" applyFont="1" applyFill="1" applyBorder="1" applyAlignment="1">
      <alignment horizontal="left" vertical="top"/>
    </xf>
    <xf numFmtId="9" fontId="3" fillId="6" borderId="1" xfId="2" applyNumberFormat="1" applyFont="1" applyFill="1" applyBorder="1" applyAlignment="1">
      <alignment horizontal="center" vertical="top"/>
    </xf>
    <xf numFmtId="2" fontId="3" fillId="6" borderId="1" xfId="2" applyNumberFormat="1" applyFont="1" applyFill="1" applyBorder="1" applyAlignment="1">
      <alignment horizontal="left" vertical="top"/>
    </xf>
    <xf numFmtId="0" fontId="3" fillId="6" borderId="1" xfId="2" applyFont="1" applyFill="1" applyBorder="1" applyAlignment="1">
      <alignment horizontal="left" vertical="top"/>
    </xf>
    <xf numFmtId="9" fontId="3" fillId="4" borderId="1" xfId="2" applyNumberFormat="1" applyFont="1" applyFill="1" applyBorder="1" applyAlignment="1">
      <alignment horizontal="center" vertical="top"/>
    </xf>
    <xf numFmtId="2" fontId="3" fillId="4" borderId="1" xfId="2" applyNumberFormat="1" applyFont="1" applyFill="1" applyBorder="1" applyAlignment="1">
      <alignment horizontal="left" vertical="top"/>
    </xf>
    <xf numFmtId="0" fontId="3" fillId="4" borderId="1" xfId="2" applyFont="1" applyFill="1" applyBorder="1" applyAlignment="1">
      <alignment horizontal="left" vertical="top"/>
    </xf>
    <xf numFmtId="2" fontId="3" fillId="8" borderId="1" xfId="2" applyNumberFormat="1" applyFont="1" applyFill="1" applyBorder="1" applyAlignment="1">
      <alignment horizontal="left" vertical="top"/>
    </xf>
    <xf numFmtId="9" fontId="3" fillId="8" borderId="1" xfId="2" applyNumberFormat="1" applyFont="1" applyFill="1" applyBorder="1" applyAlignment="1">
      <alignment horizontal="center" vertical="top"/>
    </xf>
    <xf numFmtId="0" fontId="3" fillId="8" borderId="1" xfId="2" applyFont="1" applyFill="1" applyBorder="1" applyAlignment="1">
      <alignment horizontal="left" vertical="top"/>
    </xf>
    <xf numFmtId="2" fontId="3" fillId="11" borderId="1" xfId="2" applyNumberFormat="1" applyFont="1" applyFill="1" applyBorder="1" applyAlignment="1">
      <alignment horizontal="left" vertical="top"/>
    </xf>
    <xf numFmtId="9" fontId="3" fillId="11" borderId="1" xfId="2" applyNumberFormat="1" applyFont="1" applyFill="1" applyBorder="1" applyAlignment="1">
      <alignment horizontal="center" vertical="top"/>
    </xf>
    <xf numFmtId="0" fontId="3" fillId="11" borderId="1" xfId="2" applyFont="1" applyFill="1" applyBorder="1" applyAlignment="1">
      <alignment horizontal="left" vertical="top"/>
    </xf>
    <xf numFmtId="9" fontId="3" fillId="3" borderId="1" xfId="8" applyNumberFormat="1" applyFont="1" applyFill="1" applyBorder="1" applyAlignment="1">
      <alignment horizontal="center" vertical="top"/>
    </xf>
    <xf numFmtId="2" fontId="6" fillId="3" borderId="1" xfId="0" applyNumberFormat="1" applyFont="1" applyFill="1" applyBorder="1" applyAlignment="1">
      <alignment horizontal="left" vertical="top"/>
    </xf>
    <xf numFmtId="0" fontId="3" fillId="3" borderId="1" xfId="8" applyFont="1" applyFill="1" applyBorder="1" applyAlignment="1">
      <alignment horizontal="left" vertical="top"/>
    </xf>
    <xf numFmtId="0" fontId="3" fillId="2" borderId="1" xfId="8" applyFont="1" applyFill="1" applyBorder="1" applyAlignment="1">
      <alignment horizontal="center" vertical="top"/>
    </xf>
    <xf numFmtId="2" fontId="6" fillId="2" borderId="1" xfId="0" applyNumberFormat="1" applyFont="1" applyFill="1" applyBorder="1" applyAlignment="1">
      <alignment horizontal="left" vertical="top"/>
    </xf>
    <xf numFmtId="0" fontId="3" fillId="2" borderId="1" xfId="8" applyFont="1" applyFill="1" applyBorder="1" applyAlignment="1">
      <alignment horizontal="left" vertical="top"/>
    </xf>
    <xf numFmtId="0" fontId="3" fillId="3" borderId="1" xfId="8" applyFont="1" applyFill="1" applyBorder="1" applyAlignment="1">
      <alignment horizontal="center" vertical="top"/>
    </xf>
    <xf numFmtId="2" fontId="3" fillId="3" borderId="1" xfId="8" applyNumberFormat="1" applyFont="1" applyFill="1" applyBorder="1" applyAlignment="1">
      <alignment horizontal="left" vertical="top"/>
    </xf>
    <xf numFmtId="2" fontId="3" fillId="2" borderId="1" xfId="8" applyNumberFormat="1" applyFont="1" applyFill="1" applyBorder="1" applyAlignment="1">
      <alignment horizontal="left" vertical="top"/>
    </xf>
    <xf numFmtId="2" fontId="3" fillId="6" borderId="1" xfId="8" applyNumberFormat="1" applyFont="1" applyFill="1" applyBorder="1" applyAlignment="1">
      <alignment horizontal="left" vertical="top"/>
    </xf>
    <xf numFmtId="0" fontId="3" fillId="6" borderId="1" xfId="8" applyFont="1" applyFill="1" applyBorder="1" applyAlignment="1">
      <alignment horizontal="left" vertical="top"/>
    </xf>
    <xf numFmtId="2" fontId="3" fillId="10" borderId="1" xfId="8" applyNumberFormat="1" applyFont="1" applyFill="1" applyBorder="1" applyAlignment="1">
      <alignment horizontal="left" vertical="top"/>
    </xf>
    <xf numFmtId="0" fontId="3" fillId="10" borderId="1" xfId="8" applyFont="1" applyFill="1" applyBorder="1" applyAlignment="1">
      <alignment horizontal="left" vertical="top"/>
    </xf>
    <xf numFmtId="0" fontId="3" fillId="9" borderId="1" xfId="8" applyFont="1" applyFill="1" applyBorder="1" applyAlignment="1">
      <alignment horizontal="center" vertical="top"/>
    </xf>
    <xf numFmtId="2" fontId="3" fillId="9" borderId="1" xfId="8" applyNumberFormat="1" applyFont="1" applyFill="1" applyBorder="1" applyAlignment="1">
      <alignment horizontal="left" vertical="top"/>
    </xf>
    <xf numFmtId="0" fontId="3" fillId="9" borderId="1" xfId="8" applyFont="1" applyFill="1" applyBorder="1" applyAlignment="1">
      <alignment horizontal="left" vertical="top"/>
    </xf>
    <xf numFmtId="0" fontId="3" fillId="4" borderId="1" xfId="8" applyFont="1" applyFill="1" applyBorder="1" applyAlignment="1">
      <alignment horizontal="center" vertical="top"/>
    </xf>
    <xf numFmtId="2" fontId="3" fillId="4" borderId="1" xfId="8" applyNumberFormat="1" applyFont="1" applyFill="1" applyBorder="1" applyAlignment="1">
      <alignment horizontal="left" vertical="top"/>
    </xf>
    <xf numFmtId="0" fontId="3" fillId="4" borderId="1" xfId="8" applyFont="1" applyFill="1" applyBorder="1" applyAlignment="1">
      <alignment horizontal="left" vertical="top"/>
    </xf>
    <xf numFmtId="0" fontId="3" fillId="6" borderId="1" xfId="8" applyFont="1" applyFill="1" applyBorder="1" applyAlignment="1">
      <alignment horizontal="center" vertical="top"/>
    </xf>
    <xf numFmtId="0" fontId="10" fillId="2" borderId="1" xfId="0" applyFont="1" applyFill="1" applyBorder="1" applyAlignment="1">
      <alignment horizontal="left" vertical="top"/>
    </xf>
    <xf numFmtId="0" fontId="10" fillId="3" borderId="1" xfId="0" applyFont="1" applyFill="1" applyBorder="1" applyAlignment="1">
      <alignment horizontal="left" vertical="top"/>
    </xf>
    <xf numFmtId="0" fontId="10" fillId="2" borderId="1" xfId="2" applyFont="1" applyFill="1" applyBorder="1" applyAlignment="1">
      <alignment horizontal="left" vertical="top"/>
    </xf>
    <xf numFmtId="0" fontId="12" fillId="2" borderId="1" xfId="0" applyFont="1" applyFill="1" applyBorder="1" applyAlignment="1">
      <alignment horizontal="left" vertical="top"/>
    </xf>
    <xf numFmtId="0" fontId="4" fillId="2" borderId="1" xfId="0" applyFont="1" applyFill="1" applyBorder="1" applyAlignment="1">
      <alignment horizontal="left" vertical="top"/>
    </xf>
    <xf numFmtId="0" fontId="3" fillId="0" borderId="0" xfId="0" applyFont="1" applyAlignment="1">
      <alignment horizontal="left" vertical="top"/>
    </xf>
    <xf numFmtId="10" fontId="3" fillId="3" borderId="1" xfId="1" applyNumberFormat="1" applyFont="1" applyFill="1" applyBorder="1" applyAlignment="1">
      <alignment horizontal="left" vertical="top"/>
    </xf>
    <xf numFmtId="0" fontId="3" fillId="3" borderId="2" xfId="0" applyFont="1" applyFill="1" applyBorder="1" applyAlignment="1">
      <alignment horizontal="left" vertical="top"/>
    </xf>
    <xf numFmtId="10" fontId="3" fillId="2" borderId="1" xfId="1" applyNumberFormat="1" applyFont="1" applyFill="1" applyBorder="1" applyAlignment="1">
      <alignment horizontal="left" vertical="top"/>
    </xf>
    <xf numFmtId="0" fontId="3" fillId="2" borderId="2" xfId="0" applyFont="1" applyFill="1" applyBorder="1" applyAlignment="1">
      <alignment horizontal="left" vertical="top"/>
    </xf>
    <xf numFmtId="0" fontId="3" fillId="2" borderId="5" xfId="0" applyFont="1" applyFill="1" applyBorder="1" applyAlignment="1">
      <alignment horizontal="left" vertical="top"/>
    </xf>
    <xf numFmtId="0" fontId="4" fillId="2" borderId="1" xfId="2" applyFont="1" applyFill="1" applyBorder="1" applyAlignment="1">
      <alignment horizontal="left" vertical="top"/>
    </xf>
    <xf numFmtId="44" fontId="3" fillId="2" borderId="1" xfId="4" applyNumberFormat="1" applyFont="1" applyFill="1" applyBorder="1" applyAlignment="1">
      <alignment horizontal="left" vertical="top"/>
    </xf>
    <xf numFmtId="44" fontId="3" fillId="3" borderId="1" xfId="4" applyNumberFormat="1" applyFont="1" applyFill="1" applyBorder="1" applyAlignment="1">
      <alignment horizontal="left" vertical="top"/>
    </xf>
    <xf numFmtId="0" fontId="4" fillId="2" borderId="1" xfId="4" applyFont="1" applyFill="1" applyBorder="1" applyAlignment="1">
      <alignment horizontal="left" vertical="top"/>
    </xf>
    <xf numFmtId="0" fontId="3" fillId="7" borderId="1" xfId="2" applyFont="1" applyFill="1" applyBorder="1" applyAlignment="1">
      <alignment horizontal="left" vertical="top"/>
    </xf>
    <xf numFmtId="0" fontId="4" fillId="4" borderId="1" xfId="2" applyFont="1" applyFill="1" applyBorder="1" applyAlignment="1">
      <alignment horizontal="left" vertical="top"/>
    </xf>
    <xf numFmtId="0" fontId="3" fillId="5" borderId="1" xfId="2" applyFont="1" applyFill="1" applyBorder="1" applyAlignment="1">
      <alignment horizontal="left" vertical="top"/>
    </xf>
    <xf numFmtId="0" fontId="4" fillId="11" borderId="1" xfId="2" applyFont="1" applyFill="1" applyBorder="1" applyAlignment="1">
      <alignment horizontal="left" vertical="top"/>
    </xf>
    <xf numFmtId="0" fontId="4" fillId="3" borderId="1" xfId="8" applyFont="1" applyFill="1" applyBorder="1" applyAlignment="1">
      <alignment horizontal="left" vertical="top"/>
    </xf>
    <xf numFmtId="0" fontId="7" fillId="3" borderId="1" xfId="8" applyFont="1" applyFill="1" applyBorder="1" applyAlignment="1">
      <alignment horizontal="left" vertical="top"/>
    </xf>
    <xf numFmtId="0" fontId="4" fillId="2" borderId="1" xfId="8" applyFont="1" applyFill="1" applyBorder="1" applyAlignment="1">
      <alignment horizontal="left" vertical="top"/>
    </xf>
    <xf numFmtId="0" fontId="3" fillId="7" borderId="1" xfId="8" applyFont="1" applyFill="1" applyBorder="1" applyAlignment="1">
      <alignment horizontal="left" vertical="top"/>
    </xf>
    <xf numFmtId="0" fontId="4" fillId="3" borderId="1" xfId="0" applyFont="1" applyFill="1" applyBorder="1" applyAlignment="1">
      <alignment horizontal="left" vertical="top"/>
    </xf>
    <xf numFmtId="0" fontId="3" fillId="6" borderId="1" xfId="2" applyFont="1" applyFill="1" applyBorder="1" applyAlignment="1">
      <alignment horizontal="center" vertical="top"/>
    </xf>
    <xf numFmtId="0" fontId="3" fillId="4" borderId="1" xfId="2" applyFont="1" applyFill="1" applyBorder="1" applyAlignment="1">
      <alignment horizontal="center" vertical="top"/>
    </xf>
    <xf numFmtId="0" fontId="3" fillId="11" borderId="1" xfId="2" applyFont="1" applyFill="1" applyBorder="1" applyAlignment="1">
      <alignment horizontal="center" vertical="top"/>
    </xf>
    <xf numFmtId="0" fontId="4" fillId="2" borderId="1" xfId="0" applyFont="1" applyFill="1" applyBorder="1" applyAlignment="1">
      <alignment horizontal="center" vertical="top"/>
    </xf>
    <xf numFmtId="41" fontId="3" fillId="3" borderId="2" xfId="0" applyNumberFormat="1" applyFont="1" applyFill="1" applyBorder="1" applyAlignment="1">
      <alignment vertical="top"/>
    </xf>
    <xf numFmtId="41" fontId="3" fillId="2" borderId="2" xfId="0" applyNumberFormat="1" applyFont="1" applyFill="1" applyBorder="1" applyAlignment="1">
      <alignment vertical="top"/>
    </xf>
    <xf numFmtId="41" fontId="3" fillId="2" borderId="2" xfId="6" applyNumberFormat="1" applyFont="1" applyFill="1" applyBorder="1" applyAlignment="1">
      <alignment vertical="top"/>
    </xf>
    <xf numFmtId="41" fontId="3" fillId="3" borderId="1" xfId="6" applyNumberFormat="1" applyFont="1" applyFill="1" applyBorder="1" applyAlignment="1">
      <alignment vertical="top"/>
    </xf>
    <xf numFmtId="41" fontId="3" fillId="2" borderId="3" xfId="6" applyNumberFormat="1" applyFont="1" applyFill="1" applyBorder="1" applyAlignment="1">
      <alignment vertical="top"/>
    </xf>
    <xf numFmtId="41" fontId="3" fillId="2" borderId="1" xfId="6" applyNumberFormat="1" applyFont="1" applyFill="1" applyBorder="1" applyAlignment="1">
      <alignment vertical="top"/>
    </xf>
    <xf numFmtId="41" fontId="3" fillId="3" borderId="4" xfId="6" applyNumberFormat="1" applyFont="1" applyFill="1" applyBorder="1" applyAlignment="1">
      <alignment vertical="top"/>
    </xf>
    <xf numFmtId="41" fontId="3" fillId="2" borderId="5" xfId="6" applyNumberFormat="1" applyFont="1" applyFill="1" applyBorder="1" applyAlignment="1">
      <alignment vertical="top"/>
    </xf>
    <xf numFmtId="41" fontId="3" fillId="3" borderId="5" xfId="6" applyNumberFormat="1" applyFont="1" applyFill="1" applyBorder="1" applyAlignment="1">
      <alignment vertical="top"/>
    </xf>
    <xf numFmtId="41" fontId="3" fillId="3" borderId="6" xfId="6" applyNumberFormat="1" applyFont="1" applyFill="1" applyBorder="1" applyAlignment="1">
      <alignment vertical="top"/>
    </xf>
    <xf numFmtId="41" fontId="3" fillId="2" borderId="4" xfId="6" applyNumberFormat="1" applyFont="1" applyFill="1" applyBorder="1" applyAlignment="1">
      <alignment vertical="top"/>
    </xf>
    <xf numFmtId="41" fontId="4" fillId="3" borderId="1" xfId="2" applyNumberFormat="1" applyFont="1" applyFill="1" applyBorder="1" applyAlignment="1">
      <alignment vertical="top"/>
    </xf>
    <xf numFmtId="41" fontId="3" fillId="2" borderId="1" xfId="2" applyNumberFormat="1" applyFont="1" applyFill="1" applyBorder="1" applyAlignment="1">
      <alignment vertical="top"/>
    </xf>
    <xf numFmtId="41" fontId="3" fillId="3" borderId="1" xfId="2" applyNumberFormat="1" applyFont="1" applyFill="1" applyBorder="1" applyAlignment="1">
      <alignment vertical="top"/>
    </xf>
    <xf numFmtId="41" fontId="3" fillId="3" borderId="1" xfId="4" applyNumberFormat="1" applyFont="1" applyFill="1" applyBorder="1" applyAlignment="1">
      <alignment vertical="top"/>
    </xf>
    <xf numFmtId="41" fontId="3" fillId="2" borderId="1" xfId="4" applyNumberFormat="1" applyFont="1" applyFill="1" applyBorder="1" applyAlignment="1">
      <alignment vertical="top"/>
    </xf>
    <xf numFmtId="41" fontId="4" fillId="2" borderId="1" xfId="4" applyNumberFormat="1" applyFont="1" applyFill="1" applyBorder="1" applyAlignment="1">
      <alignment vertical="top"/>
    </xf>
    <xf numFmtId="41" fontId="4" fillId="2" borderId="1" xfId="6" applyNumberFormat="1" applyFont="1" applyFill="1" applyBorder="1" applyAlignment="1">
      <alignment vertical="top"/>
    </xf>
    <xf numFmtId="41" fontId="4" fillId="3" borderId="1" xfId="6" applyNumberFormat="1" applyFont="1" applyFill="1" applyBorder="1" applyAlignment="1">
      <alignment vertical="top"/>
    </xf>
    <xf numFmtId="41" fontId="4" fillId="2" borderId="1" xfId="2" applyNumberFormat="1" applyFont="1" applyFill="1" applyBorder="1" applyAlignment="1">
      <alignment vertical="top"/>
    </xf>
    <xf numFmtId="41" fontId="3" fillId="6" borderId="1" xfId="2" applyNumberFormat="1" applyFont="1" applyFill="1" applyBorder="1" applyAlignment="1">
      <alignment vertical="top"/>
    </xf>
    <xf numFmtId="41" fontId="3" fillId="4" borderId="1" xfId="2" applyNumberFormat="1" applyFont="1" applyFill="1" applyBorder="1" applyAlignment="1">
      <alignment vertical="top"/>
    </xf>
    <xf numFmtId="41" fontId="3" fillId="8" borderId="1" xfId="2" applyNumberFormat="1" applyFont="1" applyFill="1" applyBorder="1" applyAlignment="1">
      <alignment vertical="top"/>
    </xf>
    <xf numFmtId="41" fontId="3" fillId="11" borderId="1" xfId="2" applyNumberFormat="1" applyFont="1" applyFill="1" applyBorder="1" applyAlignment="1">
      <alignment vertical="top"/>
    </xf>
    <xf numFmtId="41" fontId="3" fillId="3" borderId="1" xfId="8" applyNumberFormat="1" applyFont="1" applyFill="1" applyBorder="1" applyAlignment="1">
      <alignment vertical="top"/>
    </xf>
    <xf numFmtId="41" fontId="4" fillId="3" borderId="1" xfId="8" applyNumberFormat="1" applyFont="1" applyFill="1" applyBorder="1" applyAlignment="1">
      <alignment vertical="top"/>
    </xf>
    <xf numFmtId="41" fontId="3" fillId="2" borderId="1" xfId="8" applyNumberFormat="1" applyFont="1" applyFill="1" applyBorder="1" applyAlignment="1">
      <alignment vertical="top"/>
    </xf>
    <xf numFmtId="41" fontId="4" fillId="2" borderId="1" xfId="8" applyNumberFormat="1" applyFont="1" applyFill="1" applyBorder="1" applyAlignment="1">
      <alignment vertical="top"/>
    </xf>
    <xf numFmtId="41" fontId="3" fillId="10" borderId="1" xfId="8" applyNumberFormat="1" applyFont="1" applyFill="1" applyBorder="1" applyAlignment="1">
      <alignment vertical="top"/>
    </xf>
    <xf numFmtId="41" fontId="3" fillId="9" borderId="1" xfId="8" applyNumberFormat="1" applyFont="1" applyFill="1" applyBorder="1" applyAlignment="1">
      <alignment vertical="top"/>
    </xf>
    <xf numFmtId="41" fontId="3" fillId="6" borderId="1" xfId="8" applyNumberFormat="1" applyFont="1" applyFill="1" applyBorder="1" applyAlignment="1">
      <alignment vertical="top"/>
    </xf>
    <xf numFmtId="41" fontId="3" fillId="4" borderId="1" xfId="8" applyNumberFormat="1" applyFont="1" applyFill="1" applyBorder="1" applyAlignment="1">
      <alignment vertical="top"/>
    </xf>
    <xf numFmtId="41" fontId="3" fillId="2" borderId="1" xfId="7" applyNumberFormat="1" applyFont="1" applyFill="1" applyBorder="1" applyAlignment="1">
      <alignment vertical="top"/>
    </xf>
    <xf numFmtId="41" fontId="3" fillId="3" borderId="1" xfId="7" applyNumberFormat="1" applyFont="1" applyFill="1" applyBorder="1" applyAlignment="1">
      <alignment vertical="top"/>
    </xf>
    <xf numFmtId="41" fontId="3" fillId="3" borderId="1" xfId="0" applyNumberFormat="1" applyFont="1" applyFill="1" applyBorder="1" applyAlignment="1">
      <alignment vertical="top"/>
    </xf>
    <xf numFmtId="41" fontId="3" fillId="2" borderId="1" xfId="0" applyNumberFormat="1" applyFont="1" applyFill="1" applyBorder="1" applyAlignment="1">
      <alignment vertical="top"/>
    </xf>
    <xf numFmtId="41" fontId="3" fillId="3" borderId="1" xfId="6" applyNumberFormat="1" applyFont="1" applyFill="1" applyBorder="1" applyAlignment="1">
      <alignment horizontal="center" vertical="top"/>
    </xf>
    <xf numFmtId="10" fontId="3" fillId="0" borderId="0" xfId="1" applyNumberFormat="1" applyFont="1" applyFill="1" applyBorder="1" applyAlignment="1">
      <alignment horizontal="center" vertical="top"/>
    </xf>
    <xf numFmtId="0" fontId="4" fillId="0" borderId="0" xfId="2" applyFont="1" applyAlignment="1">
      <alignment horizontal="center" vertical="top"/>
    </xf>
    <xf numFmtId="0" fontId="3" fillId="0" borderId="0" xfId="0" applyFont="1" applyAlignment="1">
      <alignment horizontal="left" vertical="center"/>
    </xf>
    <xf numFmtId="0" fontId="3" fillId="12" borderId="1" xfId="0" applyFont="1" applyFill="1" applyBorder="1" applyAlignment="1">
      <alignment horizontal="left" vertical="top"/>
    </xf>
    <xf numFmtId="0" fontId="3" fillId="13" borderId="1" xfId="0" applyFont="1" applyFill="1" applyBorder="1" applyAlignment="1">
      <alignment horizontal="left" vertical="top"/>
    </xf>
    <xf numFmtId="0" fontId="3" fillId="12" borderId="5" xfId="0" applyFont="1" applyFill="1" applyBorder="1" applyAlignment="1">
      <alignment horizontal="left" vertical="top"/>
    </xf>
    <xf numFmtId="0" fontId="3" fillId="12" borderId="4" xfId="0" applyFont="1" applyFill="1" applyBorder="1" applyAlignment="1">
      <alignment horizontal="left" vertical="top"/>
    </xf>
    <xf numFmtId="0" fontId="3" fillId="13" borderId="1" xfId="2" applyFont="1" applyFill="1" applyBorder="1" applyAlignment="1">
      <alignment horizontal="left" vertical="top"/>
    </xf>
    <xf numFmtId="0" fontId="3" fillId="12" borderId="1" xfId="2" applyFont="1" applyFill="1" applyBorder="1" applyAlignment="1">
      <alignment horizontal="left" vertical="top"/>
    </xf>
    <xf numFmtId="0" fontId="3" fillId="13" borderId="1" xfId="4" applyFont="1" applyFill="1" applyBorder="1" applyAlignment="1">
      <alignment horizontal="left" vertical="top"/>
    </xf>
    <xf numFmtId="0" fontId="3" fillId="12" borderId="1" xfId="4" applyFont="1" applyFill="1" applyBorder="1" applyAlignment="1">
      <alignment horizontal="left" vertical="top"/>
    </xf>
    <xf numFmtId="0" fontId="3" fillId="14" borderId="1" xfId="2" applyFont="1" applyFill="1" applyBorder="1" applyAlignment="1">
      <alignment horizontal="left" vertical="top"/>
    </xf>
    <xf numFmtId="0" fontId="4" fillId="13" borderId="1" xfId="2" applyFont="1" applyFill="1" applyBorder="1" applyAlignment="1">
      <alignment horizontal="left" vertical="top"/>
    </xf>
    <xf numFmtId="0" fontId="4" fillId="15" borderId="1" xfId="2" applyFont="1" applyFill="1" applyBorder="1" applyAlignment="1">
      <alignment horizontal="left" vertical="top"/>
    </xf>
    <xf numFmtId="0" fontId="3" fillId="12" borderId="1" xfId="8" applyFont="1" applyFill="1" applyBorder="1" applyAlignment="1">
      <alignment horizontal="left" vertical="top"/>
    </xf>
    <xf numFmtId="0" fontId="3" fillId="16" borderId="1" xfId="8" applyFont="1" applyFill="1" applyBorder="1" applyAlignment="1">
      <alignment horizontal="left" vertical="top"/>
    </xf>
    <xf numFmtId="0" fontId="3" fillId="14" borderId="1" xfId="8" applyFont="1" applyFill="1" applyBorder="1" applyAlignment="1">
      <alignment horizontal="left" vertical="top"/>
    </xf>
    <xf numFmtId="0" fontId="3" fillId="13" borderId="1" xfId="8" applyFont="1" applyFill="1" applyBorder="1" applyAlignment="1">
      <alignment horizontal="left" vertical="top"/>
    </xf>
    <xf numFmtId="1" fontId="3" fillId="12" borderId="1" xfId="0" applyNumberFormat="1" applyFont="1" applyFill="1" applyBorder="1" applyAlignment="1">
      <alignment horizontal="left" vertical="top"/>
    </xf>
    <xf numFmtId="0" fontId="3" fillId="0" borderId="1" xfId="0" applyFont="1" applyBorder="1" applyAlignment="1">
      <alignment horizontal="left" vertical="top"/>
    </xf>
    <xf numFmtId="0" fontId="4" fillId="0" borderId="1" xfId="2" applyFont="1" applyBorder="1" applyAlignment="1">
      <alignment horizontal="left" vertical="top"/>
    </xf>
    <xf numFmtId="0" fontId="3" fillId="0" borderId="1" xfId="4" applyFont="1" applyBorder="1" applyAlignment="1">
      <alignment horizontal="left" vertical="top"/>
    </xf>
    <xf numFmtId="0" fontId="3" fillId="0" borderId="1" xfId="2" applyFont="1" applyBorder="1" applyAlignment="1">
      <alignment horizontal="left" vertical="top"/>
    </xf>
    <xf numFmtId="0" fontId="3" fillId="0" borderId="1" xfId="8" applyFont="1" applyBorder="1" applyAlignment="1">
      <alignment horizontal="left" vertical="top"/>
    </xf>
    <xf numFmtId="0" fontId="3" fillId="17" borderId="1" xfId="0" applyFont="1" applyFill="1" applyBorder="1" applyAlignment="1">
      <alignment horizontal="left" vertical="top"/>
    </xf>
    <xf numFmtId="0" fontId="3" fillId="17" borderId="4" xfId="0" applyFont="1" applyFill="1" applyBorder="1" applyAlignment="1">
      <alignment horizontal="left" vertical="top"/>
    </xf>
    <xf numFmtId="0" fontId="3" fillId="17" borderId="1" xfId="4" applyFont="1" applyFill="1" applyBorder="1" applyAlignment="1">
      <alignment horizontal="left" vertical="top"/>
    </xf>
    <xf numFmtId="0" fontId="3" fillId="17" borderId="1" xfId="2" applyFont="1" applyFill="1" applyBorder="1" applyAlignment="1">
      <alignment horizontal="left" vertical="top"/>
    </xf>
    <xf numFmtId="41" fontId="3" fillId="3" borderId="1" xfId="7" applyNumberFormat="1" applyFont="1" applyFill="1" applyBorder="1" applyAlignment="1">
      <alignment horizontal="right" vertical="top"/>
    </xf>
    <xf numFmtId="9" fontId="6" fillId="18" borderId="1" xfId="0" applyNumberFormat="1" applyFont="1" applyFill="1" applyBorder="1" applyAlignment="1">
      <alignment horizontal="center" vertical="center" wrapText="1"/>
    </xf>
    <xf numFmtId="9" fontId="6" fillId="18" borderId="7" xfId="0" applyNumberFormat="1" applyFont="1" applyFill="1" applyBorder="1" applyAlignment="1">
      <alignment horizontal="center" vertical="center" wrapText="1"/>
    </xf>
    <xf numFmtId="9" fontId="6" fillId="18" borderId="5" xfId="0" applyNumberFormat="1" applyFont="1" applyFill="1" applyBorder="1" applyAlignment="1">
      <alignment horizontal="center" vertical="center" wrapText="1"/>
    </xf>
    <xf numFmtId="9" fontId="6" fillId="18" borderId="3" xfId="0" applyNumberFormat="1" applyFont="1" applyFill="1" applyBorder="1" applyAlignment="1">
      <alignment horizontal="center" vertical="center" wrapText="1"/>
    </xf>
    <xf numFmtId="9" fontId="6" fillId="19" borderId="5" xfId="0" applyNumberFormat="1" applyFont="1" applyFill="1" applyBorder="1" applyAlignment="1">
      <alignment horizontal="center" vertical="center" wrapText="1"/>
    </xf>
    <xf numFmtId="9" fontId="6" fillId="19" borderId="3" xfId="0" applyNumberFormat="1" applyFont="1" applyFill="1" applyBorder="1" applyAlignment="1">
      <alignment horizontal="center" vertical="center" wrapText="1"/>
    </xf>
    <xf numFmtId="0" fontId="7" fillId="19" borderId="5"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6" fillId="18" borderId="5" xfId="0" applyFont="1" applyFill="1" applyBorder="1" applyAlignment="1">
      <alignment horizontal="center" vertical="center" wrapText="1"/>
    </xf>
    <xf numFmtId="0" fontId="6" fillId="18" borderId="3" xfId="0" applyFont="1" applyFill="1" applyBorder="1" applyAlignment="1">
      <alignment horizontal="center" vertical="center" wrapText="1"/>
    </xf>
    <xf numFmtId="0" fontId="6" fillId="19" borderId="5" xfId="0" applyFont="1" applyFill="1" applyBorder="1" applyAlignment="1">
      <alignment horizontal="center" vertical="center" wrapText="1"/>
    </xf>
    <xf numFmtId="0" fontId="6" fillId="19" borderId="3" xfId="0" applyFont="1" applyFill="1" applyBorder="1" applyAlignment="1">
      <alignment horizontal="center" vertical="center" wrapText="1"/>
    </xf>
    <xf numFmtId="9" fontId="6" fillId="18" borderId="6" xfId="0" applyNumberFormat="1" applyFont="1" applyFill="1" applyBorder="1" applyAlignment="1">
      <alignment horizontal="center" vertical="center" wrapText="1"/>
    </xf>
    <xf numFmtId="9" fontId="6" fillId="18" borderId="8" xfId="0" applyNumberFormat="1" applyFont="1" applyFill="1" applyBorder="1" applyAlignment="1">
      <alignment horizontal="center" vertical="center" wrapText="1"/>
    </xf>
    <xf numFmtId="0" fontId="6" fillId="19" borderId="1" xfId="0" applyFont="1" applyFill="1" applyBorder="1" applyAlignment="1">
      <alignment horizontal="center" vertical="center" wrapText="1"/>
    </xf>
    <xf numFmtId="9" fontId="6" fillId="19" borderId="7" xfId="0" applyNumberFormat="1" applyFont="1" applyFill="1" applyBorder="1" applyAlignment="1">
      <alignment horizontal="center" vertical="center" wrapText="1"/>
    </xf>
    <xf numFmtId="10" fontId="6" fillId="19" borderId="5" xfId="0" applyNumberFormat="1" applyFont="1" applyFill="1" applyBorder="1" applyAlignment="1">
      <alignment horizontal="center" vertical="center" wrapText="1"/>
    </xf>
    <xf numFmtId="10" fontId="6" fillId="18" borderId="5" xfId="0" applyNumberFormat="1" applyFont="1" applyFill="1" applyBorder="1" applyAlignment="1">
      <alignment horizontal="center" vertical="center" wrapText="1"/>
    </xf>
    <xf numFmtId="9" fontId="4" fillId="19" borderId="1" xfId="0" applyNumberFormat="1" applyFont="1" applyFill="1" applyBorder="1" applyAlignment="1">
      <alignment horizontal="center" vertical="center" wrapText="1"/>
    </xf>
    <xf numFmtId="9" fontId="4" fillId="19" borderId="7" xfId="0" applyNumberFormat="1" applyFont="1" applyFill="1" applyBorder="1" applyAlignment="1">
      <alignment horizontal="center" vertical="center" wrapText="1"/>
    </xf>
    <xf numFmtId="9" fontId="4" fillId="19" borderId="5" xfId="0" applyNumberFormat="1" applyFont="1" applyFill="1" applyBorder="1" applyAlignment="1">
      <alignment horizontal="center" vertical="center" wrapText="1"/>
    </xf>
    <xf numFmtId="9" fontId="4" fillId="19" borderId="3" xfId="0" applyNumberFormat="1" applyFont="1" applyFill="1" applyBorder="1" applyAlignment="1">
      <alignment horizontal="center" vertical="center" wrapText="1"/>
    </xf>
    <xf numFmtId="9" fontId="4" fillId="19" borderId="6" xfId="0" applyNumberFormat="1" applyFont="1" applyFill="1" applyBorder="1" applyAlignment="1">
      <alignment horizontal="center" vertical="center" wrapText="1"/>
    </xf>
    <xf numFmtId="9" fontId="4" fillId="19" borderId="8" xfId="0" applyNumberFormat="1" applyFont="1" applyFill="1" applyBorder="1" applyAlignment="1">
      <alignment horizontal="center" vertical="center" wrapText="1"/>
    </xf>
    <xf numFmtId="0" fontId="4" fillId="19" borderId="6"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6" fillId="18" borderId="7" xfId="0" applyFont="1" applyFill="1" applyBorder="1" applyAlignment="1">
      <alignment horizontal="center" vertical="center" wrapText="1"/>
    </xf>
    <xf numFmtId="10" fontId="6" fillId="18" borderId="3" xfId="0" applyNumberFormat="1" applyFont="1" applyFill="1" applyBorder="1" applyAlignment="1">
      <alignment horizontal="center" vertical="center" wrapText="1"/>
    </xf>
    <xf numFmtId="10" fontId="6" fillId="19" borderId="3" xfId="0" applyNumberFormat="1" applyFont="1" applyFill="1" applyBorder="1" applyAlignment="1">
      <alignment horizontal="center" vertical="center" wrapText="1"/>
    </xf>
    <xf numFmtId="9" fontId="4" fillId="18" borderId="5" xfId="0" applyNumberFormat="1" applyFont="1" applyFill="1" applyBorder="1" applyAlignment="1">
      <alignment horizontal="center" vertical="center" wrapText="1"/>
    </xf>
    <xf numFmtId="9" fontId="4" fillId="18" borderId="3" xfId="0" applyNumberFormat="1" applyFont="1" applyFill="1" applyBorder="1" applyAlignment="1">
      <alignment horizontal="center" vertical="center" wrapText="1"/>
    </xf>
    <xf numFmtId="10" fontId="4" fillId="18" borderId="5" xfId="0" applyNumberFormat="1" applyFont="1" applyFill="1" applyBorder="1" applyAlignment="1">
      <alignment horizontal="center" vertical="center" wrapText="1"/>
    </xf>
    <xf numFmtId="10" fontId="4" fillId="18" borderId="3" xfId="0" applyNumberFormat="1" applyFont="1" applyFill="1" applyBorder="1" applyAlignment="1">
      <alignment horizontal="center" vertical="center" wrapText="1"/>
    </xf>
    <xf numFmtId="10" fontId="4" fillId="19" borderId="3" xfId="0" applyNumberFormat="1" applyFont="1" applyFill="1" applyBorder="1" applyAlignment="1">
      <alignment horizontal="center" vertical="center" wrapText="1"/>
    </xf>
    <xf numFmtId="9" fontId="6" fillId="6" borderId="5" xfId="0" applyNumberFormat="1" applyFont="1" applyFill="1" applyBorder="1" applyAlignment="1">
      <alignment horizontal="center" vertical="center" wrapText="1"/>
    </xf>
    <xf numFmtId="9" fontId="6" fillId="6" borderId="3" xfId="0" applyNumberFormat="1" applyFont="1" applyFill="1" applyBorder="1" applyAlignment="1">
      <alignment horizontal="center" vertical="center" wrapText="1"/>
    </xf>
    <xf numFmtId="9" fontId="6" fillId="4" borderId="5" xfId="0" applyNumberFormat="1" applyFont="1" applyFill="1" applyBorder="1" applyAlignment="1">
      <alignment horizontal="center" vertical="center" wrapText="1"/>
    </xf>
    <xf numFmtId="9" fontId="6" fillId="4" borderId="3" xfId="0" applyNumberFormat="1" applyFont="1" applyFill="1" applyBorder="1" applyAlignment="1">
      <alignment horizontal="center" vertical="center" wrapText="1"/>
    </xf>
    <xf numFmtId="9" fontId="6" fillId="8" borderId="5" xfId="0" applyNumberFormat="1" applyFont="1" applyFill="1" applyBorder="1" applyAlignment="1">
      <alignment horizontal="center" vertical="center" wrapText="1"/>
    </xf>
    <xf numFmtId="9" fontId="6" fillId="8" borderId="3" xfId="0" applyNumberFormat="1" applyFont="1" applyFill="1" applyBorder="1" applyAlignment="1">
      <alignment horizontal="center" vertical="center" wrapText="1"/>
    </xf>
    <xf numFmtId="9" fontId="6" fillId="11" borderId="5" xfId="0" applyNumberFormat="1" applyFont="1" applyFill="1" applyBorder="1" applyAlignment="1">
      <alignment horizontal="center" vertical="center" wrapText="1"/>
    </xf>
    <xf numFmtId="9" fontId="6" fillId="11" borderId="3" xfId="0" applyNumberFormat="1"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10" borderId="5"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3" xfId="0" applyFont="1" applyFill="1" applyBorder="1" applyAlignment="1">
      <alignment horizontal="center" vertical="center" wrapText="1"/>
    </xf>
    <xf numFmtId="10" fontId="4" fillId="19" borderId="5"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3" fillId="17" borderId="7" xfId="0" applyFont="1" applyFill="1" applyBorder="1" applyAlignment="1">
      <alignment horizontal="left" vertical="top"/>
    </xf>
    <xf numFmtId="0" fontId="3" fillId="17" borderId="9" xfId="0" applyFont="1" applyFill="1" applyBorder="1" applyAlignment="1">
      <alignment horizontal="left" vertical="top"/>
    </xf>
    <xf numFmtId="164" fontId="3" fillId="3" borderId="2" xfId="1" applyNumberFormat="1" applyFont="1" applyFill="1" applyBorder="1" applyAlignment="1">
      <alignment horizontal="center" vertical="top"/>
    </xf>
    <xf numFmtId="164" fontId="3" fillId="2" borderId="2" xfId="1" applyNumberFormat="1" applyFont="1" applyFill="1" applyBorder="1" applyAlignment="1">
      <alignment horizontal="center" vertical="top"/>
    </xf>
    <xf numFmtId="164" fontId="3" fillId="3" borderId="2" xfId="0" applyNumberFormat="1" applyFont="1" applyFill="1" applyBorder="1" applyAlignment="1">
      <alignment horizontal="center" vertical="top"/>
    </xf>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9" fillId="0" borderId="5" xfId="0" applyFont="1" applyBorder="1" applyAlignment="1">
      <alignment horizontal="left" vertical="center"/>
    </xf>
    <xf numFmtId="0" fontId="9" fillId="0" borderId="10" xfId="0" applyFont="1" applyBorder="1" applyAlignment="1">
      <alignment horizontal="center" vertical="center"/>
    </xf>
    <xf numFmtId="41" fontId="3" fillId="2" borderId="4" xfId="0" applyNumberFormat="1" applyFont="1" applyFill="1" applyBorder="1" applyAlignment="1">
      <alignment vertical="top"/>
    </xf>
    <xf numFmtId="9" fontId="6" fillId="19" borderId="6" xfId="0" applyNumberFormat="1" applyFont="1" applyFill="1" applyBorder="1" applyAlignment="1">
      <alignment horizontal="center" vertical="center" wrapText="1"/>
    </xf>
    <xf numFmtId="0" fontId="6" fillId="19" borderId="8" xfId="0" applyFont="1" applyFill="1" applyBorder="1" applyAlignment="1">
      <alignment horizontal="center" vertical="center" wrapText="1"/>
    </xf>
    <xf numFmtId="0" fontId="10" fillId="2" borderId="4" xfId="0" applyFont="1" applyFill="1" applyBorder="1" applyAlignment="1">
      <alignment horizontal="left" vertical="top"/>
    </xf>
    <xf numFmtId="164" fontId="3" fillId="2" borderId="12" xfId="1" applyNumberFormat="1" applyFont="1" applyFill="1" applyBorder="1" applyAlignment="1">
      <alignment horizontal="center" vertical="top"/>
    </xf>
    <xf numFmtId="0" fontId="3" fillId="17" borderId="3" xfId="0" applyFont="1" applyFill="1" applyBorder="1" applyAlignment="1">
      <alignment horizontal="left" vertical="top"/>
    </xf>
    <xf numFmtId="0" fontId="3" fillId="3" borderId="1" xfId="0" applyFont="1" applyFill="1" applyBorder="1" applyAlignment="1">
      <alignment horizontal="left" vertical="top" wrapText="1"/>
    </xf>
    <xf numFmtId="9" fontId="3" fillId="0" borderId="0" xfId="1" applyFont="1" applyAlignment="1">
      <alignment horizontal="left" vertical="top"/>
    </xf>
    <xf numFmtId="165" fontId="3" fillId="0" borderId="0" xfId="1" applyNumberFormat="1" applyFont="1" applyAlignment="1">
      <alignment horizontal="left" vertical="top"/>
    </xf>
    <xf numFmtId="164" fontId="3" fillId="0" borderId="0" xfId="1" applyNumberFormat="1" applyFont="1" applyAlignment="1">
      <alignment horizontal="left" vertical="top"/>
    </xf>
    <xf numFmtId="166" fontId="3" fillId="0" borderId="0" xfId="1" applyNumberFormat="1" applyFont="1" applyAlignment="1">
      <alignment horizontal="left" vertical="top"/>
    </xf>
    <xf numFmtId="164" fontId="3" fillId="0" borderId="0" xfId="1" applyNumberFormat="1" applyFont="1" applyFill="1" applyAlignment="1">
      <alignment horizontal="right" vertical="top"/>
    </xf>
    <xf numFmtId="164" fontId="3" fillId="0" borderId="1" xfId="1" applyNumberFormat="1" applyFont="1" applyFill="1" applyBorder="1" applyAlignment="1">
      <alignment horizontal="right" vertical="top"/>
    </xf>
    <xf numFmtId="9" fontId="4" fillId="20" borderId="1" xfId="0" applyNumberFormat="1" applyFont="1" applyFill="1" applyBorder="1" applyAlignment="1">
      <alignment horizontal="center" vertical="center" wrapText="1"/>
    </xf>
    <xf numFmtId="9" fontId="4" fillId="20" borderId="7" xfId="0" applyNumberFormat="1" applyFont="1" applyFill="1" applyBorder="1" applyAlignment="1">
      <alignment horizontal="center" vertical="center" wrapText="1"/>
    </xf>
    <xf numFmtId="9" fontId="4" fillId="20" borderId="5" xfId="0" applyNumberFormat="1" applyFont="1" applyFill="1" applyBorder="1" applyAlignment="1">
      <alignment horizontal="center" vertical="center" wrapText="1"/>
    </xf>
    <xf numFmtId="9" fontId="4" fillId="20" borderId="3" xfId="0" applyNumberFormat="1" applyFont="1" applyFill="1" applyBorder="1" applyAlignment="1">
      <alignment horizontal="center" vertical="center" wrapText="1"/>
    </xf>
    <xf numFmtId="167" fontId="3" fillId="0" borderId="1" xfId="1" applyNumberFormat="1" applyFont="1" applyFill="1" applyBorder="1" applyAlignment="1">
      <alignment horizontal="center" vertical="top"/>
    </xf>
    <xf numFmtId="0" fontId="3" fillId="21" borderId="1" xfId="2" applyFont="1" applyFill="1" applyBorder="1" applyAlignment="1">
      <alignment horizontal="center" vertical="top"/>
    </xf>
    <xf numFmtId="166" fontId="6" fillId="18" borderId="5" xfId="1" applyNumberFormat="1" applyFont="1" applyFill="1" applyBorder="1" applyAlignment="1">
      <alignment horizontal="center" wrapText="1"/>
    </xf>
    <xf numFmtId="166" fontId="6" fillId="19" borderId="5" xfId="1" applyNumberFormat="1" applyFont="1" applyFill="1" applyBorder="1" applyAlignment="1">
      <alignment horizontal="center" wrapText="1"/>
    </xf>
    <xf numFmtId="166" fontId="4" fillId="18" borderId="5" xfId="1" applyNumberFormat="1" applyFont="1" applyFill="1" applyBorder="1" applyAlignment="1">
      <alignment horizontal="center" wrapText="1"/>
    </xf>
    <xf numFmtId="166" fontId="4" fillId="19" borderId="5" xfId="1" applyNumberFormat="1" applyFont="1" applyFill="1" applyBorder="1" applyAlignment="1">
      <alignment horizontal="center" wrapText="1"/>
    </xf>
    <xf numFmtId="166" fontId="6" fillId="8" borderId="5" xfId="1" applyNumberFormat="1" applyFont="1" applyFill="1" applyBorder="1" applyAlignment="1">
      <alignment horizontal="center" wrapText="1"/>
    </xf>
    <xf numFmtId="166" fontId="9" fillId="0" borderId="5" xfId="1" applyNumberFormat="1" applyFont="1" applyBorder="1" applyAlignment="1">
      <alignment horizontal="center" vertical="center" wrapText="1"/>
    </xf>
    <xf numFmtId="166" fontId="6" fillId="18" borderId="1" xfId="1" applyNumberFormat="1" applyFont="1" applyFill="1" applyBorder="1" applyAlignment="1">
      <alignment horizontal="center" wrapText="1"/>
    </xf>
    <xf numFmtId="166" fontId="6" fillId="19" borderId="6" xfId="1" applyNumberFormat="1" applyFont="1" applyFill="1" applyBorder="1" applyAlignment="1">
      <alignment horizontal="center" wrapText="1"/>
    </xf>
    <xf numFmtId="166" fontId="6" fillId="6" borderId="5" xfId="1" applyNumberFormat="1" applyFont="1" applyFill="1" applyBorder="1" applyAlignment="1">
      <alignment horizontal="center" wrapText="1"/>
    </xf>
    <xf numFmtId="166" fontId="6" fillId="4" borderId="5" xfId="1" applyNumberFormat="1" applyFont="1" applyFill="1" applyBorder="1" applyAlignment="1">
      <alignment horizontal="center" wrapText="1"/>
    </xf>
    <xf numFmtId="166" fontId="6" fillId="11" borderId="5" xfId="1" applyNumberFormat="1" applyFont="1" applyFill="1" applyBorder="1" applyAlignment="1">
      <alignment horizontal="center" wrapText="1"/>
    </xf>
    <xf numFmtId="166" fontId="6" fillId="10" borderId="5" xfId="1" applyNumberFormat="1" applyFont="1" applyFill="1" applyBorder="1" applyAlignment="1">
      <alignment horizontal="center" wrapText="1"/>
    </xf>
    <xf numFmtId="166" fontId="6" fillId="9" borderId="5" xfId="1" applyNumberFormat="1" applyFont="1" applyFill="1" applyBorder="1" applyAlignment="1">
      <alignment horizontal="center" wrapText="1"/>
    </xf>
    <xf numFmtId="166" fontId="3" fillId="0" borderId="0" xfId="1" applyNumberFormat="1" applyFont="1" applyAlignment="1">
      <alignment horizontal="center" vertical="top" wrapText="1"/>
    </xf>
    <xf numFmtId="167" fontId="3" fillId="22" borderId="1" xfId="1" applyNumberFormat="1" applyFont="1" applyFill="1" applyBorder="1" applyAlignment="1">
      <alignment horizontal="center" vertical="top"/>
    </xf>
    <xf numFmtId="164" fontId="3" fillId="22" borderId="1" xfId="1" applyNumberFormat="1" applyFont="1" applyFill="1" applyBorder="1" applyAlignment="1">
      <alignment horizontal="right" vertical="top"/>
    </xf>
    <xf numFmtId="165" fontId="3" fillId="23" borderId="0" xfId="1" applyNumberFormat="1" applyFont="1" applyFill="1" applyAlignment="1">
      <alignment horizontal="left" vertical="top"/>
    </xf>
    <xf numFmtId="165" fontId="3" fillId="24" borderId="0" xfId="1" applyNumberFormat="1" applyFont="1" applyFill="1" applyAlignment="1">
      <alignment horizontal="left" vertical="top"/>
    </xf>
    <xf numFmtId="164" fontId="3" fillId="25" borderId="0" xfId="1" applyNumberFormat="1" applyFont="1" applyFill="1" applyAlignment="1">
      <alignment horizontal="left" vertical="top"/>
    </xf>
    <xf numFmtId="164" fontId="3" fillId="26" borderId="0" xfId="1" applyNumberFormat="1" applyFont="1" applyFill="1" applyAlignment="1">
      <alignment horizontal="left" vertical="top"/>
    </xf>
    <xf numFmtId="0" fontId="3" fillId="26" borderId="1" xfId="2" applyFont="1" applyFill="1" applyBorder="1" applyAlignment="1">
      <alignment horizontal="left" vertical="top"/>
    </xf>
    <xf numFmtId="9" fontId="3" fillId="26" borderId="1" xfId="2" applyNumberFormat="1" applyFont="1" applyFill="1" applyBorder="1" applyAlignment="1">
      <alignment horizontal="center" vertical="top"/>
    </xf>
    <xf numFmtId="164" fontId="3" fillId="26" borderId="2" xfId="1" applyNumberFormat="1" applyFont="1" applyFill="1" applyBorder="1" applyAlignment="1">
      <alignment horizontal="center" vertical="top"/>
    </xf>
    <xf numFmtId="9" fontId="3" fillId="26" borderId="1" xfId="3" applyFont="1" applyFill="1" applyBorder="1" applyAlignment="1">
      <alignment horizontal="center" vertical="top"/>
    </xf>
    <xf numFmtId="166" fontId="3" fillId="26" borderId="0" xfId="1" applyNumberFormat="1" applyFont="1" applyFill="1" applyAlignment="1">
      <alignment horizontal="left" vertical="top"/>
    </xf>
    <xf numFmtId="0" fontId="4" fillId="26" borderId="1" xfId="2" applyFont="1" applyFill="1" applyBorder="1" applyAlignment="1">
      <alignment horizontal="left" vertical="top"/>
    </xf>
    <xf numFmtId="164" fontId="3" fillId="21" borderId="0" xfId="1" applyNumberFormat="1" applyFont="1" applyFill="1" applyAlignment="1">
      <alignment horizontal="left" vertical="top"/>
    </xf>
    <xf numFmtId="167" fontId="3" fillId="27" borderId="1" xfId="1" applyNumberFormat="1" applyFont="1" applyFill="1" applyBorder="1" applyAlignment="1">
      <alignment horizontal="center" vertical="top"/>
    </xf>
    <xf numFmtId="167" fontId="3" fillId="21" borderId="1" xfId="1" applyNumberFormat="1" applyFont="1" applyFill="1" applyBorder="1" applyAlignment="1">
      <alignment horizontal="center" vertical="top"/>
    </xf>
    <xf numFmtId="0" fontId="13" fillId="0" borderId="0" xfId="0" applyFont="1" applyAlignment="1">
      <alignment horizontal="left"/>
    </xf>
    <xf numFmtId="0" fontId="13" fillId="0" borderId="1" xfId="0" applyFont="1" applyBorder="1"/>
    <xf numFmtId="167" fontId="13" fillId="22" borderId="1" xfId="1" applyNumberFormat="1" applyFont="1" applyFill="1" applyBorder="1" applyAlignment="1">
      <alignment horizontal="left" vertical="top"/>
    </xf>
    <xf numFmtId="164" fontId="13" fillId="12" borderId="1" xfId="1" applyNumberFormat="1" applyFont="1" applyFill="1" applyBorder="1" applyAlignment="1">
      <alignment horizontal="center" vertical="top"/>
    </xf>
    <xf numFmtId="0" fontId="13" fillId="0" borderId="0" xfId="0" applyFont="1"/>
    <xf numFmtId="164" fontId="13" fillId="12" borderId="1" xfId="1" applyNumberFormat="1" applyFont="1" applyFill="1" applyBorder="1" applyAlignment="1">
      <alignment horizontal="left" vertical="top"/>
    </xf>
    <xf numFmtId="165" fontId="13" fillId="12" borderId="1" xfId="1" applyNumberFormat="1" applyFont="1" applyFill="1" applyBorder="1" applyAlignment="1">
      <alignment horizontal="center" vertical="top"/>
    </xf>
    <xf numFmtId="165" fontId="13" fillId="0" borderId="0" xfId="1" applyNumberFormat="1" applyFont="1"/>
    <xf numFmtId="164" fontId="13" fillId="28" borderId="1" xfId="1" applyNumberFormat="1" applyFont="1" applyFill="1" applyBorder="1" applyAlignment="1">
      <alignment horizontal="center" vertical="top"/>
    </xf>
    <xf numFmtId="164" fontId="13" fillId="28" borderId="1" xfId="1" applyNumberFormat="1" applyFont="1" applyFill="1" applyBorder="1" applyAlignment="1">
      <alignment horizontal="left" vertical="top"/>
    </xf>
    <xf numFmtId="165" fontId="13" fillId="28" borderId="1" xfId="1" applyNumberFormat="1" applyFont="1" applyFill="1" applyBorder="1" applyAlignment="1">
      <alignment horizontal="center" vertical="top"/>
    </xf>
    <xf numFmtId="167" fontId="13" fillId="0" borderId="1" xfId="1" applyNumberFormat="1" applyFont="1" applyFill="1" applyBorder="1" applyAlignment="1">
      <alignment horizontal="left" vertical="top"/>
    </xf>
    <xf numFmtId="165" fontId="13" fillId="12" borderId="1" xfId="1" applyNumberFormat="1" applyFont="1" applyFill="1" applyBorder="1" applyAlignment="1">
      <alignment horizontal="left" vertical="top"/>
    </xf>
    <xf numFmtId="165" fontId="13" fillId="28" borderId="1" xfId="1" applyNumberFormat="1" applyFont="1" applyFill="1" applyBorder="1" applyAlignment="1">
      <alignment horizontal="left" vertical="top"/>
    </xf>
    <xf numFmtId="164" fontId="13" fillId="0" borderId="1" xfId="0" applyNumberFormat="1" applyFont="1" applyBorder="1"/>
    <xf numFmtId="164" fontId="13" fillId="0" borderId="0" xfId="0" applyNumberFormat="1" applyFont="1"/>
    <xf numFmtId="165" fontId="13" fillId="0" borderId="1" xfId="1" applyNumberFormat="1" applyFont="1" applyBorder="1"/>
    <xf numFmtId="0" fontId="14" fillId="0" borderId="1" xfId="0" applyFont="1" applyBorder="1" applyAlignment="1">
      <alignment horizontal="center"/>
    </xf>
    <xf numFmtId="0" fontId="14" fillId="0" borderId="1" xfId="0" applyFont="1" applyBorder="1" applyAlignment="1">
      <alignment horizontal="center" vertical="center"/>
    </xf>
    <xf numFmtId="0" fontId="14" fillId="0" borderId="0" xfId="0" applyFont="1" applyAlignment="1">
      <alignment horizontal="center"/>
    </xf>
    <xf numFmtId="0" fontId="3" fillId="0" borderId="0" xfId="0" applyFont="1" applyAlignment="1">
      <alignment horizontal="right" vertical="top"/>
    </xf>
    <xf numFmtId="10" fontId="3" fillId="22" borderId="0" xfId="0" applyNumberFormat="1" applyFont="1" applyFill="1" applyAlignment="1">
      <alignment horizontal="right" vertical="top"/>
    </xf>
    <xf numFmtId="165" fontId="3" fillId="30" borderId="0" xfId="0" applyNumberFormat="1" applyFont="1" applyFill="1" applyAlignment="1">
      <alignment horizontal="right" vertical="top"/>
    </xf>
    <xf numFmtId="10" fontId="3" fillId="28" borderId="4" xfId="1" applyNumberFormat="1" applyFont="1" applyFill="1" applyBorder="1" applyAlignment="1">
      <alignment horizontal="right" vertical="top"/>
    </xf>
    <xf numFmtId="167" fontId="3" fillId="29" borderId="4" xfId="0" applyNumberFormat="1" applyFont="1" applyFill="1" applyBorder="1" applyAlignment="1">
      <alignment horizontal="right" vertical="top"/>
    </xf>
    <xf numFmtId="165" fontId="3" fillId="28" borderId="4" xfId="1" applyNumberFormat="1" applyFont="1" applyFill="1" applyBorder="1" applyAlignment="1">
      <alignment horizontal="right" vertical="top"/>
    </xf>
    <xf numFmtId="165" fontId="3" fillId="29" borderId="4" xfId="0" applyNumberFormat="1" applyFont="1" applyFill="1" applyBorder="1" applyAlignment="1">
      <alignment horizontal="right" vertical="top"/>
    </xf>
    <xf numFmtId="165" fontId="3" fillId="30" borderId="12" xfId="0" applyNumberFormat="1" applyFont="1" applyFill="1" applyBorder="1" applyAlignment="1">
      <alignment horizontal="right" vertical="top"/>
    </xf>
    <xf numFmtId="9" fontId="3" fillId="30" borderId="13" xfId="1" applyFont="1" applyFill="1" applyBorder="1" applyAlignment="1">
      <alignment horizontal="right" vertical="top"/>
    </xf>
    <xf numFmtId="165" fontId="3" fillId="22" borderId="12" xfId="0" applyNumberFormat="1" applyFont="1" applyFill="1" applyBorder="1" applyAlignment="1">
      <alignment horizontal="right" vertical="top"/>
    </xf>
    <xf numFmtId="9" fontId="3" fillId="22" borderId="13" xfId="1" applyFont="1" applyFill="1" applyBorder="1" applyAlignment="1">
      <alignment horizontal="right" vertical="top"/>
    </xf>
    <xf numFmtId="164" fontId="3" fillId="12" borderId="12" xfId="1" applyNumberFormat="1" applyFont="1" applyFill="1" applyBorder="1" applyAlignment="1">
      <alignment horizontal="center" vertical="top"/>
    </xf>
    <xf numFmtId="9" fontId="3" fillId="12" borderId="13" xfId="1" applyFont="1" applyFill="1" applyBorder="1" applyAlignment="1">
      <alignment horizontal="center" vertical="top"/>
    </xf>
    <xf numFmtId="164" fontId="3" fillId="28" borderId="12" xfId="1" applyNumberFormat="1" applyFont="1" applyFill="1" applyBorder="1" applyAlignment="1">
      <alignment horizontal="center" vertical="top"/>
    </xf>
    <xf numFmtId="9" fontId="3" fillId="28" borderId="13" xfId="1" applyFont="1" applyFill="1" applyBorder="1" applyAlignment="1">
      <alignment horizontal="center" vertical="top"/>
    </xf>
    <xf numFmtId="9" fontId="3" fillId="28" borderId="10" xfId="1" applyFont="1" applyFill="1" applyBorder="1" applyAlignment="1">
      <alignment horizontal="center" vertical="top"/>
    </xf>
    <xf numFmtId="9" fontId="3" fillId="22" borderId="10" xfId="1" applyFont="1" applyFill="1" applyBorder="1" applyAlignment="1">
      <alignment horizontal="right" vertical="top"/>
    </xf>
    <xf numFmtId="10" fontId="3" fillId="30" borderId="12" xfId="0" applyNumberFormat="1" applyFont="1" applyFill="1" applyBorder="1" applyAlignment="1">
      <alignment horizontal="right" vertical="top"/>
    </xf>
    <xf numFmtId="165" fontId="3" fillId="28" borderId="12" xfId="1" applyNumberFormat="1" applyFont="1" applyFill="1" applyBorder="1" applyAlignment="1">
      <alignment horizontal="center" vertical="top"/>
    </xf>
    <xf numFmtId="165" fontId="3" fillId="12" borderId="12" xfId="1" applyNumberFormat="1" applyFont="1" applyFill="1" applyBorder="1" applyAlignment="1">
      <alignment horizontal="center" vertical="top"/>
    </xf>
    <xf numFmtId="165" fontId="3" fillId="23" borderId="12" xfId="0" applyNumberFormat="1" applyFont="1" applyFill="1" applyBorder="1" applyAlignment="1">
      <alignment horizontal="right" vertical="top"/>
    </xf>
    <xf numFmtId="10" fontId="3" fillId="22" borderId="0" xfId="1" applyNumberFormat="1" applyFont="1" applyFill="1" applyAlignment="1">
      <alignment horizontal="left" vertical="top"/>
    </xf>
    <xf numFmtId="10" fontId="3" fillId="0" borderId="0" xfId="1" applyNumberFormat="1" applyFont="1" applyFill="1" applyAlignment="1">
      <alignment horizontal="left" vertical="top"/>
    </xf>
    <xf numFmtId="9" fontId="4" fillId="19" borderId="5" xfId="1" applyFont="1" applyFill="1" applyBorder="1" applyAlignment="1">
      <alignment horizontal="center" vertical="center" wrapText="1"/>
    </xf>
    <xf numFmtId="9" fontId="4" fillId="19" borderId="3" xfId="1" applyFont="1" applyFill="1" applyBorder="1" applyAlignment="1">
      <alignment horizontal="center" vertical="center" wrapText="1"/>
    </xf>
    <xf numFmtId="9" fontId="6" fillId="18" borderId="5" xfId="1" applyFont="1" applyFill="1" applyBorder="1" applyAlignment="1">
      <alignment horizontal="center" vertical="center" wrapText="1"/>
    </xf>
    <xf numFmtId="9" fontId="6" fillId="18" borderId="3" xfId="1" applyFont="1" applyFill="1" applyBorder="1" applyAlignment="1">
      <alignment horizontal="center" vertical="center" wrapText="1"/>
    </xf>
    <xf numFmtId="9" fontId="3" fillId="22" borderId="11" xfId="0" applyNumberFormat="1" applyFont="1" applyFill="1" applyBorder="1" applyAlignment="1">
      <alignment horizontal="center" vertical="top"/>
    </xf>
    <xf numFmtId="0" fontId="3" fillId="22" borderId="8" xfId="0" applyFont="1" applyFill="1" applyBorder="1" applyAlignment="1">
      <alignment horizontal="center" vertical="top"/>
    </xf>
    <xf numFmtId="0" fontId="3" fillId="22" borderId="3" xfId="0" applyFont="1" applyFill="1" applyBorder="1" applyAlignment="1">
      <alignment horizontal="center" vertical="top"/>
    </xf>
    <xf numFmtId="10" fontId="3" fillId="22" borderId="4" xfId="1" applyNumberFormat="1" applyFont="1" applyFill="1" applyBorder="1" applyAlignment="1">
      <alignment horizontal="left" vertical="top"/>
    </xf>
    <xf numFmtId="10" fontId="3" fillId="22" borderId="6" xfId="1" applyNumberFormat="1" applyFont="1" applyFill="1" applyBorder="1" applyAlignment="1">
      <alignment horizontal="left" vertical="top"/>
    </xf>
    <xf numFmtId="10" fontId="3" fillId="22" borderId="5" xfId="1" applyNumberFormat="1" applyFont="1" applyFill="1" applyBorder="1" applyAlignment="1">
      <alignment horizontal="left" vertical="top"/>
    </xf>
    <xf numFmtId="10" fontId="3" fillId="0" borderId="4" xfId="1" applyNumberFormat="1" applyFont="1" applyBorder="1" applyAlignment="1">
      <alignment horizontal="left" vertical="top"/>
    </xf>
    <xf numFmtId="10" fontId="3" fillId="0" borderId="6" xfId="1" applyNumberFormat="1" applyFont="1" applyBorder="1" applyAlignment="1">
      <alignment horizontal="left" vertical="top"/>
    </xf>
    <xf numFmtId="10" fontId="3" fillId="0" borderId="5" xfId="1" applyNumberFormat="1" applyFont="1" applyBorder="1" applyAlignment="1">
      <alignment horizontal="left" vertical="top"/>
    </xf>
    <xf numFmtId="9" fontId="3" fillId="0" borderId="4" xfId="0" applyNumberFormat="1" applyFont="1" applyBorder="1" applyAlignment="1">
      <alignment horizontal="center" vertical="top"/>
    </xf>
    <xf numFmtId="9" fontId="3" fillId="0" borderId="6" xfId="0" applyNumberFormat="1" applyFont="1" applyBorder="1" applyAlignment="1">
      <alignment horizontal="center" vertical="top"/>
    </xf>
    <xf numFmtId="0" fontId="3" fillId="0" borderId="6" xfId="0" applyFont="1" applyBorder="1" applyAlignment="1">
      <alignment horizontal="center" vertical="top"/>
    </xf>
    <xf numFmtId="9" fontId="3" fillId="0" borderId="5" xfId="0" applyNumberFormat="1" applyFont="1" applyBorder="1" applyAlignment="1">
      <alignment horizontal="center" vertical="top"/>
    </xf>
    <xf numFmtId="0" fontId="3" fillId="22" borderId="4" xfId="0" applyFont="1" applyFill="1" applyBorder="1" applyAlignment="1">
      <alignment horizontal="center" vertical="top"/>
    </xf>
    <xf numFmtId="0" fontId="3" fillId="22" borderId="6" xfId="0" applyFont="1" applyFill="1" applyBorder="1" applyAlignment="1">
      <alignment horizontal="center" vertical="top"/>
    </xf>
    <xf numFmtId="9" fontId="3" fillId="22" borderId="5" xfId="0" applyNumberFormat="1" applyFont="1" applyFill="1" applyBorder="1" applyAlignment="1">
      <alignment horizontal="center" vertical="top"/>
    </xf>
    <xf numFmtId="0" fontId="3" fillId="0" borderId="5" xfId="0" applyFont="1" applyBorder="1" applyAlignment="1">
      <alignment horizontal="center" vertical="top"/>
    </xf>
    <xf numFmtId="0" fontId="3" fillId="22" borderId="5" xfId="0" applyFont="1" applyFill="1" applyBorder="1" applyAlignment="1">
      <alignment horizontal="center" vertical="top"/>
    </xf>
    <xf numFmtId="10" fontId="3" fillId="0" borderId="4" xfId="1" applyNumberFormat="1" applyFont="1" applyFill="1" applyBorder="1" applyAlignment="1">
      <alignment horizontal="left" vertical="top"/>
    </xf>
    <xf numFmtId="10" fontId="3" fillId="0" borderId="6" xfId="1" applyNumberFormat="1" applyFont="1" applyFill="1" applyBorder="1" applyAlignment="1">
      <alignment horizontal="left" vertical="top"/>
    </xf>
    <xf numFmtId="10" fontId="3" fillId="0" borderId="5" xfId="1" applyNumberFormat="1" applyFont="1" applyFill="1" applyBorder="1" applyAlignment="1">
      <alignment horizontal="left" vertical="top"/>
    </xf>
    <xf numFmtId="0" fontId="3" fillId="0" borderId="4" xfId="0" applyFont="1" applyBorder="1" applyAlignment="1">
      <alignment horizontal="center" vertical="top"/>
    </xf>
    <xf numFmtId="10" fontId="3" fillId="31" borderId="4" xfId="1" applyNumberFormat="1" applyFont="1" applyFill="1" applyBorder="1" applyAlignment="1">
      <alignment horizontal="left" vertical="top"/>
    </xf>
    <xf numFmtId="10" fontId="3" fillId="31" borderId="6" xfId="1" applyNumberFormat="1" applyFont="1" applyFill="1" applyBorder="1" applyAlignment="1">
      <alignment horizontal="left" vertical="top"/>
    </xf>
    <xf numFmtId="10" fontId="3" fillId="31" borderId="5" xfId="1" applyNumberFormat="1" applyFont="1" applyFill="1" applyBorder="1" applyAlignment="1">
      <alignment horizontal="left" vertical="top"/>
    </xf>
    <xf numFmtId="10" fontId="3" fillId="22" borderId="12" xfId="1" applyNumberFormat="1" applyFont="1" applyFill="1" applyBorder="1" applyAlignment="1">
      <alignment horizontal="left" vertical="top"/>
    </xf>
    <xf numFmtId="10" fontId="3" fillId="22" borderId="13" xfId="1" applyNumberFormat="1" applyFont="1" applyFill="1" applyBorder="1" applyAlignment="1">
      <alignment horizontal="left" vertical="top"/>
    </xf>
    <xf numFmtId="10" fontId="3" fillId="22" borderId="10" xfId="1" applyNumberFormat="1" applyFont="1" applyFill="1" applyBorder="1" applyAlignment="1">
      <alignment horizontal="left" vertical="top"/>
    </xf>
    <xf numFmtId="9" fontId="3" fillId="22" borderId="4" xfId="0" applyNumberFormat="1" applyFont="1" applyFill="1" applyBorder="1" applyAlignment="1">
      <alignment horizontal="center" vertical="top"/>
    </xf>
    <xf numFmtId="10" fontId="3" fillId="22" borderId="4" xfId="0" applyNumberFormat="1" applyFont="1" applyFill="1" applyBorder="1" applyAlignment="1">
      <alignment horizontal="center" vertical="top"/>
    </xf>
    <xf numFmtId="9" fontId="3" fillId="22" borderId="6" xfId="0" applyNumberFormat="1" applyFont="1" applyFill="1" applyBorder="1" applyAlignment="1">
      <alignment horizontal="center" vertical="top"/>
    </xf>
    <xf numFmtId="0" fontId="9" fillId="0" borderId="1" xfId="0" applyFont="1" applyBorder="1" applyAlignment="1">
      <alignment horizontal="left" vertical="center"/>
    </xf>
    <xf numFmtId="0" fontId="9" fillId="0" borderId="1" xfId="0" applyFont="1" applyBorder="1" applyAlignment="1">
      <alignment vertical="top"/>
    </xf>
    <xf numFmtId="164" fontId="9" fillId="0" borderId="1" xfId="1" applyNumberFormat="1" applyFont="1" applyFill="1" applyBorder="1" applyAlignment="1">
      <alignment horizontal="center" vertical="center"/>
    </xf>
    <xf numFmtId="0" fontId="9" fillId="32" borderId="5" xfId="0" applyFont="1" applyFill="1" applyBorder="1" applyAlignment="1">
      <alignment horizontal="left" vertical="center"/>
    </xf>
    <xf numFmtId="0" fontId="15" fillId="32" borderId="1" xfId="0" applyFont="1" applyFill="1" applyBorder="1" applyAlignment="1">
      <alignment horizontal="left" vertical="center"/>
    </xf>
    <xf numFmtId="0" fontId="15" fillId="32" borderId="1" xfId="0" applyFont="1" applyFill="1" applyBorder="1" applyAlignment="1">
      <alignment vertical="top"/>
    </xf>
    <xf numFmtId="43" fontId="3" fillId="22" borderId="4" xfId="0" applyNumberFormat="1" applyFont="1" applyFill="1" applyBorder="1" applyAlignment="1">
      <alignment horizontal="left" vertical="top"/>
    </xf>
    <xf numFmtId="43" fontId="3" fillId="22" borderId="6" xfId="0" applyNumberFormat="1" applyFont="1" applyFill="1" applyBorder="1" applyAlignment="1">
      <alignment horizontal="left" vertical="top"/>
    </xf>
    <xf numFmtId="43" fontId="3" fillId="22" borderId="5" xfId="0" applyNumberFormat="1" applyFont="1" applyFill="1" applyBorder="1" applyAlignment="1">
      <alignment horizontal="left" vertical="top"/>
    </xf>
    <xf numFmtId="43" fontId="3" fillId="0" borderId="6" xfId="0" applyNumberFormat="1" applyFont="1" applyBorder="1" applyAlignment="1">
      <alignment horizontal="left" vertical="top"/>
    </xf>
    <xf numFmtId="43" fontId="3" fillId="0" borderId="5" xfId="0" applyNumberFormat="1" applyFont="1" applyBorder="1" applyAlignment="1">
      <alignment horizontal="left" vertical="top"/>
    </xf>
    <xf numFmtId="0" fontId="9" fillId="0" borderId="4" xfId="0" applyFont="1" applyBorder="1" applyAlignment="1">
      <alignment horizontal="left" vertical="center"/>
    </xf>
    <xf numFmtId="0" fontId="3" fillId="2" borderId="1" xfId="0" applyFont="1" applyFill="1" applyBorder="1" applyAlignment="1">
      <alignment horizontal="left" vertical="top" wrapText="1"/>
    </xf>
    <xf numFmtId="165" fontId="3" fillId="22" borderId="1" xfId="0" applyNumberFormat="1" applyFont="1" applyFill="1" applyBorder="1" applyAlignment="1">
      <alignment horizontal="right" vertical="top"/>
    </xf>
    <xf numFmtId="165" fontId="3" fillId="22" borderId="1" xfId="1" applyNumberFormat="1" applyFont="1" applyFill="1" applyBorder="1" applyAlignment="1">
      <alignment horizontal="right" vertical="top"/>
    </xf>
    <xf numFmtId="165" fontId="3" fillId="30" borderId="1" xfId="0" applyNumberFormat="1" applyFont="1" applyFill="1" applyBorder="1" applyAlignment="1">
      <alignment horizontal="right" vertical="top"/>
    </xf>
    <xf numFmtId="165" fontId="3" fillId="30" borderId="1" xfId="1" applyNumberFormat="1" applyFont="1" applyFill="1" applyBorder="1" applyAlignment="1">
      <alignment horizontal="right" vertical="top"/>
    </xf>
    <xf numFmtId="164" fontId="3" fillId="30" borderId="1" xfId="0" applyNumberFormat="1" applyFont="1" applyFill="1" applyBorder="1" applyAlignment="1">
      <alignment horizontal="right" vertical="top"/>
    </xf>
    <xf numFmtId="9" fontId="3" fillId="30" borderId="1" xfId="1" applyFont="1" applyFill="1" applyBorder="1" applyAlignment="1">
      <alignment horizontal="right" vertical="top"/>
    </xf>
    <xf numFmtId="165" fontId="3" fillId="23" borderId="1" xfId="0" applyNumberFormat="1" applyFont="1" applyFill="1" applyBorder="1" applyAlignment="1">
      <alignment horizontal="right" vertical="top"/>
    </xf>
    <xf numFmtId="164" fontId="3" fillId="22" borderId="1" xfId="0" applyNumberFormat="1" applyFont="1" applyFill="1" applyBorder="1" applyAlignment="1">
      <alignment horizontal="right" vertical="top"/>
    </xf>
    <xf numFmtId="165" fontId="3" fillId="23" borderId="1" xfId="1" applyNumberFormat="1" applyFont="1" applyFill="1" applyBorder="1" applyAlignment="1">
      <alignment horizontal="right" vertical="top"/>
    </xf>
    <xf numFmtId="10" fontId="3" fillId="28" borderId="1" xfId="1" applyNumberFormat="1" applyFont="1" applyFill="1" applyBorder="1" applyAlignment="1">
      <alignment horizontal="right" vertical="top"/>
    </xf>
    <xf numFmtId="165" fontId="3" fillId="29" borderId="1" xfId="0" applyNumberFormat="1" applyFont="1" applyFill="1" applyBorder="1" applyAlignment="1">
      <alignment horizontal="right" vertical="top"/>
    </xf>
    <xf numFmtId="165" fontId="3" fillId="29" borderId="1" xfId="1" applyNumberFormat="1" applyFont="1" applyFill="1" applyBorder="1" applyAlignment="1">
      <alignment horizontal="right" vertical="top"/>
    </xf>
    <xf numFmtId="167" fontId="3" fillId="29" borderId="1" xfId="1" applyNumberFormat="1" applyFont="1" applyFill="1" applyBorder="1" applyAlignment="1">
      <alignment horizontal="right" vertical="top"/>
    </xf>
    <xf numFmtId="167" fontId="3" fillId="29" borderId="1" xfId="0" applyNumberFormat="1" applyFont="1" applyFill="1" applyBorder="1" applyAlignment="1">
      <alignment horizontal="right" vertical="top"/>
    </xf>
    <xf numFmtId="0" fontId="3" fillId="0" borderId="9" xfId="0" applyFont="1" applyBorder="1" applyAlignment="1">
      <alignment horizontal="left" vertical="top"/>
    </xf>
    <xf numFmtId="0" fontId="3" fillId="0" borderId="9" xfId="2" applyFont="1" applyBorder="1" applyAlignment="1">
      <alignment horizontal="left" vertical="top"/>
    </xf>
    <xf numFmtId="0" fontId="4" fillId="0" borderId="9" xfId="2" applyFont="1" applyBorder="1" applyAlignment="1">
      <alignment horizontal="left" vertical="top"/>
    </xf>
    <xf numFmtId="0" fontId="3" fillId="17" borderId="14" xfId="0" applyFont="1" applyFill="1" applyBorder="1" applyAlignment="1">
      <alignment horizontal="left" vertical="top"/>
    </xf>
    <xf numFmtId="165" fontId="3" fillId="22" borderId="13" xfId="1" applyNumberFormat="1" applyFont="1" applyFill="1" applyBorder="1" applyAlignment="1">
      <alignment horizontal="right" vertical="top"/>
    </xf>
    <xf numFmtId="0" fontId="3" fillId="22" borderId="12" xfId="0" applyFont="1" applyFill="1" applyBorder="1" applyAlignment="1">
      <alignment horizontal="right" vertical="top"/>
    </xf>
    <xf numFmtId="0" fontId="3" fillId="22" borderId="1" xfId="0" applyFont="1" applyFill="1" applyBorder="1" applyAlignment="1">
      <alignment horizontal="right" vertical="top"/>
    </xf>
    <xf numFmtId="10" fontId="3" fillId="30" borderId="13" xfId="1" applyNumberFormat="1" applyFont="1" applyFill="1" applyBorder="1" applyAlignment="1">
      <alignment horizontal="right" vertical="top"/>
    </xf>
    <xf numFmtId="165" fontId="3" fillId="30" borderId="13" xfId="1" applyNumberFormat="1" applyFont="1" applyFill="1" applyBorder="1" applyAlignment="1">
      <alignment horizontal="right" vertical="top"/>
    </xf>
    <xf numFmtId="10" fontId="3" fillId="22" borderId="0" xfId="1" applyNumberFormat="1" applyFont="1" applyFill="1" applyAlignment="1">
      <alignment horizontal="right" vertical="top"/>
    </xf>
    <xf numFmtId="165" fontId="3" fillId="30" borderId="0" xfId="1" applyNumberFormat="1" applyFont="1" applyFill="1" applyAlignment="1">
      <alignment horizontal="right" vertical="top"/>
    </xf>
    <xf numFmtId="165" fontId="3" fillId="23" borderId="13" xfId="1" applyNumberFormat="1" applyFont="1" applyFill="1" applyBorder="1" applyAlignment="1">
      <alignment horizontal="right" vertical="top"/>
    </xf>
    <xf numFmtId="165" fontId="3" fillId="28" borderId="1" xfId="1" applyNumberFormat="1" applyFont="1" applyFill="1" applyBorder="1" applyAlignment="1">
      <alignment horizontal="center" vertical="top"/>
    </xf>
    <xf numFmtId="165" fontId="3" fillId="12" borderId="1" xfId="1" applyNumberFormat="1" applyFont="1" applyFill="1" applyBorder="1" applyAlignment="1">
      <alignment horizontal="center" vertical="top"/>
    </xf>
    <xf numFmtId="10" fontId="0" fillId="0" borderId="0" xfId="1" applyNumberFormat="1" applyFont="1"/>
    <xf numFmtId="10" fontId="0" fillId="0" borderId="0" xfId="0" applyNumberFormat="1"/>
    <xf numFmtId="164" fontId="0" fillId="0" borderId="0" xfId="0" applyNumberFormat="1"/>
    <xf numFmtId="0" fontId="3" fillId="12" borderId="1" xfId="0" applyFont="1" applyFill="1" applyBorder="1" applyAlignment="1">
      <alignment horizontal="left" vertical="top" wrapText="1"/>
    </xf>
    <xf numFmtId="0" fontId="3" fillId="13" borderId="1" xfId="0" applyFont="1" applyFill="1" applyBorder="1" applyAlignment="1">
      <alignment horizontal="left" vertical="top" wrapText="1"/>
    </xf>
    <xf numFmtId="0" fontId="3" fillId="13" borderId="1" xfId="2" applyFont="1" applyFill="1" applyBorder="1" applyAlignment="1">
      <alignment horizontal="left" vertical="top" wrapText="1"/>
    </xf>
    <xf numFmtId="0" fontId="3" fillId="12" borderId="1" xfId="2" applyFont="1" applyFill="1" applyBorder="1" applyAlignment="1">
      <alignment horizontal="left" vertical="top" wrapText="1"/>
    </xf>
    <xf numFmtId="0" fontId="3" fillId="13" borderId="1" xfId="4" applyFont="1" applyFill="1" applyBorder="1" applyAlignment="1">
      <alignment horizontal="left" vertical="top" wrapText="1"/>
    </xf>
    <xf numFmtId="0" fontId="3" fillId="12" borderId="1" xfId="4" applyFont="1" applyFill="1" applyBorder="1" applyAlignment="1">
      <alignment horizontal="left" vertical="top" wrapText="1"/>
    </xf>
    <xf numFmtId="0" fontId="3" fillId="0" borderId="1" xfId="4" applyFont="1" applyBorder="1" applyAlignment="1">
      <alignment horizontal="left" vertical="top" wrapText="1"/>
    </xf>
    <xf numFmtId="0" fontId="3" fillId="14" borderId="1" xfId="2" applyFont="1" applyFill="1" applyBorder="1" applyAlignment="1">
      <alignment horizontal="left" vertical="top" wrapText="1"/>
    </xf>
    <xf numFmtId="0" fontId="4" fillId="15" borderId="1" xfId="2" applyFont="1" applyFill="1" applyBorder="1" applyAlignment="1">
      <alignment horizontal="left" vertical="top" wrapText="1"/>
    </xf>
    <xf numFmtId="0" fontId="3" fillId="12" borderId="1" xfId="8" applyFont="1" applyFill="1" applyBorder="1" applyAlignment="1">
      <alignment horizontal="left" vertical="top" wrapText="1"/>
    </xf>
    <xf numFmtId="0" fontId="3" fillId="16" borderId="1" xfId="8" applyFont="1" applyFill="1" applyBorder="1" applyAlignment="1">
      <alignment horizontal="left" vertical="top" wrapText="1"/>
    </xf>
    <xf numFmtId="0" fontId="3" fillId="14" borderId="1" xfId="8" applyFont="1" applyFill="1" applyBorder="1" applyAlignment="1">
      <alignment horizontal="left" vertical="top" wrapText="1"/>
    </xf>
    <xf numFmtId="0" fontId="3" fillId="13" borderId="1" xfId="8" applyFont="1" applyFill="1" applyBorder="1" applyAlignment="1">
      <alignment horizontal="left" vertical="top" wrapText="1"/>
    </xf>
    <xf numFmtId="1" fontId="3" fillId="12" borderId="1" xfId="0" applyNumberFormat="1" applyFont="1" applyFill="1" applyBorder="1" applyAlignment="1">
      <alignment horizontal="left" vertical="top" wrapText="1"/>
    </xf>
    <xf numFmtId="41" fontId="3" fillId="3" borderId="10" xfId="0" applyNumberFormat="1" applyFont="1" applyFill="1" applyBorder="1" applyAlignment="1">
      <alignment vertical="top"/>
    </xf>
    <xf numFmtId="41" fontId="3" fillId="2" borderId="10" xfId="0" applyNumberFormat="1" applyFont="1" applyFill="1" applyBorder="1" applyAlignment="1">
      <alignment vertical="top"/>
    </xf>
    <xf numFmtId="41" fontId="3" fillId="2" borderId="10" xfId="6" applyNumberFormat="1" applyFont="1" applyFill="1" applyBorder="1" applyAlignment="1">
      <alignment vertical="top"/>
    </xf>
    <xf numFmtId="41" fontId="3" fillId="3" borderId="5" xfId="6" applyNumberFormat="1" applyFont="1" applyFill="1" applyBorder="1" applyAlignment="1">
      <alignment horizontal="center" vertical="top"/>
    </xf>
    <xf numFmtId="41" fontId="3" fillId="2" borderId="6" xfId="6" applyNumberFormat="1" applyFont="1" applyFill="1" applyBorder="1" applyAlignment="1">
      <alignment vertical="top"/>
    </xf>
    <xf numFmtId="41" fontId="4" fillId="3" borderId="5" xfId="2" applyNumberFormat="1" applyFont="1" applyFill="1" applyBorder="1" applyAlignment="1">
      <alignment vertical="top"/>
    </xf>
    <xf numFmtId="41" fontId="3" fillId="2" borderId="5" xfId="2" applyNumberFormat="1" applyFont="1" applyFill="1" applyBorder="1" applyAlignment="1">
      <alignment vertical="top"/>
    </xf>
    <xf numFmtId="41" fontId="3" fillId="3" borderId="5" xfId="2" applyNumberFormat="1" applyFont="1" applyFill="1" applyBorder="1" applyAlignment="1">
      <alignment vertical="top"/>
    </xf>
    <xf numFmtId="41" fontId="3" fillId="3" borderId="5" xfId="4" applyNumberFormat="1" applyFont="1" applyFill="1" applyBorder="1" applyAlignment="1">
      <alignment vertical="top"/>
    </xf>
    <xf numFmtId="41" fontId="3" fillId="2" borderId="5" xfId="4" applyNumberFormat="1" applyFont="1" applyFill="1" applyBorder="1" applyAlignment="1">
      <alignment vertical="top"/>
    </xf>
    <xf numFmtId="41" fontId="4" fillId="2" borderId="5" xfId="4" applyNumberFormat="1" applyFont="1" applyFill="1" applyBorder="1" applyAlignment="1">
      <alignment vertical="top"/>
    </xf>
    <xf numFmtId="41" fontId="4" fillId="2" borderId="5" xfId="6" applyNumberFormat="1" applyFont="1" applyFill="1" applyBorder="1" applyAlignment="1">
      <alignment vertical="top"/>
    </xf>
    <xf numFmtId="41" fontId="4" fillId="3" borderId="5" xfId="6" applyNumberFormat="1" applyFont="1" applyFill="1" applyBorder="1" applyAlignment="1">
      <alignment vertical="top"/>
    </xf>
    <xf numFmtId="41" fontId="4" fillId="2" borderId="5" xfId="2" applyNumberFormat="1" applyFont="1" applyFill="1" applyBorder="1" applyAlignment="1">
      <alignment vertical="top"/>
    </xf>
    <xf numFmtId="41" fontId="3" fillId="6" borderId="5" xfId="2" applyNumberFormat="1" applyFont="1" applyFill="1" applyBorder="1" applyAlignment="1">
      <alignment vertical="top"/>
    </xf>
    <xf numFmtId="41" fontId="3" fillId="4" borderId="5" xfId="2" applyNumberFormat="1" applyFont="1" applyFill="1" applyBorder="1" applyAlignment="1">
      <alignment vertical="top"/>
    </xf>
    <xf numFmtId="41" fontId="3" fillId="8" borderId="5" xfId="2" applyNumberFormat="1" applyFont="1" applyFill="1" applyBorder="1" applyAlignment="1">
      <alignment vertical="top"/>
    </xf>
    <xf numFmtId="41" fontId="3" fillId="11" borderId="5" xfId="2" applyNumberFormat="1" applyFont="1" applyFill="1" applyBorder="1" applyAlignment="1">
      <alignment vertical="top"/>
    </xf>
    <xf numFmtId="41" fontId="3" fillId="3" borderId="5" xfId="8" applyNumberFormat="1" applyFont="1" applyFill="1" applyBorder="1" applyAlignment="1">
      <alignment vertical="top"/>
    </xf>
    <xf numFmtId="41" fontId="4" fillId="3" borderId="5" xfId="8" applyNumberFormat="1" applyFont="1" applyFill="1" applyBorder="1" applyAlignment="1">
      <alignment vertical="top"/>
    </xf>
    <xf numFmtId="41" fontId="3" fillId="2" borderId="5" xfId="8" applyNumberFormat="1" applyFont="1" applyFill="1" applyBorder="1" applyAlignment="1">
      <alignment vertical="top"/>
    </xf>
    <xf numFmtId="41" fontId="4" fillId="2" borderId="5" xfId="8" applyNumberFormat="1" applyFont="1" applyFill="1" applyBorder="1" applyAlignment="1">
      <alignment vertical="top"/>
    </xf>
    <xf numFmtId="41" fontId="3" fillId="10" borderId="5" xfId="8" applyNumberFormat="1" applyFont="1" applyFill="1" applyBorder="1" applyAlignment="1">
      <alignment vertical="top"/>
    </xf>
    <xf numFmtId="41" fontId="3" fillId="9" borderId="5" xfId="8" applyNumberFormat="1" applyFont="1" applyFill="1" applyBorder="1" applyAlignment="1">
      <alignment vertical="top"/>
    </xf>
    <xf numFmtId="41" fontId="3" fillId="6" borderId="5" xfId="8" applyNumberFormat="1" applyFont="1" applyFill="1" applyBorder="1" applyAlignment="1">
      <alignment vertical="top"/>
    </xf>
    <xf numFmtId="41" fontId="3" fillId="4" borderId="5" xfId="8" applyNumberFormat="1" applyFont="1" applyFill="1" applyBorder="1" applyAlignment="1">
      <alignment vertical="top"/>
    </xf>
    <xf numFmtId="41" fontId="3" fillId="2" borderId="5" xfId="7" applyNumberFormat="1" applyFont="1" applyFill="1" applyBorder="1" applyAlignment="1">
      <alignment vertical="top"/>
    </xf>
    <xf numFmtId="41" fontId="3" fillId="3" borderId="5" xfId="7" applyNumberFormat="1" applyFont="1" applyFill="1" applyBorder="1" applyAlignment="1">
      <alignment vertical="top"/>
    </xf>
    <xf numFmtId="41" fontId="3" fillId="3" borderId="5" xfId="0" applyNumberFormat="1" applyFont="1" applyFill="1" applyBorder="1" applyAlignment="1">
      <alignment vertical="top"/>
    </xf>
    <xf numFmtId="41" fontId="3" fillId="2" borderId="5" xfId="0" applyNumberFormat="1" applyFont="1" applyFill="1" applyBorder="1" applyAlignment="1">
      <alignment vertical="top"/>
    </xf>
    <xf numFmtId="41" fontId="3" fillId="2" borderId="3" xfId="7" applyNumberFormat="1" applyFont="1" applyFill="1" applyBorder="1" applyAlignment="1">
      <alignment vertical="top"/>
    </xf>
    <xf numFmtId="41" fontId="3" fillId="2" borderId="6" xfId="0" applyNumberFormat="1" applyFont="1" applyFill="1" applyBorder="1" applyAlignment="1">
      <alignment vertical="top"/>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10" xfId="0" applyFont="1" applyBorder="1" applyAlignment="1">
      <alignment horizontal="center" vertical="center" wrapText="1"/>
    </xf>
    <xf numFmtId="0" fontId="21" fillId="0" borderId="7" xfId="0" applyFont="1" applyBorder="1" applyAlignment="1">
      <alignment horizontal="center" vertical="center"/>
    </xf>
    <xf numFmtId="0" fontId="21" fillId="0" borderId="1" xfId="0" applyFont="1" applyBorder="1" applyAlignment="1">
      <alignment horizontal="center" vertical="center" wrapText="1"/>
    </xf>
    <xf numFmtId="3" fontId="21" fillId="0" borderId="1" xfId="0" applyNumberFormat="1" applyFont="1" applyBorder="1" applyAlignment="1">
      <alignment horizontal="center" vertical="center" wrapText="1"/>
    </xf>
    <xf numFmtId="14" fontId="21" fillId="0" borderId="1" xfId="0" applyNumberFormat="1" applyFont="1" applyBorder="1" applyAlignment="1">
      <alignment horizontal="center" vertical="center" wrapText="1"/>
    </xf>
    <xf numFmtId="14" fontId="22" fillId="0" borderId="1" xfId="0" applyNumberFormat="1" applyFont="1" applyBorder="1" applyAlignment="1">
      <alignment horizontal="center" vertical="center" wrapText="1"/>
    </xf>
    <xf numFmtId="14" fontId="22" fillId="0" borderId="2" xfId="0" applyNumberFormat="1" applyFont="1" applyBorder="1" applyAlignment="1">
      <alignment horizontal="center" vertical="center" wrapText="1"/>
    </xf>
    <xf numFmtId="14" fontId="22" fillId="0" borderId="12" xfId="0" applyNumberFormat="1" applyFont="1" applyBorder="1" applyAlignment="1">
      <alignment horizontal="center" vertical="center" wrapText="1"/>
    </xf>
    <xf numFmtId="0" fontId="22" fillId="0" borderId="1" xfId="0" applyFont="1" applyBorder="1" applyAlignment="1">
      <alignment horizontal="center" vertical="center"/>
    </xf>
    <xf numFmtId="14" fontId="22" fillId="0" borderId="1" xfId="0" applyNumberFormat="1" applyFont="1" applyBorder="1" applyAlignment="1">
      <alignment horizontal="center" vertical="center"/>
    </xf>
    <xf numFmtId="14" fontId="22" fillId="0" borderId="10" xfId="0" applyNumberFormat="1" applyFont="1" applyBorder="1" applyAlignment="1">
      <alignment horizontal="center" vertical="center" wrapText="1"/>
    </xf>
    <xf numFmtId="0" fontId="22" fillId="0" borderId="1" xfId="0" applyFont="1" applyBorder="1" applyAlignment="1">
      <alignment horizontal="center" vertical="center" wrapText="1"/>
    </xf>
    <xf numFmtId="3" fontId="22" fillId="0" borderId="1" xfId="0" applyNumberFormat="1" applyFont="1" applyBorder="1" applyAlignment="1">
      <alignment horizontal="center" vertical="center" wrapText="1"/>
    </xf>
    <xf numFmtId="14" fontId="23" fillId="0" borderId="2" xfId="0" applyNumberFormat="1" applyFont="1" applyBorder="1" applyAlignment="1">
      <alignment horizontal="center" vertical="center" wrapText="1"/>
    </xf>
    <xf numFmtId="14" fontId="24" fillId="0" borderId="2" xfId="9" applyNumberFormat="1" applyFont="1" applyFill="1" applyBorder="1" applyAlignment="1">
      <alignment horizontal="center" vertical="center" wrapText="1"/>
    </xf>
    <xf numFmtId="14" fontId="18" fillId="0" borderId="1" xfId="9" applyNumberFormat="1" applyFill="1" applyBorder="1" applyAlignment="1">
      <alignment horizontal="center" vertical="center" wrapText="1"/>
    </xf>
    <xf numFmtId="0" fontId="19"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14" fontId="18" fillId="0" borderId="1" xfId="9" applyNumberFormat="1" applyBorder="1" applyAlignment="1">
      <alignment horizontal="center" vertical="center" wrapText="1"/>
    </xf>
    <xf numFmtId="0" fontId="21" fillId="0" borderId="11" xfId="0" applyFont="1" applyBorder="1" applyAlignment="1">
      <alignment horizontal="center" vertical="center"/>
    </xf>
    <xf numFmtId="0" fontId="21" fillId="0" borderId="4" xfId="0" applyFont="1" applyBorder="1" applyAlignment="1">
      <alignment horizontal="center" vertical="center" wrapText="1"/>
    </xf>
    <xf numFmtId="3" fontId="21" fillId="0" borderId="4" xfId="0" applyNumberFormat="1" applyFont="1" applyBorder="1" applyAlignment="1">
      <alignment horizontal="center" vertical="center" wrapText="1"/>
    </xf>
    <xf numFmtId="14" fontId="21" fillId="0" borderId="4" xfId="0" applyNumberFormat="1" applyFont="1" applyBorder="1" applyAlignment="1">
      <alignment horizontal="center" vertical="center" wrapText="1"/>
    </xf>
    <xf numFmtId="14" fontId="22" fillId="0" borderId="4" xfId="0" applyNumberFormat="1" applyFont="1" applyBorder="1" applyAlignment="1">
      <alignment horizontal="center" vertical="center" wrapText="1"/>
    </xf>
    <xf numFmtId="0" fontId="3" fillId="3" borderId="1" xfId="4" applyFont="1" applyFill="1" applyBorder="1" applyAlignment="1">
      <alignment horizontal="left" vertical="top" wrapText="1"/>
    </xf>
    <xf numFmtId="0" fontId="3" fillId="3" borderId="1" xfId="2" applyFont="1" applyFill="1" applyBorder="1" applyAlignment="1">
      <alignment horizontal="left" vertical="top" wrapText="1"/>
    </xf>
    <xf numFmtId="0" fontId="4" fillId="3" borderId="1" xfId="2" applyFont="1" applyFill="1" applyBorder="1" applyAlignment="1">
      <alignment horizontal="left" vertical="top" wrapText="1"/>
    </xf>
    <xf numFmtId="0" fontId="3" fillId="7" borderId="1" xfId="2" applyFont="1" applyFill="1" applyBorder="1" applyAlignment="1">
      <alignment horizontal="left" vertical="top" wrapText="1"/>
    </xf>
    <xf numFmtId="0" fontId="3" fillId="2" borderId="1" xfId="8" applyFont="1" applyFill="1" applyBorder="1" applyAlignment="1">
      <alignment horizontal="left" vertical="top" wrapText="1"/>
    </xf>
    <xf numFmtId="0" fontId="4" fillId="2" borderId="1" xfId="8" applyFont="1" applyFill="1" applyBorder="1" applyAlignment="1">
      <alignment horizontal="left" vertical="top" wrapText="1"/>
    </xf>
    <xf numFmtId="0" fontId="3" fillId="3" borderId="1" xfId="8" applyFont="1" applyFill="1" applyBorder="1" applyAlignment="1">
      <alignment horizontal="left" vertical="top" wrapText="1"/>
    </xf>
    <xf numFmtId="0" fontId="4" fillId="3" borderId="1" xfId="8" applyFont="1" applyFill="1" applyBorder="1" applyAlignment="1">
      <alignment horizontal="left" vertical="top" wrapText="1"/>
    </xf>
    <xf numFmtId="0" fontId="3" fillId="5" borderId="1" xfId="8" applyFont="1" applyFill="1" applyBorder="1" applyAlignment="1">
      <alignment horizontal="left" vertical="top" wrapText="1"/>
    </xf>
    <xf numFmtId="0" fontId="3" fillId="7" borderId="1" xfId="8" applyFont="1" applyFill="1" applyBorder="1" applyAlignment="1">
      <alignment horizontal="left" vertical="top" wrapText="1"/>
    </xf>
    <xf numFmtId="14" fontId="18" fillId="0" borderId="4" xfId="9" applyNumberFormat="1" applyFill="1" applyBorder="1" applyAlignment="1">
      <alignment horizontal="center" vertical="center" wrapText="1"/>
    </xf>
    <xf numFmtId="0" fontId="3" fillId="2" borderId="1" xfId="2" applyFont="1" applyFill="1" applyBorder="1" applyAlignment="1">
      <alignment horizontal="left" vertical="top" wrapText="1"/>
    </xf>
    <xf numFmtId="0" fontId="4" fillId="2" borderId="1" xfId="2" applyFont="1" applyFill="1" applyBorder="1" applyAlignment="1">
      <alignment horizontal="left" vertical="top" wrapText="1"/>
    </xf>
    <xf numFmtId="14" fontId="18" fillId="0" borderId="2" xfId="9" applyNumberFormat="1" applyBorder="1" applyAlignment="1">
      <alignment horizontal="center" vertical="center" wrapText="1"/>
    </xf>
    <xf numFmtId="0" fontId="18" fillId="0" borderId="1" xfId="9" applyBorder="1" applyAlignment="1">
      <alignment horizontal="center" vertical="center" wrapText="1"/>
    </xf>
    <xf numFmtId="0" fontId="18" fillId="0" borderId="2" xfId="9" applyBorder="1" applyAlignment="1">
      <alignment horizontal="center" vertical="center" wrapText="1"/>
    </xf>
    <xf numFmtId="9" fontId="3" fillId="32" borderId="6" xfId="0" applyNumberFormat="1" applyFont="1" applyFill="1" applyBorder="1" applyAlignment="1">
      <alignment horizontal="center" vertical="top"/>
    </xf>
    <xf numFmtId="165" fontId="3" fillId="0" borderId="4" xfId="1" applyNumberFormat="1" applyFont="1" applyFill="1" applyBorder="1" applyAlignment="1">
      <alignment horizontal="left" vertical="top"/>
    </xf>
    <xf numFmtId="2" fontId="3" fillId="32" borderId="4" xfId="0" applyNumberFormat="1" applyFont="1" applyFill="1" applyBorder="1" applyAlignment="1">
      <alignment horizontal="center" vertical="top"/>
    </xf>
    <xf numFmtId="9" fontId="3" fillId="32" borderId="4" xfId="0" applyNumberFormat="1" applyFont="1" applyFill="1" applyBorder="1" applyAlignment="1">
      <alignment horizontal="center" vertical="top"/>
    </xf>
    <xf numFmtId="10" fontId="3" fillId="32" borderId="5" xfId="0" applyNumberFormat="1" applyFont="1" applyFill="1" applyBorder="1" applyAlignment="1">
      <alignment horizontal="center" vertical="top"/>
    </xf>
    <xf numFmtId="1" fontId="3" fillId="32" borderId="4" xfId="0" applyNumberFormat="1" applyFont="1" applyFill="1" applyBorder="1" applyAlignment="1">
      <alignment horizontal="center" vertical="top"/>
    </xf>
    <xf numFmtId="0" fontId="3" fillId="32" borderId="6" xfId="0" applyFont="1" applyFill="1" applyBorder="1" applyAlignment="1">
      <alignment horizontal="center" vertical="top"/>
    </xf>
    <xf numFmtId="0" fontId="3" fillId="32" borderId="5" xfId="0" applyFont="1" applyFill="1" applyBorder="1" applyAlignment="1">
      <alignment horizontal="center" vertical="top"/>
    </xf>
    <xf numFmtId="1" fontId="3" fillId="22" borderId="4" xfId="0" applyNumberFormat="1" applyFont="1" applyFill="1" applyBorder="1" applyAlignment="1">
      <alignment horizontal="center" vertical="top"/>
    </xf>
    <xf numFmtId="9" fontId="3" fillId="32" borderId="8" xfId="0" applyNumberFormat="1" applyFont="1" applyFill="1" applyBorder="1" applyAlignment="1">
      <alignment horizontal="center" vertical="top"/>
    </xf>
    <xf numFmtId="2" fontId="3" fillId="2" borderId="1" xfId="0" applyNumberFormat="1" applyFont="1" applyFill="1" applyBorder="1" applyAlignment="1">
      <alignment horizontal="center" vertical="top"/>
    </xf>
    <xf numFmtId="168" fontId="3" fillId="2" borderId="1" xfId="0" applyNumberFormat="1" applyFont="1" applyFill="1" applyBorder="1" applyAlignment="1">
      <alignment horizontal="center" vertical="top"/>
    </xf>
    <xf numFmtId="9" fontId="3" fillId="0" borderId="0" xfId="1" applyFont="1" applyAlignment="1">
      <alignment horizontal="center" vertical="top"/>
    </xf>
    <xf numFmtId="0" fontId="3" fillId="26" borderId="1" xfId="2" applyFont="1" applyFill="1" applyBorder="1" applyAlignment="1">
      <alignment horizontal="center" vertical="top"/>
    </xf>
    <xf numFmtId="2" fontId="3" fillId="2" borderId="5" xfId="0" applyNumberFormat="1" applyFont="1" applyFill="1" applyBorder="1" applyAlignment="1">
      <alignment horizontal="center" vertical="top"/>
    </xf>
    <xf numFmtId="169" fontId="3" fillId="2" borderId="1" xfId="0" applyNumberFormat="1" applyFont="1" applyFill="1" applyBorder="1" applyAlignment="1">
      <alignment horizontal="center" vertical="top"/>
    </xf>
    <xf numFmtId="10" fontId="3" fillId="22" borderId="15" xfId="1" applyNumberFormat="1" applyFont="1" applyFill="1" applyBorder="1" applyAlignment="1">
      <alignment horizontal="left" vertical="top"/>
    </xf>
  </cellXfs>
  <cellStyles count="10">
    <cellStyle name="Hipervínculo" xfId="9" builtinId="8"/>
    <cellStyle name="Millares" xfId="7" builtinId="3"/>
    <cellStyle name="Moneda" xfId="6" builtinId="4"/>
    <cellStyle name="Normal" xfId="0" builtinId="0"/>
    <cellStyle name="Normal 2" xfId="2" xr:uid="{79E0CC9B-EE9A-4702-B8D2-D61C8DEE0EF7}"/>
    <cellStyle name="Normal 2 2" xfId="8" xr:uid="{56492D50-1956-40EC-9FF2-9BCCA759C04F}"/>
    <cellStyle name="Normal 2 3" xfId="4" xr:uid="{446CA7D6-BE48-455F-9FA6-1A479C77034D}"/>
    <cellStyle name="Porcentaje" xfId="1" builtinId="5"/>
    <cellStyle name="Porcentaje 2" xfId="3" xr:uid="{2AA4DB06-048E-4174-A158-8BB41C4A98FC}"/>
    <cellStyle name="Porcentaje 2 3" xfId="5" xr:uid="{05BA72AF-BA4D-4190-AA00-203543C0C80C}"/>
  </cellStyles>
  <dxfs count="86">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family val="2"/>
        <scheme val="none"/>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Arial"/>
        <family val="2"/>
        <scheme val="none"/>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Arial"/>
        <family val="2"/>
        <scheme val="none"/>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Arial"/>
        <family val="2"/>
        <scheme val="none"/>
      </font>
      <numFmt numFmtId="3"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Montserrat"/>
        <scheme val="none"/>
      </font>
      <numFmt numFmtId="0" formatCode="General"/>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35" formatCode="_-* #,##0.00_-;\-* #,##0.00_-;_-* &quot;-&quot;??_-;_-@_-"/>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5" formatCode="0.000%"/>
      <fill>
        <patternFill patternType="solid">
          <fgColor indexed="64"/>
          <bgColor theme="0" tint="-4.9989318521683403E-2"/>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0" tint="-4.9989318521683403E-2"/>
        </patternFill>
      </fill>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Montserrat"/>
        <scheme val="none"/>
      </font>
      <numFmt numFmtId="165" formatCode="0.000%"/>
      <fill>
        <patternFill patternType="solid">
          <fgColor indexed="64"/>
          <bgColor theme="5" tint="0.39997558519241921"/>
        </patternFill>
      </fill>
      <alignment horizontal="right"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Montserrat"/>
        <scheme val="none"/>
      </font>
      <numFmt numFmtId="165" formatCode="0.000%"/>
      <fill>
        <patternFill patternType="solid">
          <fgColor indexed="64"/>
          <bgColor theme="5" tint="0.39997558519241921"/>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theme="0" tint="-4.9989318521683403E-2"/>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theme="0" tint="-4.9989318521683403E-2"/>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theme="0" tint="-4.9989318521683403E-2"/>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4" formatCode="0.0000%"/>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4" formatCode="0.0000%"/>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4" formatCode="0.0000%"/>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4" formatCode="0.0000%"/>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7" formatCode="0.0%"/>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5" formatCode="0.000%"/>
      <alignment horizontal="left" vertical="top" textRotation="0" wrapText="0" indent="0" justifyLastLine="0" shrinkToFit="0" readingOrder="0"/>
    </dxf>
    <dxf>
      <font>
        <b val="0"/>
        <i val="0"/>
        <strike val="0"/>
        <condense val="0"/>
        <extend val="0"/>
        <outline val="0"/>
        <shadow val="0"/>
        <u val="none"/>
        <vertAlign val="baseline"/>
        <sz val="11"/>
        <color theme="1"/>
        <name val="Montserrat"/>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Montserrat"/>
        <scheme val="none"/>
      </font>
      <numFmt numFmtId="14" formatCode="0.00%"/>
      <fill>
        <patternFill patternType="solid">
          <fgColor indexed="64"/>
          <bgColor rgb="FFEBF3FB"/>
        </patternFill>
      </fill>
      <alignment horizontal="center"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Montserrat"/>
        <scheme val="none"/>
      </font>
      <numFmt numFmtId="164" formatCode="0.0000%"/>
      <fill>
        <patternFill patternType="solid">
          <fgColor indexed="64"/>
          <bgColor rgb="FFEBF3FB"/>
        </patternFill>
      </fill>
      <alignment horizontal="center"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3" formatCode="0%"/>
      <fill>
        <patternFill patternType="solid">
          <fgColor indexed="64"/>
          <bgColor rgb="FFEBF3FB"/>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Montserrat"/>
        <scheme val="none"/>
      </font>
      <numFmt numFmtId="13" formatCode="0%"/>
      <fill>
        <patternFill patternType="solid">
          <fgColor rgb="FF000000"/>
          <bgColor rgb="FFEBF3FB"/>
        </patternFill>
      </fill>
      <alignment horizontal="center" vertical="center"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Montserrat"/>
        <scheme val="none"/>
      </font>
      <fill>
        <patternFill patternType="solid">
          <fgColor rgb="FF000000"/>
          <bgColor rgb="FFEBF3FB"/>
        </patternFill>
      </fill>
      <alignment horizontal="center"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Montserrat"/>
        <scheme val="none"/>
      </font>
      <fill>
        <patternFill patternType="solid">
          <fgColor rgb="FF000000"/>
          <bgColor rgb="FFEBF3FB"/>
        </patternFill>
      </fill>
      <alignment horizontal="center" vertical="center"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Montserrat"/>
        <scheme val="none"/>
      </font>
      <fill>
        <patternFill patternType="solid">
          <fgColor rgb="FF000000"/>
          <bgColor rgb="FFEBF3FB"/>
        </patternFill>
      </fill>
      <alignment horizontal="center"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Montserrat"/>
        <scheme val="none"/>
      </font>
      <numFmt numFmtId="13" formatCode="0%"/>
      <fill>
        <patternFill patternType="solid">
          <fgColor rgb="FF000000"/>
          <bgColor rgb="FFEBF3FB"/>
        </patternFill>
      </fill>
      <alignment horizontal="center" vertical="center"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Montserrat"/>
        <scheme val="none"/>
      </font>
      <fill>
        <patternFill patternType="solid">
          <fgColor rgb="FF000000"/>
          <bgColor rgb="FFEBF3FB"/>
        </patternFill>
      </fill>
      <alignment horizontal="center"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Montserrat"/>
        <scheme val="none"/>
      </font>
      <numFmt numFmtId="13" formatCode="0%"/>
      <fill>
        <patternFill patternType="solid">
          <fgColor rgb="FF000000"/>
          <bgColor rgb="FFEBF3FB"/>
        </patternFill>
      </fill>
      <alignment horizontal="center" vertical="center"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Montserrat"/>
        <scheme val="none"/>
      </font>
      <fill>
        <patternFill patternType="solid">
          <fgColor rgb="FF000000"/>
          <bgColor rgb="FFEBF3FB"/>
        </patternFill>
      </fill>
      <alignment horizontal="center"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Montserrat"/>
        <scheme val="none"/>
      </font>
      <numFmt numFmtId="13" formatCode="0%"/>
      <fill>
        <patternFill patternType="solid">
          <fgColor rgb="FF000000"/>
          <bgColor rgb="FFEBF3FB"/>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Montserrat"/>
        <scheme val="none"/>
      </font>
      <numFmt numFmtId="13" formatCode="0%"/>
      <fill>
        <patternFill patternType="solid">
          <fgColor rgb="FF000000"/>
          <bgColor rgb="FFEBF3FB"/>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Montserrat"/>
        <scheme val="none"/>
      </font>
      <numFmt numFmtId="166" formatCode="0.00000%"/>
      <fill>
        <patternFill patternType="solid">
          <fgColor rgb="FF000000"/>
          <bgColor rgb="FFEBF3FB"/>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Montserrat"/>
        <scheme val="none"/>
      </font>
      <numFmt numFmtId="166" formatCode="0.00000%"/>
      <fill>
        <patternFill patternType="solid">
          <fgColor rgb="FF000000"/>
          <bgColor rgb="FFEBF3FB"/>
        </patternFill>
      </fill>
      <alignment horizontal="center" vertical="bottom"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rgb="FFEBF3FB"/>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0" tint="-0.149998474074526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0" tint="-0.149998474074526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Montserrat"/>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66"/>
      <color rgb="FF00FFCC"/>
      <color rgb="FFD5D5D5"/>
      <color rgb="FFEBF3FB"/>
      <color rgb="FFFDECE3"/>
      <color rgb="FFFCE7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neyder\Downloads\Seguimiento%20PDI%20S-PLAN-PL03%20-%20DAR%20082025.xlsx" TargetMode="External"/><Relationship Id="rId1" Type="http://schemas.openxmlformats.org/officeDocument/2006/relationships/externalLinkPath" Target="Seguimiento%20PDI%20S-PLAN-PL03%20-%20DAR%2008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LAN"/>
      <sheetName val="Ejes"/>
      <sheetName val="Proyectos"/>
      <sheetName val="Responsables"/>
    </sheetNames>
    <sheetDataSet>
      <sheetData sheetId="0"/>
      <sheetData sheetId="1" refreshError="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2B987-6646-4BDD-8FE8-AAD21CD5D3D7}" name="Tabla1" displayName="Tabla1" ref="A1:AS528" totalsRowShown="0" headerRowDxfId="85" headerRowBorderDxfId="84" tableBorderDxfId="83">
  <autoFilter ref="A1:AS528" xr:uid="{0362B987-6646-4BDD-8FE8-AAD21CD5D3D7}"/>
  <tableColumns count="45">
    <tableColumn id="19" xr3:uid="{1B69C789-F70F-49EA-821C-191F9826537C}" name="id_eje" dataDxfId="82" totalsRowDxfId="81"/>
    <tableColumn id="1" xr3:uid="{9454DAA6-029B-475B-9650-CB48C2B8FD76}" name="titulo_eje" dataDxfId="80" totalsRowDxfId="79"/>
    <tableColumn id="24" xr3:uid="{F6D5EEE3-E1A5-4CD1-B852-62FB4BA3D6E9}" name="descripcion_eje" dataDxfId="78"/>
    <tableColumn id="20" xr3:uid="{06585CC6-214A-4618-BD8A-DF203D0805BA}" name="id_programa" dataDxfId="77"/>
    <tableColumn id="2" xr3:uid="{7B9A016C-F898-4353-AA4A-B92BD0A262D0}" name="programa" dataDxfId="76" totalsRowDxfId="75"/>
    <tableColumn id="22" xr3:uid="{55F5471D-BFDD-4742-A467-45DAB5106E01}" name="id_proyecto" dataDxfId="74" totalsRowDxfId="73"/>
    <tableColumn id="3" xr3:uid="{21F650F7-FE1F-46A7-B116-8468EFD4C068}" name="nombre_proyecto" dataDxfId="72" totalsRowDxfId="71"/>
    <tableColumn id="25" xr3:uid="{DB1407AE-8147-43DE-A72A-86218CA8DCFE}" name="Objetivo" dataDxfId="70" totalsRowDxfId="69"/>
    <tableColumn id="4" xr3:uid="{4FFE0DD5-925F-4654-9648-BA063F4CD707}" name="id_meta" dataDxfId="68" totalsRowDxfId="67"/>
    <tableColumn id="5" xr3:uid="{B854DBB9-7E9E-4D69-A2DA-B0C3F9D68E2E}" name="ponderacion_meta" dataDxfId="66" totalsRowDxfId="65" dataCellStyle="Porcentaje"/>
    <tableColumn id="6" xr3:uid="{F2BC6A9C-6AA7-4FE7-AC28-17670D846232}" name="titulo_meta" dataDxfId="64" totalsRowDxfId="63"/>
    <tableColumn id="7" xr3:uid="{6941C807-2C24-42CE-B8AD-35B1CBC42052}" name="valor_meta" dataDxfId="62" totalsRowDxfId="61"/>
    <tableColumn id="8" xr3:uid="{04BF208C-9E4C-42D6-9E3E-C8747A07FA74}" name="inversion_periodo" dataDxfId="60" totalsRowDxfId="59"/>
    <tableColumn id="45" xr3:uid="{DBEA7240-A43A-45D5-B1E9-B2E8C1A0D300}" name="tipo_acumulacion" dataDxfId="0" totalsRowDxfId="1"/>
    <tableColumn id="26" xr3:uid="{28E7448B-BF54-42BF-915B-A6D66160D0A4}" name="tipo_programacion" dataDxfId="58" totalsRowDxfId="57"/>
    <tableColumn id="9" xr3:uid="{3E4E70DA-DEE5-4F17-AF51-2DC688E47E16}" name="proyeccion_año1" dataDxfId="56" totalsRowDxfId="55"/>
    <tableColumn id="10" xr3:uid="{3CF29B6A-18F7-42A7-AB8A-3D3BB852C7EF}" name="proyeccion_año2" dataDxfId="54" totalsRowDxfId="53"/>
    <tableColumn id="11" xr3:uid="{2D2CC2AD-2ABB-4F08-B6AF-FA3AFDF48A4D}" name="proyeccion_año3" dataDxfId="52" totalsRowDxfId="51"/>
    <tableColumn id="12" xr3:uid="{D16DF175-7B86-475A-B492-3D0CC3E843E4}" name="proyeccion_año4" dataDxfId="50" totalsRowDxfId="49"/>
    <tableColumn id="18" xr3:uid="{02B15A19-AA01-4A4B-B121-8D559E790415}" name="id_accion" dataDxfId="48" totalsRowDxfId="47"/>
    <tableColumn id="13" xr3:uid="{C910DB82-B41F-4543-8147-5216762501B5}" name="titulo_accion" dataDxfId="46" totalsRowDxfId="45"/>
    <tableColumn id="14" xr3:uid="{C5F062C1-8F1C-4120-9C30-BE736F09E1E9}" name="ponderacion_accion" dataDxfId="44" totalsRowDxfId="43" dataCellStyle="Porcentaje"/>
    <tableColumn id="15" xr3:uid="{56C29193-D56E-4953-BFC7-3CA9FA924052}" name="evidencia" dataDxfId="42" totalsRowDxfId="41"/>
    <tableColumn id="23" xr3:uid="{26133374-4639-42A0-822F-E59457C763EA}" name="formato" dataDxfId="40" totalsRowDxfId="39"/>
    <tableColumn id="43" xr3:uid="{7937B0E1-339C-47C2-B722-4D0B0BC97351}" name="Programado 2025" dataDxfId="38" totalsRowDxfId="37"/>
    <tableColumn id="16" xr3:uid="{B63B4C9E-0B77-4205-99FE-B0028BD7FB8E}" name="responsable" dataDxfId="36" totalsRowDxfId="35"/>
    <tableColumn id="17" xr3:uid="{1F3D0248-B063-4199-BFB7-8AABF7E045DA}" name="PONDERACIÓN ACCION VS META" dataDxfId="34" totalsRowDxfId="33" dataCellStyle="Porcentaje">
      <calculatedColumnFormula>+J2*V2</calculatedColumnFormula>
    </tableColumn>
    <tableColumn id="21" xr3:uid="{74A90547-5DB4-4CBE-9330-2506AC463DF2}" name="Avance PDI" dataDxfId="32" totalsRowDxfId="31" dataCellStyle="Porcentaje">
      <calculatedColumnFormula>+Tabla1[[#This Row],[ponderacion_meta]]*Tabla1[[#This Row],[ponderacion_accion]]</calculatedColumnFormula>
    </tableColumn>
    <tableColumn id="27" xr3:uid="{48D9AB55-72A9-4517-9B3B-107DAD67DE28}" name="avance_accion1" dataDxfId="30" dataCellStyle="Porcentaje">
      <calculatedColumnFormula>+(Tabla1[[#This Row],[Avance PDI]]*100%)/Tabla1[[#This Row],[ponderacion_meta]]</calculatedColumnFormula>
    </tableColumn>
    <tableColumn id="28" xr3:uid="{1F5EAEDB-E285-4449-AA5B-9944F3E50A22}" name="avance_año1" dataDxfId="29" dataCellStyle="Porcentaje"/>
    <tableColumn id="29" xr3:uid="{3DF57FFC-B1D2-4761-A845-12166B539D6A}" name="avance_año2" dataDxfId="28" dataCellStyle="Porcentaje"/>
    <tableColumn id="30" xr3:uid="{F02FB3B8-6FB9-4CF0-AFE1-7321F3BCD880}" name="avance_año3" dataDxfId="27" dataCellStyle="Porcentaje"/>
    <tableColumn id="31" xr3:uid="{F182A78B-C318-4978-863A-D0519582649D}" name="avance_año4" dataDxfId="26" dataCellStyle="Porcentaje"/>
    <tableColumn id="32" xr3:uid="{E526AB4D-D466-4B01-B594-6F493FFA5B0E}" name="avance_eje" dataDxfId="25" dataCellStyle="Porcentaje">
      <calculatedColumnFormula>$AH$432</calculatedColumnFormula>
    </tableColumn>
    <tableColumn id="33" xr3:uid="{57A27F10-5221-4184-93C8-52D248D1EE19}" name="avance_eje_100" dataDxfId="24" dataCellStyle="Porcentaje">
      <calculatedColumnFormula>$AI$432</calculatedColumnFormula>
    </tableColumn>
    <tableColumn id="44" xr3:uid="{EF219480-EB9E-430E-8AF1-2485956D30E1}" name="avance_eje_101" dataDxfId="23" dataCellStyle="Porcentaje"/>
    <tableColumn id="34" xr3:uid="{3E9E8579-6DA3-474C-8944-527547664ED9}" name="avance_programas" dataDxfId="22" dataCellStyle="Porcentaje"/>
    <tableColumn id="35" xr3:uid="{C65E3B0D-BD4E-4191-9304-C1182CAA3C11}" name="avance_programa_100" dataDxfId="21" dataCellStyle="Porcentaje">
      <calculatedColumnFormula>$AL$500</calculatedColumnFormula>
    </tableColumn>
    <tableColumn id="36" xr3:uid="{85BFFBB8-9E82-4D53-BF20-3FEE3D010B43}" name="Avance por proyecto " dataDxfId="20" dataCellStyle="Porcentaje"/>
    <tableColumn id="37" xr3:uid="{36FD3224-3CD8-4F3D-A0FB-83782C4B6377}" name="avance_proyecto_100" dataDxfId="19" dataCellStyle="Porcentaje">
      <calculatedColumnFormula>$AN$500</calculatedColumnFormula>
    </tableColumn>
    <tableColumn id="38" xr3:uid="{EAB63666-861A-4319-9E64-B9D0D47E62B4}" name="avance_accion_año1" dataDxfId="18"/>
    <tableColumn id="39" xr3:uid="{137AE96F-9388-4525-A528-BEC31B2DB10A}" name="Avance PDI2" dataDxfId="17">
      <calculatedColumnFormula>Tabla1[[#This Row],[ponderacion_meta]]*AO2</calculatedColumnFormula>
    </tableColumn>
    <tableColumn id="40" xr3:uid="{8B852EDC-682C-42C8-8B66-78B8FF73C606}" name="Celda verificar" dataDxfId="16"/>
    <tableColumn id="41" xr3:uid="{3DA18627-BC0B-483F-A857-8CCC6002E732}" name="inversion_realizada" dataDxfId="15"/>
    <tableColumn id="42" xr3:uid="{50894037-BE4A-432D-88B7-7A0A637BAE59}" name="Proramación PAA" dataDxfId="14">
      <calculatedColumnFormula array="1">+((AQ2:AQ5)*100)/40</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20ADCD-25E4-40B6-AF10-FF4D398819C8}" name="Tabla13" displayName="Tabla13" ref="A1:G175" totalsRowShown="0" headerRowDxfId="13" dataDxfId="11" headerRowBorderDxfId="12" tableBorderDxfId="10" totalsRowBorderDxfId="9">
  <autoFilter ref="A1:G175" xr:uid="{9320ADCD-25E4-40B6-AF10-FF4D398819C8}"/>
  <tableColumns count="7">
    <tableColumn id="1" xr3:uid="{B1699299-4986-474D-AA37-D0B36EA268CB}" name="id_responsable" dataDxfId="8"/>
    <tableColumn id="2" xr3:uid="{D2C006A1-BF61-47C2-BF22-62D0EB417797}" name="documento" dataDxfId="7"/>
    <tableColumn id="3" xr3:uid="{95847A99-CDE1-435B-8383-D0CCDEE3FFD4}" name="nombre_completo" dataDxfId="6"/>
    <tableColumn id="4" xr3:uid="{A7D6BCC2-5A26-4704-AAC8-DB6DF6DD3DB7}" name="cargo" dataDxfId="5"/>
    <tableColumn id="5" xr3:uid="{3B0B85DF-0F6E-45A8-BA14-F4B5C19E45DC}" name="area" dataDxfId="4"/>
    <tableColumn id="6" xr3:uid="{6E41841B-6C73-41FF-835A-5F935A9D44FB}" name="correo" dataDxfId="3"/>
    <tableColumn id="7" xr3:uid="{D7CF5BDC-0CDC-4A45-8776-C5ACE5930079}" name="correo_personal" dataDxfId="2"/>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3" Type="http://schemas.openxmlformats.org/officeDocument/2006/relationships/hyperlink" Target="mailto:oriol.jimenez@unitropico.edu.co" TargetMode="External"/><Relationship Id="rId18" Type="http://schemas.openxmlformats.org/officeDocument/2006/relationships/hyperlink" Target="mailto:consejoacademico@unitropico.edu.co" TargetMode="External"/><Relationship Id="rId26" Type="http://schemas.openxmlformats.org/officeDocument/2006/relationships/hyperlink" Target="mailto:programas@unitropico.edu.co" TargetMode="External"/><Relationship Id="rId3" Type="http://schemas.openxmlformats.org/officeDocument/2006/relationships/hyperlink" Target="mailto:eambiental@unitropico.edu.co" TargetMode="External"/><Relationship Id="rId21" Type="http://schemas.openxmlformats.org/officeDocument/2006/relationships/hyperlink" Target="mailto:consejosuperior@unitropico.edu.co" TargetMode="External"/><Relationship Id="rId34" Type="http://schemas.openxmlformats.org/officeDocument/2006/relationships/table" Target="../tables/table2.xml"/><Relationship Id="rId7" Type="http://schemas.openxmlformats.org/officeDocument/2006/relationships/hyperlink" Target="mailto:subdireccionfomentoinvestigacion@unitropico.edu.co" TargetMode="External"/><Relationship Id="rId12" Type="http://schemas.openxmlformats.org/officeDocument/2006/relationships/hyperlink" Target="mailto:ceiremanso@unitropico.edu.co" TargetMode="External"/><Relationship Id="rId17" Type="http://schemas.openxmlformats.org/officeDocument/2006/relationships/hyperlink" Target="mailto:ori@unitropico.edu.co" TargetMode="External"/><Relationship Id="rId25" Type="http://schemas.openxmlformats.org/officeDocument/2006/relationships/hyperlink" Target="mailto:vicerrectorias@unitropico.edu.co" TargetMode="External"/><Relationship Id="rId33" Type="http://schemas.openxmlformats.org/officeDocument/2006/relationships/hyperlink" Target="mailto:jacksonparra@unitropico.edu.co" TargetMode="External"/><Relationship Id="rId2" Type="http://schemas.openxmlformats.org/officeDocument/2006/relationships/hyperlink" Target="mailto:administracionempresas@unitropico.edu.co" TargetMode="External"/><Relationship Id="rId16" Type="http://schemas.openxmlformats.org/officeDocument/2006/relationships/hyperlink" Target="mailto:karenfonseca@unitropico.edu.co" TargetMode="External"/><Relationship Id="rId20" Type="http://schemas.openxmlformats.org/officeDocument/2006/relationships/hyperlink" Target="mailto:consejosuperior@unitropico.edu.co" TargetMode="External"/><Relationship Id="rId29" Type="http://schemas.openxmlformats.org/officeDocument/2006/relationships/hyperlink" Target="mailto:procesos@unitropico.edu.co" TargetMode="External"/><Relationship Id="rId1" Type="http://schemas.openxmlformats.org/officeDocument/2006/relationships/hyperlink" Target="mailto:contabilidad@unitropico.edu.co" TargetMode="External"/><Relationship Id="rId6" Type="http://schemas.openxmlformats.org/officeDocument/2006/relationships/hyperlink" Target="mailto:asis.juridica@unitropico.edu.co" TargetMode="External"/><Relationship Id="rId11" Type="http://schemas.openxmlformats.org/officeDocument/2006/relationships/hyperlink" Target="mailto:comunicaciones@unitropico.edu.co" TargetMode="External"/><Relationship Id="rId24" Type="http://schemas.openxmlformats.org/officeDocument/2006/relationships/hyperlink" Target="mailto:vicerrectorias@unitropico.edu.co" TargetMode="External"/><Relationship Id="rId32" Type="http://schemas.openxmlformats.org/officeDocument/2006/relationships/hyperlink" Target="mailto:apoyoestrategia@unitropico.edu.co" TargetMode="External"/><Relationship Id="rId5" Type="http://schemas.openxmlformats.org/officeDocument/2006/relationships/hyperlink" Target="mailto:asesorjuridica@unitropico.edu.co%20-" TargetMode="External"/><Relationship Id="rId15" Type="http://schemas.openxmlformats.org/officeDocument/2006/relationships/hyperlink" Target="mailto:linamarino@unitropico.edu.co" TargetMode="External"/><Relationship Id="rId23" Type="http://schemas.openxmlformats.org/officeDocument/2006/relationships/hyperlink" Target="mailto:facultades@unitropico.edu.co" TargetMode="External"/><Relationship Id="rId28" Type="http://schemas.openxmlformats.org/officeDocument/2006/relationships/hyperlink" Target="mailto:procesos@unitropico.edu.co" TargetMode="External"/><Relationship Id="rId10" Type="http://schemas.openxmlformats.org/officeDocument/2006/relationships/hyperlink" Target="mailto:ADMISIONESYREGISTRO@UNITROPICO.EDU.CO" TargetMode="External"/><Relationship Id="rId19" Type="http://schemas.openxmlformats.org/officeDocument/2006/relationships/hyperlink" Target="mailto:consejoacademico@unitropico.edu.co" TargetMode="External"/><Relationship Id="rId31" Type="http://schemas.openxmlformats.org/officeDocument/2006/relationships/hyperlink" Target="mailto:karolvaron@unitropico.edu.co" TargetMode="External"/><Relationship Id="rId4" Type="http://schemas.openxmlformats.org/officeDocument/2006/relationships/hyperlink" Target="mailto:egresados@unitropico.edu.co" TargetMode="External"/><Relationship Id="rId9" Type="http://schemas.openxmlformats.org/officeDocument/2006/relationships/hyperlink" Target="mailto:bienestar@unitropico.edu.co" TargetMode="External"/><Relationship Id="rId14" Type="http://schemas.openxmlformats.org/officeDocument/2006/relationships/hyperlink" Target="mailto:claudiamvega@unitropico.edu.co" TargetMode="External"/><Relationship Id="rId22" Type="http://schemas.openxmlformats.org/officeDocument/2006/relationships/hyperlink" Target="mailto:facultades@unitropico.edu.co" TargetMode="External"/><Relationship Id="rId27" Type="http://schemas.openxmlformats.org/officeDocument/2006/relationships/hyperlink" Target="mailto:programas@unitropico.edu.co" TargetMode="External"/><Relationship Id="rId30" Type="http://schemas.openxmlformats.org/officeDocument/2006/relationships/hyperlink" Target="mailto:apoyogestionplaneacion@unitropico.edu.co" TargetMode="External"/><Relationship Id="rId8" Type="http://schemas.openxmlformats.org/officeDocument/2006/relationships/hyperlink" Target="mailto:aux.academica@unitropico.edu.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D7D9F-EF7C-4E30-96C7-84D6DDF40085}">
  <dimension ref="A1:AT540"/>
  <sheetViews>
    <sheetView showGridLines="0" tabSelected="1" topLeftCell="H1" zoomScale="55" zoomScaleNormal="55" workbookViewId="0">
      <selection activeCell="N2" sqref="N2"/>
    </sheetView>
  </sheetViews>
  <sheetFormatPr baseColWidth="10" defaultColWidth="11.42578125" defaultRowHeight="18" x14ac:dyDescent="0.25"/>
  <cols>
    <col min="1" max="1" width="10.28515625" style="92" bestFit="1" customWidth="1"/>
    <col min="2" max="2" width="39" style="92" customWidth="1"/>
    <col min="3" max="3" width="101.85546875" style="92" customWidth="1"/>
    <col min="4" max="4" width="17.28515625" style="92" bestFit="1" customWidth="1"/>
    <col min="5" max="5" width="49.28515625" style="92" customWidth="1"/>
    <col min="6" max="6" width="17.7109375" style="92" customWidth="1"/>
    <col min="7" max="7" width="71.28515625" style="1" customWidth="1"/>
    <col min="8" max="8" width="82.5703125" style="1" customWidth="1"/>
    <col min="9" max="9" width="22" style="1" customWidth="1"/>
    <col min="10" max="10" width="25" style="277" customWidth="1"/>
    <col min="11" max="11" width="23" style="92" customWidth="1"/>
    <col min="12" max="12" width="30.7109375" style="92" customWidth="1"/>
    <col min="13" max="15" width="28.7109375" style="1" customWidth="1"/>
    <col min="16" max="16" width="26.140625" style="1" customWidth="1"/>
    <col min="17" max="18" width="22.7109375" style="1" customWidth="1"/>
    <col min="19" max="19" width="23" style="92" customWidth="1"/>
    <col min="20" max="20" width="14.28515625" style="1" customWidth="1"/>
    <col min="21" max="21" width="39.28515625" style="92" customWidth="1"/>
    <col min="22" max="22" width="18.42578125" style="92" customWidth="1"/>
    <col min="23" max="23" width="40" style="1" customWidth="1"/>
    <col min="24" max="25" width="23.85546875" style="1" customWidth="1"/>
    <col min="26" max="26" width="87.7109375" style="92" customWidth="1"/>
    <col min="27" max="27" width="18" style="92" customWidth="1"/>
    <col min="28" max="28" width="20.140625" style="252" bestFit="1" customWidth="1"/>
    <col min="29" max="29" width="24.140625" style="1" customWidth="1"/>
    <col min="30" max="30" width="24.85546875" style="256" bestFit="1" customWidth="1"/>
    <col min="31" max="33" width="25.42578125" style="256" bestFit="1" customWidth="1"/>
    <col min="34" max="34" width="19.42578125" style="313" customWidth="1"/>
    <col min="35" max="36" width="24.85546875" style="313" customWidth="1"/>
    <col min="37" max="37" width="29" style="92" bestFit="1" customWidth="1"/>
    <col min="38" max="38" width="33" style="92" bestFit="1" customWidth="1"/>
    <col min="39" max="39" width="19.5703125" style="92" customWidth="1"/>
    <col min="40" max="40" width="32.28515625" style="92" customWidth="1"/>
    <col min="41" max="41" width="22.5703125" style="92" bestFit="1" customWidth="1"/>
    <col min="42" max="42" width="18.140625" style="92" customWidth="1"/>
    <col min="43" max="43" width="21.42578125" style="1" bestFit="1" customWidth="1"/>
    <col min="44" max="44" width="27.28515625" style="92" hidden="1" customWidth="1"/>
    <col min="45" max="45" width="25.85546875" style="92" bestFit="1" customWidth="1"/>
    <col min="46" max="46" width="22.5703125" style="92" bestFit="1" customWidth="1"/>
    <col min="47" max="16384" width="11.42578125" style="92"/>
  </cols>
  <sheetData>
    <row r="1" spans="1:46" s="154" customFormat="1" x14ac:dyDescent="0.25">
      <c r="A1" s="242" t="s">
        <v>0</v>
      </c>
      <c r="B1" s="241" t="s">
        <v>1</v>
      </c>
      <c r="C1" s="241" t="s">
        <v>1709</v>
      </c>
      <c r="D1" s="241" t="s">
        <v>1168</v>
      </c>
      <c r="E1" s="242" t="s">
        <v>2</v>
      </c>
      <c r="F1" s="242" t="s">
        <v>1169</v>
      </c>
      <c r="G1" s="242" t="s">
        <v>3</v>
      </c>
      <c r="H1" s="242" t="s">
        <v>1722</v>
      </c>
      <c r="I1" s="242" t="s">
        <v>4</v>
      </c>
      <c r="J1" s="269" t="s">
        <v>1170</v>
      </c>
      <c r="K1" s="242" t="s">
        <v>5</v>
      </c>
      <c r="L1" s="242" t="s">
        <v>6</v>
      </c>
      <c r="M1" s="242" t="s">
        <v>7</v>
      </c>
      <c r="N1" s="242" t="s">
        <v>2624</v>
      </c>
      <c r="O1" s="242" t="s">
        <v>1754</v>
      </c>
      <c r="P1" s="242" t="s">
        <v>8</v>
      </c>
      <c r="Q1" s="242" t="s">
        <v>9</v>
      </c>
      <c r="R1" s="242" t="s">
        <v>10</v>
      </c>
      <c r="S1" s="242" t="s">
        <v>11</v>
      </c>
      <c r="T1" s="242" t="s">
        <v>12</v>
      </c>
      <c r="U1" s="242" t="s">
        <v>1698</v>
      </c>
      <c r="V1" s="242" t="s">
        <v>13</v>
      </c>
      <c r="W1" s="243" t="s">
        <v>1702</v>
      </c>
      <c r="X1" s="243" t="s">
        <v>1699</v>
      </c>
      <c r="Y1" s="243" t="s">
        <v>2586</v>
      </c>
      <c r="Z1" s="243" t="s">
        <v>14</v>
      </c>
      <c r="AA1" s="244" t="s">
        <v>15</v>
      </c>
      <c r="AB1" s="374" t="s">
        <v>1085</v>
      </c>
      <c r="AC1" s="375" t="s">
        <v>2619</v>
      </c>
      <c r="AD1" s="373" t="s">
        <v>1703</v>
      </c>
      <c r="AE1" s="373" t="s">
        <v>1704</v>
      </c>
      <c r="AF1" s="373" t="s">
        <v>1705</v>
      </c>
      <c r="AG1" s="373" t="s">
        <v>1706</v>
      </c>
      <c r="AH1" s="371" t="s">
        <v>1707</v>
      </c>
      <c r="AI1" s="371" t="s">
        <v>1708</v>
      </c>
      <c r="AJ1" s="371" t="s">
        <v>2623</v>
      </c>
      <c r="AK1" s="371" t="s">
        <v>1711</v>
      </c>
      <c r="AL1" s="371" t="s">
        <v>1710</v>
      </c>
      <c r="AM1" s="371" t="s">
        <v>1126</v>
      </c>
      <c r="AN1" s="371" t="s">
        <v>1712</v>
      </c>
      <c r="AO1" s="375" t="s">
        <v>2620</v>
      </c>
      <c r="AP1" s="376" t="s">
        <v>1755</v>
      </c>
      <c r="AQ1" s="372" t="s">
        <v>1127</v>
      </c>
      <c r="AR1" s="382" t="s">
        <v>1756</v>
      </c>
      <c r="AS1" s="242" t="s">
        <v>2585</v>
      </c>
      <c r="AT1" s="375" t="s">
        <v>2621</v>
      </c>
    </row>
    <row r="2" spans="1:46" ht="20.25" customHeight="1" x14ac:dyDescent="0.35">
      <c r="A2" s="250" t="s">
        <v>1149</v>
      </c>
      <c r="B2" s="398" t="s">
        <v>16</v>
      </c>
      <c r="C2" s="398" t="s">
        <v>1718</v>
      </c>
      <c r="D2" s="398" t="s">
        <v>1153</v>
      </c>
      <c r="E2" s="176" t="s">
        <v>17</v>
      </c>
      <c r="F2" s="176" t="s">
        <v>2589</v>
      </c>
      <c r="G2" s="155" t="s">
        <v>18</v>
      </c>
      <c r="H2" s="415" t="s">
        <v>1723</v>
      </c>
      <c r="I2" s="2" t="s">
        <v>19</v>
      </c>
      <c r="J2" s="270">
        <v>6.4939999999999998E-3</v>
      </c>
      <c r="K2" s="94" t="s">
        <v>20</v>
      </c>
      <c r="L2" s="115">
        <v>25800000</v>
      </c>
      <c r="M2" s="115">
        <v>0</v>
      </c>
      <c r="N2" s="115"/>
      <c r="O2" s="115" t="s">
        <v>1753</v>
      </c>
      <c r="P2" s="181">
        <v>0.1</v>
      </c>
      <c r="Q2" s="182">
        <v>0.5</v>
      </c>
      <c r="R2" s="182">
        <v>0.3</v>
      </c>
      <c r="S2" s="182">
        <v>0.1</v>
      </c>
      <c r="T2" s="182" t="s">
        <v>1171</v>
      </c>
      <c r="U2" s="4" t="s">
        <v>21</v>
      </c>
      <c r="V2" s="5">
        <v>0.15</v>
      </c>
      <c r="W2" s="93" t="s">
        <v>22</v>
      </c>
      <c r="X2" s="93" t="s">
        <v>1701</v>
      </c>
      <c r="Y2" s="93" t="s">
        <v>2587</v>
      </c>
      <c r="Z2" s="251" t="s">
        <v>2528</v>
      </c>
      <c r="AA2" s="238">
        <f t="shared" ref="AA2:AA65" si="0">+J2*V2</f>
        <v>9.7409999999999988E-4</v>
      </c>
      <c r="AB2" s="281">
        <f>+Tabla1[[#This Row],[ponderacion_meta]]*Tabla1[[#This Row],[ponderacion_accion]]</f>
        <v>9.7409999999999988E-4</v>
      </c>
      <c r="AC2" s="278">
        <f>+(Tabla1[[#This Row],[Avance PDI]]*100%)/Tabla1[[#This Row],[ponderacion_meta]]</f>
        <v>0.15</v>
      </c>
      <c r="AD2" s="279">
        <f>+Tabla1[[#This Row],[ponderacion_meta]]*Tabla1[[#This Row],[proyeccion_año1]]</f>
        <v>6.4940000000000006E-4</v>
      </c>
      <c r="AE2" s="279">
        <f>+Tabla1[[#This Row],[ponderacion_meta]]*Tabla1[[#This Row],[proyeccion_año2]]</f>
        <v>3.2469999999999999E-3</v>
      </c>
      <c r="AF2" s="279">
        <f>+Tabla1[[#This Row],[ponderacion_meta]]*Tabla1[[#This Row],[proyeccion_año3]]</f>
        <v>1.9481999999999998E-3</v>
      </c>
      <c r="AG2" s="279">
        <f>+Tabla1[[#This Row],[ponderacion_meta]]*Tabla1[[#This Row],[proyeccion_año4]]</f>
        <v>6.4940000000000006E-4</v>
      </c>
      <c r="AH2" s="394">
        <f>+SUM(AB2:AB56)</f>
        <v>3.8811000000000002E-3</v>
      </c>
      <c r="AI2" s="319">
        <f>+SUM(AC2:AC56)/11</f>
        <v>3.6363636363636362E-2</v>
      </c>
      <c r="AJ2" s="319">
        <f>+SUM($AC$2:$AC$56)/11</f>
        <v>3.6363636363636362E-2</v>
      </c>
      <c r="AK2" s="404">
        <f>+SUM(AB2:AB56)</f>
        <v>3.8811000000000002E-3</v>
      </c>
      <c r="AL2" s="403">
        <f>+SUM(AC2:AC56)/11</f>
        <v>3.6363636363636362E-2</v>
      </c>
      <c r="AM2" s="324">
        <f>+SUM(AB2:AB10)</f>
        <v>9.7409999999999988E-4</v>
      </c>
      <c r="AN2" s="411">
        <f>+SUM(AC2:AC10)/2</f>
        <v>7.4999999999999997E-2</v>
      </c>
      <c r="AO2" s="365" t="e">
        <f>+([1]!Tabla1[[#This Row],[ponderacion_accion]]/15%)*AQ2</f>
        <v>#REF!</v>
      </c>
      <c r="AP2" s="343" t="e">
        <f>Tabla1[[#This Row],[ponderacion_meta]]*AO2</f>
        <v>#REF!</v>
      </c>
      <c r="AQ2" s="340">
        <v>0.15</v>
      </c>
      <c r="AR2" s="377">
        <v>0</v>
      </c>
      <c r="AS2" s="519" t="e">
        <f>+((SUM(AO2:AO5)*100)/80)</f>
        <v>#REF!</v>
      </c>
      <c r="AT2" s="521">
        <v>0</v>
      </c>
    </row>
    <row r="3" spans="1:46" x14ac:dyDescent="0.35">
      <c r="A3" s="236" t="s">
        <v>1149</v>
      </c>
      <c r="B3" s="398" t="s">
        <v>16</v>
      </c>
      <c r="C3" s="398" t="s">
        <v>1718</v>
      </c>
      <c r="D3" s="398" t="s">
        <v>1153</v>
      </c>
      <c r="E3" s="176" t="s">
        <v>17</v>
      </c>
      <c r="F3" s="176" t="s">
        <v>2589</v>
      </c>
      <c r="G3" s="155" t="s">
        <v>18</v>
      </c>
      <c r="H3" s="155" t="s">
        <v>1723</v>
      </c>
      <c r="I3" s="2" t="s">
        <v>19</v>
      </c>
      <c r="J3" s="264">
        <v>6.4939999999999998E-3</v>
      </c>
      <c r="K3" s="94" t="s">
        <v>20</v>
      </c>
      <c r="L3" s="115">
        <v>25800000</v>
      </c>
      <c r="M3" s="115">
        <v>0</v>
      </c>
      <c r="N3" s="429"/>
      <c r="O3" s="429" t="s">
        <v>1753</v>
      </c>
      <c r="P3" s="183">
        <v>0.1</v>
      </c>
      <c r="Q3" s="184">
        <v>0.5</v>
      </c>
      <c r="R3" s="184">
        <v>0.3</v>
      </c>
      <c r="S3" s="184">
        <v>0.1</v>
      </c>
      <c r="T3" s="184" t="s">
        <v>1172</v>
      </c>
      <c r="U3" s="6" t="s">
        <v>23</v>
      </c>
      <c r="V3" s="3">
        <v>0.15</v>
      </c>
      <c r="W3" s="93" t="s">
        <v>24</v>
      </c>
      <c r="X3" s="93" t="s">
        <v>1700</v>
      </c>
      <c r="Y3" s="93" t="s">
        <v>2587</v>
      </c>
      <c r="Z3" s="251" t="s">
        <v>2148</v>
      </c>
      <c r="AA3" s="238">
        <f t="shared" si="0"/>
        <v>9.7409999999999988E-4</v>
      </c>
      <c r="AB3" s="252">
        <v>0</v>
      </c>
      <c r="AC3" s="278">
        <f>+(Tabla1[[#This Row],[Avance PDI]]*100%)/Tabla1[[#This Row],[ponderacion_meta]]</f>
        <v>0</v>
      </c>
      <c r="AD3" s="279">
        <v>6.4940000000000006E-4</v>
      </c>
      <c r="AE3" s="279">
        <v>3.2469999999999999E-3</v>
      </c>
      <c r="AF3" s="279">
        <v>1.9481999999999998E-3</v>
      </c>
      <c r="AG3" s="279">
        <v>6.4940000000000006E-4</v>
      </c>
      <c r="AH3" s="395">
        <f t="shared" ref="AH3:AH34" si="1">$AH$2</f>
        <v>3.8811000000000002E-3</v>
      </c>
      <c r="AI3" s="395">
        <f>$AI$2</f>
        <v>3.6363636363636362E-2</v>
      </c>
      <c r="AJ3" s="319">
        <f t="shared" ref="AJ3:AJ56" si="2">+SUM($AC$2:$AC$56)/11</f>
        <v>3.6363636363636362E-2</v>
      </c>
      <c r="AK3" s="385">
        <v>3.8811000000000002E-3</v>
      </c>
      <c r="AL3" s="402">
        <f>$AL$2</f>
        <v>3.6363636363636362E-2</v>
      </c>
      <c r="AM3" s="325">
        <v>0</v>
      </c>
      <c r="AN3" s="411">
        <f>$AN$2</f>
        <v>7.4999999999999997E-2</v>
      </c>
      <c r="AO3" s="366" t="e">
        <f>+([1]!Tabla1[[#This Row],[ponderacion_accion]]/15%)*AQ3</f>
        <v>#REF!</v>
      </c>
      <c r="AP3" s="344" t="e">
        <f>Tabla1[[#This Row],[ponderacion_meta]]*AO3</f>
        <v>#REF!</v>
      </c>
      <c r="AQ3" s="514">
        <v>0.15</v>
      </c>
      <c r="AR3" s="378">
        <v>0</v>
      </c>
      <c r="AS3" s="9"/>
      <c r="AT3" s="521">
        <v>0</v>
      </c>
    </row>
    <row r="4" spans="1:46" x14ac:dyDescent="0.35">
      <c r="A4" s="236" t="s">
        <v>1149</v>
      </c>
      <c r="B4" s="398" t="s">
        <v>16</v>
      </c>
      <c r="C4" s="398" t="s">
        <v>1718</v>
      </c>
      <c r="D4" s="398" t="s">
        <v>1153</v>
      </c>
      <c r="E4" s="176" t="s">
        <v>17</v>
      </c>
      <c r="F4" s="176" t="s">
        <v>2589</v>
      </c>
      <c r="G4" s="155" t="s">
        <v>18</v>
      </c>
      <c r="H4" s="155" t="s">
        <v>1723</v>
      </c>
      <c r="I4" s="2" t="s">
        <v>19</v>
      </c>
      <c r="J4" s="264">
        <v>6.4939999999999998E-3</v>
      </c>
      <c r="K4" s="94" t="s">
        <v>20</v>
      </c>
      <c r="L4" s="115">
        <v>25800000</v>
      </c>
      <c r="M4" s="115">
        <v>0</v>
      </c>
      <c r="N4" s="429"/>
      <c r="O4" s="429" t="s">
        <v>1753</v>
      </c>
      <c r="P4" s="183">
        <v>0.1</v>
      </c>
      <c r="Q4" s="184">
        <v>0.5</v>
      </c>
      <c r="R4" s="184">
        <v>0.3</v>
      </c>
      <c r="S4" s="184">
        <v>0.1</v>
      </c>
      <c r="T4" s="184" t="s">
        <v>1173</v>
      </c>
      <c r="U4" s="6" t="s">
        <v>25</v>
      </c>
      <c r="V4" s="3">
        <v>0.5</v>
      </c>
      <c r="W4" s="93" t="s">
        <v>26</v>
      </c>
      <c r="X4" s="93" t="s">
        <v>1700</v>
      </c>
      <c r="Y4" s="93" t="s">
        <v>2587</v>
      </c>
      <c r="Z4" s="251" t="s">
        <v>2148</v>
      </c>
      <c r="AA4" s="238">
        <f t="shared" si="0"/>
        <v>3.2469999999999999E-3</v>
      </c>
      <c r="AB4" s="252">
        <v>0</v>
      </c>
      <c r="AC4" s="278">
        <f>+(Tabla1[[#This Row],[Avance PDI]]*100%)/Tabla1[[#This Row],[ponderacion_meta]]</f>
        <v>0</v>
      </c>
      <c r="AD4" s="279">
        <v>6.4940000000000006E-4</v>
      </c>
      <c r="AE4" s="279">
        <v>3.2469999999999999E-3</v>
      </c>
      <c r="AF4" s="279">
        <v>1.9481999999999998E-3</v>
      </c>
      <c r="AG4" s="279">
        <v>6.4940000000000006E-4</v>
      </c>
      <c r="AH4" s="395">
        <f t="shared" si="1"/>
        <v>3.8811000000000002E-3</v>
      </c>
      <c r="AI4" s="395">
        <f t="shared" ref="AI4:AI56" si="3">$AI$2</f>
        <v>3.6363636363636362E-2</v>
      </c>
      <c r="AJ4" s="319">
        <f t="shared" si="2"/>
        <v>3.6363636363636362E-2</v>
      </c>
      <c r="AK4" s="385">
        <v>3.8811000000000002E-3</v>
      </c>
      <c r="AL4" s="402">
        <f t="shared" ref="AL4:AL56" si="4">$AL$2</f>
        <v>3.6363636363636362E-2</v>
      </c>
      <c r="AM4" s="325">
        <v>0</v>
      </c>
      <c r="AN4" s="411">
        <f t="shared" ref="AN4:AN10" si="5">$AN$2</f>
        <v>7.4999999999999997E-2</v>
      </c>
      <c r="AO4" s="366" t="e">
        <f>+([1]!Tabla1[[#This Row],[ponderacion_accion]]/50%)*AQ4</f>
        <v>#REF!</v>
      </c>
      <c r="AP4" s="344" t="e">
        <f>Tabla1[[#This Row],[ponderacion_meta]]*AO4</f>
        <v>#REF!</v>
      </c>
      <c r="AQ4" s="341"/>
      <c r="AR4" s="378">
        <v>0</v>
      </c>
      <c r="AS4" s="9"/>
      <c r="AT4" s="521">
        <v>0</v>
      </c>
    </row>
    <row r="5" spans="1:46" x14ac:dyDescent="0.35">
      <c r="A5" s="236" t="s">
        <v>1149</v>
      </c>
      <c r="B5" s="398" t="s">
        <v>16</v>
      </c>
      <c r="C5" s="398" t="s">
        <v>1718</v>
      </c>
      <c r="D5" s="398" t="s">
        <v>1153</v>
      </c>
      <c r="E5" s="176" t="s">
        <v>17</v>
      </c>
      <c r="F5" s="176" t="s">
        <v>2589</v>
      </c>
      <c r="G5" s="155" t="s">
        <v>18</v>
      </c>
      <c r="H5" s="155" t="s">
        <v>1723</v>
      </c>
      <c r="I5" s="2" t="s">
        <v>19</v>
      </c>
      <c r="J5" s="264">
        <v>6.4939999999999998E-3</v>
      </c>
      <c r="K5" s="94" t="s">
        <v>20</v>
      </c>
      <c r="L5" s="115">
        <v>25800000</v>
      </c>
      <c r="M5" s="115">
        <v>0</v>
      </c>
      <c r="N5" s="429"/>
      <c r="O5" s="429" t="s">
        <v>1753</v>
      </c>
      <c r="P5" s="183">
        <v>0.1</v>
      </c>
      <c r="Q5" s="184">
        <v>0.5</v>
      </c>
      <c r="R5" s="184">
        <v>0.3</v>
      </c>
      <c r="S5" s="184">
        <v>0.1</v>
      </c>
      <c r="T5" s="184" t="s">
        <v>1174</v>
      </c>
      <c r="U5" s="6" t="s">
        <v>27</v>
      </c>
      <c r="V5" s="3">
        <v>0.2</v>
      </c>
      <c r="W5" s="93" t="s">
        <v>28</v>
      </c>
      <c r="X5" s="93" t="s">
        <v>1700</v>
      </c>
      <c r="Y5" s="93" t="s">
        <v>2588</v>
      </c>
      <c r="Z5" s="251" t="s">
        <v>2148</v>
      </c>
      <c r="AA5" s="238">
        <f t="shared" si="0"/>
        <v>1.2988000000000001E-3</v>
      </c>
      <c r="AB5" s="252">
        <v>0</v>
      </c>
      <c r="AC5" s="278">
        <f>+(Tabla1[[#This Row],[Avance PDI]]*100%)/Tabla1[[#This Row],[ponderacion_meta]]</f>
        <v>0</v>
      </c>
      <c r="AD5" s="279">
        <v>6.4940000000000006E-4</v>
      </c>
      <c r="AE5" s="279">
        <v>3.2469999999999999E-3</v>
      </c>
      <c r="AF5" s="279">
        <v>1.9481999999999998E-3</v>
      </c>
      <c r="AG5" s="279">
        <v>6.4940000000000006E-4</v>
      </c>
      <c r="AH5" s="395">
        <f t="shared" si="1"/>
        <v>3.8811000000000002E-3</v>
      </c>
      <c r="AI5" s="395">
        <f t="shared" si="3"/>
        <v>3.6363636363636362E-2</v>
      </c>
      <c r="AJ5" s="319">
        <f t="shared" si="2"/>
        <v>3.6363636363636362E-2</v>
      </c>
      <c r="AK5" s="385">
        <v>3.8811000000000002E-3</v>
      </c>
      <c r="AL5" s="402">
        <f t="shared" si="4"/>
        <v>3.6363636363636362E-2</v>
      </c>
      <c r="AM5" s="325">
        <v>0</v>
      </c>
      <c r="AN5" s="411">
        <f t="shared" si="5"/>
        <v>7.4999999999999997E-2</v>
      </c>
      <c r="AO5" s="367" t="e">
        <f>+([1]!Tabla1[[#This Row],[ponderacion_accion]]/20%)*AQ5</f>
        <v>#REF!</v>
      </c>
      <c r="AP5" s="345" t="e">
        <f>Tabla1[[#This Row],[ponderacion_meta]]*AO5</f>
        <v>#REF!</v>
      </c>
      <c r="AQ5" s="342"/>
      <c r="AR5" s="379">
        <v>0</v>
      </c>
      <c r="AS5" s="9"/>
      <c r="AT5" s="521">
        <v>0</v>
      </c>
    </row>
    <row r="6" spans="1:46" x14ac:dyDescent="0.35">
      <c r="A6" s="236" t="s">
        <v>1149</v>
      </c>
      <c r="B6" s="398" t="s">
        <v>16</v>
      </c>
      <c r="C6" s="398" t="s">
        <v>1718</v>
      </c>
      <c r="D6" s="398" t="s">
        <v>1153</v>
      </c>
      <c r="E6" s="176" t="s">
        <v>17</v>
      </c>
      <c r="F6" s="176" t="s">
        <v>2589</v>
      </c>
      <c r="G6" s="155" t="s">
        <v>18</v>
      </c>
      <c r="H6" s="155" t="s">
        <v>1723</v>
      </c>
      <c r="I6" s="7" t="s">
        <v>29</v>
      </c>
      <c r="J6" s="265">
        <v>6.4939999999999998E-3</v>
      </c>
      <c r="K6" s="96" t="s">
        <v>30</v>
      </c>
      <c r="L6" s="116">
        <v>54150000</v>
      </c>
      <c r="M6" s="116">
        <v>0</v>
      </c>
      <c r="N6" s="430"/>
      <c r="O6" s="430" t="s">
        <v>1753</v>
      </c>
      <c r="P6" s="185">
        <v>0.1</v>
      </c>
      <c r="Q6" s="186">
        <v>0.3</v>
      </c>
      <c r="R6" s="186">
        <v>0.1</v>
      </c>
      <c r="S6" s="186">
        <v>0.5</v>
      </c>
      <c r="T6" s="186" t="s">
        <v>1175</v>
      </c>
      <c r="U6" s="9" t="s">
        <v>31</v>
      </c>
      <c r="V6" s="8">
        <v>0.1</v>
      </c>
      <c r="W6" s="95" t="s">
        <v>32</v>
      </c>
      <c r="X6" s="95" t="s">
        <v>1700</v>
      </c>
      <c r="Y6" s="95" t="s">
        <v>2587</v>
      </c>
      <c r="Z6" s="383" t="s">
        <v>2148</v>
      </c>
      <c r="AA6" s="239">
        <f t="shared" si="0"/>
        <v>6.4940000000000006E-4</v>
      </c>
      <c r="AB6" s="252">
        <v>0</v>
      </c>
      <c r="AC6" s="262">
        <f>+(Tabla1[[#This Row],[Avance PDI]]*100%)/Tabla1[[#This Row],[ponderacion_meta]]</f>
        <v>0</v>
      </c>
      <c r="AD6" s="257">
        <f>+Tabla1[[#This Row],[ponderacion_meta]]*Tabla1[[#This Row],[proyeccion_año1]]</f>
        <v>6.4940000000000006E-4</v>
      </c>
      <c r="AE6" s="257">
        <f>+Tabla1[[#This Row],[ponderacion_meta]]*Tabla1[[#This Row],[proyeccion_año2]]</f>
        <v>1.9481999999999998E-3</v>
      </c>
      <c r="AF6" s="257">
        <f>+Tabla1[[#This Row],[ponderacion_meta]]*Tabla1[[#This Row],[proyeccion_año3]]</f>
        <v>6.4940000000000006E-4</v>
      </c>
      <c r="AG6" s="257">
        <f>+Tabla1[[#This Row],[ponderacion_meta]]*Tabla1[[#This Row],[proyeccion_año4]]</f>
        <v>3.2469999999999999E-3</v>
      </c>
      <c r="AH6" s="395">
        <f t="shared" si="1"/>
        <v>3.8811000000000002E-3</v>
      </c>
      <c r="AI6" s="395">
        <f t="shared" si="3"/>
        <v>3.6363636363636362E-2</v>
      </c>
      <c r="AJ6" s="319">
        <f t="shared" si="2"/>
        <v>3.6363636363636362E-2</v>
      </c>
      <c r="AK6" s="385">
        <v>3.8811000000000002E-3</v>
      </c>
      <c r="AL6" s="402">
        <f t="shared" si="4"/>
        <v>3.6363636363636362E-2</v>
      </c>
      <c r="AM6" s="325">
        <v>0</v>
      </c>
      <c r="AN6" s="411">
        <f t="shared" si="5"/>
        <v>7.4999999999999997E-2</v>
      </c>
      <c r="AO6" s="346" t="e">
        <f>+([1]!Tabla1[[#This Row],[ponderacion_accion]]/10%)*AQ6</f>
        <v>#REF!</v>
      </c>
      <c r="AP6" s="346" t="e">
        <f>Tabla1[[#This Row],[ponderacion_meta]]*AO6</f>
        <v>#REF!</v>
      </c>
      <c r="AQ6" s="508">
        <v>0.1</v>
      </c>
      <c r="AR6" s="380">
        <v>0</v>
      </c>
      <c r="AS6" s="7" t="e">
        <f>+((SUM(AO6:AO10)*100)/40)</f>
        <v>#REF!</v>
      </c>
      <c r="AT6" s="521">
        <v>0</v>
      </c>
    </row>
    <row r="7" spans="1:46" x14ac:dyDescent="0.35">
      <c r="A7" s="236" t="s">
        <v>1149</v>
      </c>
      <c r="B7" s="398" t="s">
        <v>16</v>
      </c>
      <c r="C7" s="398" t="s">
        <v>1718</v>
      </c>
      <c r="D7" s="398" t="s">
        <v>1153</v>
      </c>
      <c r="E7" s="176" t="s">
        <v>17</v>
      </c>
      <c r="F7" s="176" t="s">
        <v>2589</v>
      </c>
      <c r="G7" s="155" t="s">
        <v>18</v>
      </c>
      <c r="H7" s="155" t="s">
        <v>1723</v>
      </c>
      <c r="I7" s="7" t="s">
        <v>29</v>
      </c>
      <c r="J7" s="265">
        <v>6.4939999999999998E-3</v>
      </c>
      <c r="K7" s="96" t="s">
        <v>30</v>
      </c>
      <c r="L7" s="116">
        <v>54150000</v>
      </c>
      <c r="M7" s="116">
        <v>0</v>
      </c>
      <c r="N7" s="430"/>
      <c r="O7" s="430" t="s">
        <v>1753</v>
      </c>
      <c r="P7" s="185">
        <v>0.1</v>
      </c>
      <c r="Q7" s="186">
        <v>0.3</v>
      </c>
      <c r="R7" s="186">
        <v>0.1</v>
      </c>
      <c r="S7" s="186">
        <v>0.5</v>
      </c>
      <c r="T7" s="186" t="s">
        <v>1176</v>
      </c>
      <c r="U7" s="9" t="s">
        <v>33</v>
      </c>
      <c r="V7" s="8">
        <v>0.2</v>
      </c>
      <c r="W7" s="95" t="s">
        <v>34</v>
      </c>
      <c r="X7" s="95" t="s">
        <v>1700</v>
      </c>
      <c r="Y7" s="95" t="s">
        <v>2587</v>
      </c>
      <c r="Z7" s="383" t="s">
        <v>2148</v>
      </c>
      <c r="AA7" s="239">
        <f t="shared" si="0"/>
        <v>1.2988000000000001E-3</v>
      </c>
      <c r="AB7" s="252">
        <v>0</v>
      </c>
      <c r="AC7" s="262">
        <f>+(Tabla1[[#This Row],[Avance PDI]]*100%)/Tabla1[[#This Row],[ponderacion_meta]]</f>
        <v>0</v>
      </c>
      <c r="AD7" s="257">
        <v>6.4940000000000006E-4</v>
      </c>
      <c r="AE7" s="257">
        <v>1.9481999999999998E-3</v>
      </c>
      <c r="AF7" s="257">
        <v>6.4940000000000006E-4</v>
      </c>
      <c r="AG7" s="257">
        <v>3.2469999999999999E-3</v>
      </c>
      <c r="AH7" s="395">
        <f t="shared" si="1"/>
        <v>3.8811000000000002E-3</v>
      </c>
      <c r="AI7" s="395">
        <f t="shared" si="3"/>
        <v>3.6363636363636362E-2</v>
      </c>
      <c r="AJ7" s="319">
        <f t="shared" si="2"/>
        <v>3.6363636363636362E-2</v>
      </c>
      <c r="AK7" s="385">
        <v>3.8811000000000002E-3</v>
      </c>
      <c r="AL7" s="402">
        <f t="shared" si="4"/>
        <v>3.6363636363636362E-2</v>
      </c>
      <c r="AM7" s="325">
        <v>0</v>
      </c>
      <c r="AN7" s="411">
        <f t="shared" si="5"/>
        <v>7.4999999999999997E-2</v>
      </c>
      <c r="AO7" s="347" t="e">
        <f>+([1]!Tabla1[[#This Row],[ponderacion_accion]]/20%)*AQ7</f>
        <v>#REF!</v>
      </c>
      <c r="AP7" s="347" t="e">
        <f>Tabla1[[#This Row],[ponderacion_meta]]*AO7</f>
        <v>#REF!</v>
      </c>
      <c r="AQ7" s="350"/>
      <c r="AR7" s="380">
        <v>0</v>
      </c>
      <c r="AS7" s="9"/>
      <c r="AT7" s="521">
        <v>0</v>
      </c>
    </row>
    <row r="8" spans="1:46" x14ac:dyDescent="0.35">
      <c r="A8" s="236" t="s">
        <v>1149</v>
      </c>
      <c r="B8" s="398" t="s">
        <v>16</v>
      </c>
      <c r="C8" s="398" t="s">
        <v>1718</v>
      </c>
      <c r="D8" s="398" t="s">
        <v>1153</v>
      </c>
      <c r="E8" s="176" t="s">
        <v>17</v>
      </c>
      <c r="F8" s="176" t="s">
        <v>2589</v>
      </c>
      <c r="G8" s="155" t="s">
        <v>18</v>
      </c>
      <c r="H8" s="155" t="s">
        <v>1723</v>
      </c>
      <c r="I8" s="7" t="s">
        <v>29</v>
      </c>
      <c r="J8" s="265">
        <v>6.4939999999999998E-3</v>
      </c>
      <c r="K8" s="96" t="s">
        <v>30</v>
      </c>
      <c r="L8" s="116">
        <v>54150000</v>
      </c>
      <c r="M8" s="116">
        <v>0</v>
      </c>
      <c r="N8" s="430"/>
      <c r="O8" s="430" t="s">
        <v>1753</v>
      </c>
      <c r="P8" s="185">
        <v>0.1</v>
      </c>
      <c r="Q8" s="186">
        <v>0.3</v>
      </c>
      <c r="R8" s="186">
        <v>0.1</v>
      </c>
      <c r="S8" s="186">
        <v>0.5</v>
      </c>
      <c r="T8" s="186" t="s">
        <v>1177</v>
      </c>
      <c r="U8" s="9" t="s">
        <v>35</v>
      </c>
      <c r="V8" s="8">
        <v>0.1</v>
      </c>
      <c r="W8" s="95" t="s">
        <v>36</v>
      </c>
      <c r="X8" s="95" t="s">
        <v>1700</v>
      </c>
      <c r="Y8" s="95" t="s">
        <v>2587</v>
      </c>
      <c r="Z8" s="383" t="s">
        <v>2148</v>
      </c>
      <c r="AA8" s="239">
        <f t="shared" si="0"/>
        <v>6.4940000000000006E-4</v>
      </c>
      <c r="AB8" s="252">
        <v>0</v>
      </c>
      <c r="AC8" s="262">
        <f>+(Tabla1[[#This Row],[Avance PDI]]*100%)/Tabla1[[#This Row],[ponderacion_meta]]</f>
        <v>0</v>
      </c>
      <c r="AD8" s="257">
        <v>6.4940000000000006E-4</v>
      </c>
      <c r="AE8" s="257">
        <v>1.9481999999999998E-3</v>
      </c>
      <c r="AF8" s="257">
        <v>6.4940000000000006E-4</v>
      </c>
      <c r="AG8" s="257">
        <v>3.2469999999999999E-3</v>
      </c>
      <c r="AH8" s="395">
        <f t="shared" si="1"/>
        <v>3.8811000000000002E-3</v>
      </c>
      <c r="AI8" s="395">
        <f t="shared" si="3"/>
        <v>3.6363636363636362E-2</v>
      </c>
      <c r="AJ8" s="319">
        <f t="shared" si="2"/>
        <v>3.6363636363636362E-2</v>
      </c>
      <c r="AK8" s="385">
        <v>3.8811000000000002E-3</v>
      </c>
      <c r="AL8" s="402">
        <f t="shared" si="4"/>
        <v>3.6363636363636362E-2</v>
      </c>
      <c r="AM8" s="325">
        <v>0</v>
      </c>
      <c r="AN8" s="411">
        <f t="shared" si="5"/>
        <v>7.4999999999999997E-2</v>
      </c>
      <c r="AO8" s="347" t="e">
        <f>+([1]!Tabla1[[#This Row],[ponderacion_accion]]/10%)*AQ8</f>
        <v>#REF!</v>
      </c>
      <c r="AP8" s="347" t="e">
        <f>Tabla1[[#This Row],[ponderacion_meta]]*AO8</f>
        <v>#REF!</v>
      </c>
      <c r="AQ8" s="351"/>
      <c r="AR8" s="380">
        <v>0</v>
      </c>
      <c r="AS8" s="9"/>
      <c r="AT8" s="521">
        <v>0</v>
      </c>
    </row>
    <row r="9" spans="1:46" x14ac:dyDescent="0.35">
      <c r="A9" s="236" t="s">
        <v>1149</v>
      </c>
      <c r="B9" s="398" t="s">
        <v>16</v>
      </c>
      <c r="C9" s="398" t="s">
        <v>1718</v>
      </c>
      <c r="D9" s="398" t="s">
        <v>1153</v>
      </c>
      <c r="E9" s="176" t="s">
        <v>17</v>
      </c>
      <c r="F9" s="176" t="s">
        <v>2589</v>
      </c>
      <c r="G9" s="155" t="s">
        <v>18</v>
      </c>
      <c r="H9" s="155" t="s">
        <v>1723</v>
      </c>
      <c r="I9" s="7" t="s">
        <v>29</v>
      </c>
      <c r="J9" s="265">
        <v>6.4939999999999998E-3</v>
      </c>
      <c r="K9" s="96" t="s">
        <v>30</v>
      </c>
      <c r="L9" s="116">
        <v>54150000</v>
      </c>
      <c r="M9" s="116">
        <v>0</v>
      </c>
      <c r="N9" s="430"/>
      <c r="O9" s="430" t="s">
        <v>1753</v>
      </c>
      <c r="P9" s="185">
        <v>0.1</v>
      </c>
      <c r="Q9" s="186">
        <v>0.3</v>
      </c>
      <c r="R9" s="186">
        <v>0.1</v>
      </c>
      <c r="S9" s="186">
        <v>0.5</v>
      </c>
      <c r="T9" s="186" t="s">
        <v>1178</v>
      </c>
      <c r="U9" s="9" t="s">
        <v>37</v>
      </c>
      <c r="V9" s="8">
        <v>0.1</v>
      </c>
      <c r="W9" s="95" t="s">
        <v>38</v>
      </c>
      <c r="X9" s="95" t="s">
        <v>1701</v>
      </c>
      <c r="Y9" s="95" t="s">
        <v>2588</v>
      </c>
      <c r="Z9" s="383" t="s">
        <v>2148</v>
      </c>
      <c r="AA9" s="239">
        <f t="shared" si="0"/>
        <v>6.4940000000000006E-4</v>
      </c>
      <c r="AB9" s="252">
        <v>0</v>
      </c>
      <c r="AC9" s="262">
        <f>+(Tabla1[[#This Row],[Avance PDI]]*100%)/Tabla1[[#This Row],[ponderacion_meta]]</f>
        <v>0</v>
      </c>
      <c r="AD9" s="257">
        <v>6.4940000000000006E-4</v>
      </c>
      <c r="AE9" s="257">
        <v>1.9481999999999998E-3</v>
      </c>
      <c r="AF9" s="257">
        <v>6.4940000000000006E-4</v>
      </c>
      <c r="AG9" s="257">
        <v>3.2469999999999999E-3</v>
      </c>
      <c r="AH9" s="395">
        <f t="shared" si="1"/>
        <v>3.8811000000000002E-3</v>
      </c>
      <c r="AI9" s="395">
        <f t="shared" si="3"/>
        <v>3.6363636363636362E-2</v>
      </c>
      <c r="AJ9" s="319">
        <f t="shared" si="2"/>
        <v>3.6363636363636362E-2</v>
      </c>
      <c r="AK9" s="385">
        <v>3.8811000000000002E-3</v>
      </c>
      <c r="AL9" s="402">
        <f t="shared" si="4"/>
        <v>3.6363636363636362E-2</v>
      </c>
      <c r="AM9" s="325">
        <v>0</v>
      </c>
      <c r="AN9" s="411">
        <f t="shared" si="5"/>
        <v>7.4999999999999997E-2</v>
      </c>
      <c r="AO9" s="347" t="e">
        <f>+([1]!Tabla1[[#This Row],[ponderacion_accion]]/10%)*AQ9</f>
        <v>#REF!</v>
      </c>
      <c r="AP9" s="347" t="e">
        <f>Tabla1[[#This Row],[ponderacion_meta]]*AO9</f>
        <v>#REF!</v>
      </c>
      <c r="AQ9" s="351"/>
      <c r="AR9" s="380">
        <v>0</v>
      </c>
      <c r="AS9" s="9"/>
      <c r="AT9" s="521">
        <v>0</v>
      </c>
    </row>
    <row r="10" spans="1:46" x14ac:dyDescent="0.35">
      <c r="A10" s="236" t="s">
        <v>1149</v>
      </c>
      <c r="B10" s="398" t="s">
        <v>16</v>
      </c>
      <c r="C10" s="398" t="s">
        <v>1718</v>
      </c>
      <c r="D10" s="398" t="s">
        <v>1153</v>
      </c>
      <c r="E10" s="176" t="s">
        <v>17</v>
      </c>
      <c r="F10" s="176" t="s">
        <v>2589</v>
      </c>
      <c r="G10" s="155" t="s">
        <v>18</v>
      </c>
      <c r="H10" s="155" t="s">
        <v>1723</v>
      </c>
      <c r="I10" s="7" t="s">
        <v>29</v>
      </c>
      <c r="J10" s="265">
        <v>6.4939999999999998E-3</v>
      </c>
      <c r="K10" s="96" t="s">
        <v>30</v>
      </c>
      <c r="L10" s="116">
        <v>54150000</v>
      </c>
      <c r="M10" s="116">
        <v>0</v>
      </c>
      <c r="N10" s="430"/>
      <c r="O10" s="430" t="s">
        <v>1753</v>
      </c>
      <c r="P10" s="185">
        <v>0.1</v>
      </c>
      <c r="Q10" s="186">
        <v>0.3</v>
      </c>
      <c r="R10" s="186">
        <v>0.1</v>
      </c>
      <c r="S10" s="186">
        <v>0.5</v>
      </c>
      <c r="T10" s="186" t="s">
        <v>1179</v>
      </c>
      <c r="U10" s="9" t="s">
        <v>39</v>
      </c>
      <c r="V10" s="8">
        <v>0.5</v>
      </c>
      <c r="W10" s="95" t="s">
        <v>40</v>
      </c>
      <c r="X10" s="95" t="s">
        <v>1700</v>
      </c>
      <c r="Y10" s="95" t="s">
        <v>2588</v>
      </c>
      <c r="Z10" s="383" t="s">
        <v>2148</v>
      </c>
      <c r="AA10" s="239">
        <f t="shared" si="0"/>
        <v>3.2469999999999999E-3</v>
      </c>
      <c r="AB10" s="252">
        <v>0</v>
      </c>
      <c r="AC10" s="262">
        <f>+(Tabla1[[#This Row],[Avance PDI]]*100%)/Tabla1[[#This Row],[ponderacion_meta]]</f>
        <v>0</v>
      </c>
      <c r="AD10" s="257">
        <v>6.4940000000000006E-4</v>
      </c>
      <c r="AE10" s="257">
        <v>1.9481999999999998E-3</v>
      </c>
      <c r="AF10" s="257">
        <v>6.4940000000000006E-4</v>
      </c>
      <c r="AG10" s="257">
        <v>3.2469999999999999E-3</v>
      </c>
      <c r="AH10" s="395">
        <f t="shared" si="1"/>
        <v>3.8811000000000002E-3</v>
      </c>
      <c r="AI10" s="395">
        <f t="shared" si="3"/>
        <v>3.6363636363636362E-2</v>
      </c>
      <c r="AJ10" s="319">
        <f t="shared" si="2"/>
        <v>3.6363636363636362E-2</v>
      </c>
      <c r="AK10" s="385">
        <v>3.8811000000000002E-3</v>
      </c>
      <c r="AL10" s="402">
        <f t="shared" si="4"/>
        <v>3.6363636363636362E-2</v>
      </c>
      <c r="AM10" s="325">
        <v>0</v>
      </c>
      <c r="AN10" s="411">
        <f t="shared" si="5"/>
        <v>7.4999999999999997E-2</v>
      </c>
      <c r="AO10" s="348" t="e">
        <f>+([1]!Tabla1[[#This Row],[ponderacion_accion]]/50%)*AQ10</f>
        <v>#REF!</v>
      </c>
      <c r="AP10" s="348" t="e">
        <f>Tabla1[[#This Row],[ponderacion_meta]]*AO10</f>
        <v>#REF!</v>
      </c>
      <c r="AQ10" s="352"/>
      <c r="AR10" s="380">
        <v>0</v>
      </c>
      <c r="AS10" s="9"/>
      <c r="AT10" s="521">
        <v>0</v>
      </c>
    </row>
    <row r="11" spans="1:46" x14ac:dyDescent="0.35">
      <c r="A11" s="236" t="s">
        <v>1149</v>
      </c>
      <c r="B11" s="398" t="s">
        <v>16</v>
      </c>
      <c r="C11" s="398" t="s">
        <v>1718</v>
      </c>
      <c r="D11" s="398" t="s">
        <v>1153</v>
      </c>
      <c r="E11" s="176" t="s">
        <v>17</v>
      </c>
      <c r="F11" s="156" t="s">
        <v>2590</v>
      </c>
      <c r="G11" s="156" t="s">
        <v>41</v>
      </c>
      <c r="H11" s="156" t="s">
        <v>1724</v>
      </c>
      <c r="I11" s="2" t="s">
        <v>42</v>
      </c>
      <c r="J11" s="264">
        <v>1.1627999999999999E-2</v>
      </c>
      <c r="K11" s="94" t="s">
        <v>43</v>
      </c>
      <c r="L11" s="115">
        <v>60700000</v>
      </c>
      <c r="M11" s="115">
        <v>0</v>
      </c>
      <c r="N11" s="429"/>
      <c r="O11" s="429" t="s">
        <v>1753</v>
      </c>
      <c r="P11" s="183">
        <v>0.05</v>
      </c>
      <c r="Q11" s="184">
        <v>0.6</v>
      </c>
      <c r="R11" s="184">
        <v>0.35</v>
      </c>
      <c r="S11" s="184">
        <v>0</v>
      </c>
      <c r="T11" s="184" t="s">
        <v>1180</v>
      </c>
      <c r="U11" s="6" t="s">
        <v>44</v>
      </c>
      <c r="V11" s="3">
        <v>0.05</v>
      </c>
      <c r="W11" s="93" t="s">
        <v>45</v>
      </c>
      <c r="X11" s="93" t="s">
        <v>1700</v>
      </c>
      <c r="Y11" s="93" t="s">
        <v>2587</v>
      </c>
      <c r="Z11" s="251" t="s">
        <v>2148</v>
      </c>
      <c r="AA11" s="238">
        <f t="shared" si="0"/>
        <v>5.8140000000000004E-4</v>
      </c>
      <c r="AB11" s="252">
        <v>0</v>
      </c>
      <c r="AC11" s="278">
        <f>+(Tabla1[[#This Row],[Avance PDI]]*100%)/Tabla1[[#This Row],[ponderacion_meta]]</f>
        <v>0</v>
      </c>
      <c r="AD11" s="279">
        <f>+Tabla1[[#This Row],[ponderacion_meta]]*Tabla1[[#This Row],[proyeccion_año1]]</f>
        <v>5.8140000000000004E-4</v>
      </c>
      <c r="AE11" s="279">
        <f>+Tabla1[[#This Row],[ponderacion_meta]]*Tabla1[[#This Row],[proyeccion_año2]]</f>
        <v>6.9767999999999991E-3</v>
      </c>
      <c r="AF11" s="279">
        <f>+Tabla1[[#This Row],[ponderacion_meta]]*Tabla1[[#This Row],[proyeccion_año3]]</f>
        <v>4.0697999999999993E-3</v>
      </c>
      <c r="AG11" s="279">
        <f>+Tabla1[[#This Row],[ponderacion_meta]]*Tabla1[[#This Row],[proyeccion_año4]]</f>
        <v>0</v>
      </c>
      <c r="AH11" s="395">
        <f t="shared" si="1"/>
        <v>3.8811000000000002E-3</v>
      </c>
      <c r="AI11" s="395">
        <f t="shared" si="3"/>
        <v>3.6363636363636362E-2</v>
      </c>
      <c r="AJ11" s="319">
        <f t="shared" si="2"/>
        <v>3.6363636363636362E-2</v>
      </c>
      <c r="AK11" s="385">
        <v>3.8811000000000002E-3</v>
      </c>
      <c r="AL11" s="402">
        <f t="shared" si="4"/>
        <v>3.6363636363636362E-2</v>
      </c>
      <c r="AM11" s="326">
        <f>+SUM(AB11:AB37)</f>
        <v>2.9069999999999999E-3</v>
      </c>
      <c r="AN11" s="410">
        <f>+SUM(AC11:AC37)/5</f>
        <v>0.05</v>
      </c>
      <c r="AO11" s="343" t="e">
        <f>+([1]!Tabla1[[#This Row],[ponderacion_accion]]/5%)*AQ11</f>
        <v>#REF!</v>
      </c>
      <c r="AP11" s="343" t="e">
        <f>Tabla1[[#This Row],[ponderacion_meta]]*AO11</f>
        <v>#REF!</v>
      </c>
      <c r="AQ11" s="353"/>
      <c r="AR11" s="377">
        <v>0</v>
      </c>
      <c r="AS11" s="7" t="e">
        <f>+((SUM(AO11:AO16)*100)/90)</f>
        <v>#REF!</v>
      </c>
      <c r="AT11" s="521">
        <v>0</v>
      </c>
    </row>
    <row r="12" spans="1:46" x14ac:dyDescent="0.35">
      <c r="A12" s="236" t="s">
        <v>1149</v>
      </c>
      <c r="B12" s="398" t="s">
        <v>16</v>
      </c>
      <c r="C12" s="398" t="s">
        <v>1718</v>
      </c>
      <c r="D12" s="398" t="s">
        <v>1153</v>
      </c>
      <c r="E12" s="176" t="s">
        <v>17</v>
      </c>
      <c r="F12" s="156" t="s">
        <v>2590</v>
      </c>
      <c r="G12" s="156" t="s">
        <v>41</v>
      </c>
      <c r="H12" s="156" t="s">
        <v>1724</v>
      </c>
      <c r="I12" s="2" t="s">
        <v>42</v>
      </c>
      <c r="J12" s="264">
        <v>1.1627999999999999E-2</v>
      </c>
      <c r="K12" s="94" t="s">
        <v>43</v>
      </c>
      <c r="L12" s="115">
        <v>60700000</v>
      </c>
      <c r="M12" s="115">
        <v>0</v>
      </c>
      <c r="N12" s="429"/>
      <c r="O12" s="429" t="s">
        <v>1753</v>
      </c>
      <c r="P12" s="183">
        <v>0.05</v>
      </c>
      <c r="Q12" s="184">
        <v>0.6</v>
      </c>
      <c r="R12" s="184">
        <v>0.35</v>
      </c>
      <c r="S12" s="184">
        <v>0</v>
      </c>
      <c r="T12" s="184" t="s">
        <v>1181</v>
      </c>
      <c r="U12" s="6" t="s">
        <v>46</v>
      </c>
      <c r="V12" s="3">
        <v>0.15</v>
      </c>
      <c r="W12" s="93" t="s">
        <v>47</v>
      </c>
      <c r="X12" s="93" t="s">
        <v>1700</v>
      </c>
      <c r="Y12" s="93" t="s">
        <v>2587</v>
      </c>
      <c r="Z12" s="251" t="s">
        <v>2148</v>
      </c>
      <c r="AA12" s="238">
        <f t="shared" si="0"/>
        <v>1.7441999999999998E-3</v>
      </c>
      <c r="AB12" s="252">
        <v>0</v>
      </c>
      <c r="AC12" s="278">
        <f>+(Tabla1[[#This Row],[Avance PDI]]*100%)/Tabla1[[#This Row],[ponderacion_meta]]</f>
        <v>0</v>
      </c>
      <c r="AD12" s="279">
        <v>5.8140000000000004E-4</v>
      </c>
      <c r="AE12" s="279">
        <v>6.9767999999999991E-3</v>
      </c>
      <c r="AF12" s="279">
        <v>4.0697999999999993E-3</v>
      </c>
      <c r="AG12" s="279">
        <v>0</v>
      </c>
      <c r="AH12" s="395">
        <f t="shared" si="1"/>
        <v>3.8811000000000002E-3</v>
      </c>
      <c r="AI12" s="395">
        <f t="shared" si="3"/>
        <v>3.6363636363636362E-2</v>
      </c>
      <c r="AJ12" s="319">
        <f t="shared" si="2"/>
        <v>3.6363636363636362E-2</v>
      </c>
      <c r="AK12" s="385">
        <v>3.8811000000000002E-3</v>
      </c>
      <c r="AL12" s="402">
        <f t="shared" si="4"/>
        <v>3.6363636363636362E-2</v>
      </c>
      <c r="AM12" s="327">
        <v>0</v>
      </c>
      <c r="AN12" s="410">
        <f>$AN$11</f>
        <v>0.05</v>
      </c>
      <c r="AO12" s="344" t="e">
        <f>+([1]!Tabla1[[#This Row],[ponderacion_accion]]/15%)*AQ12</f>
        <v>#REF!</v>
      </c>
      <c r="AP12" s="344" t="e">
        <f>Tabla1[[#This Row],[ponderacion_meta]]*AO12</f>
        <v>#REF!</v>
      </c>
      <c r="AQ12" s="354"/>
      <c r="AR12" s="378">
        <v>0</v>
      </c>
      <c r="AS12" s="9"/>
      <c r="AT12" s="521">
        <v>0</v>
      </c>
    </row>
    <row r="13" spans="1:46" x14ac:dyDescent="0.35">
      <c r="A13" s="236" t="s">
        <v>1149</v>
      </c>
      <c r="B13" s="398" t="s">
        <v>16</v>
      </c>
      <c r="C13" s="398" t="s">
        <v>1718</v>
      </c>
      <c r="D13" s="398" t="s">
        <v>1153</v>
      </c>
      <c r="E13" s="176" t="s">
        <v>17</v>
      </c>
      <c r="F13" s="156" t="s">
        <v>2590</v>
      </c>
      <c r="G13" s="156" t="s">
        <v>41</v>
      </c>
      <c r="H13" s="156" t="s">
        <v>1724</v>
      </c>
      <c r="I13" s="2" t="s">
        <v>42</v>
      </c>
      <c r="J13" s="264">
        <v>1.1627999999999999E-2</v>
      </c>
      <c r="K13" s="94" t="s">
        <v>43</v>
      </c>
      <c r="L13" s="115">
        <v>60700000</v>
      </c>
      <c r="M13" s="115">
        <v>0</v>
      </c>
      <c r="N13" s="429"/>
      <c r="O13" s="429" t="s">
        <v>1753</v>
      </c>
      <c r="P13" s="183">
        <v>0.05</v>
      </c>
      <c r="Q13" s="184">
        <v>0.6</v>
      </c>
      <c r="R13" s="184">
        <v>0.35</v>
      </c>
      <c r="S13" s="184">
        <v>0</v>
      </c>
      <c r="T13" s="184" t="s">
        <v>1182</v>
      </c>
      <c r="U13" s="6" t="s">
        <v>48</v>
      </c>
      <c r="V13" s="3">
        <v>0.1</v>
      </c>
      <c r="W13" s="93" t="s">
        <v>49</v>
      </c>
      <c r="X13" s="93" t="s">
        <v>1700</v>
      </c>
      <c r="Y13" s="93" t="s">
        <v>2587</v>
      </c>
      <c r="Z13" s="251" t="s">
        <v>2148</v>
      </c>
      <c r="AA13" s="238">
        <f t="shared" si="0"/>
        <v>1.1628000000000001E-3</v>
      </c>
      <c r="AB13" s="252">
        <v>0</v>
      </c>
      <c r="AC13" s="278">
        <f>+(Tabla1[[#This Row],[Avance PDI]]*100%)/Tabla1[[#This Row],[ponderacion_meta]]</f>
        <v>0</v>
      </c>
      <c r="AD13" s="279">
        <v>5.8140000000000004E-4</v>
      </c>
      <c r="AE13" s="279">
        <v>6.9767999999999991E-3</v>
      </c>
      <c r="AF13" s="279">
        <v>4.0697999999999993E-3</v>
      </c>
      <c r="AG13" s="279">
        <v>0</v>
      </c>
      <c r="AH13" s="395">
        <f t="shared" si="1"/>
        <v>3.8811000000000002E-3</v>
      </c>
      <c r="AI13" s="395">
        <f t="shared" si="3"/>
        <v>3.6363636363636362E-2</v>
      </c>
      <c r="AJ13" s="319">
        <f t="shared" si="2"/>
        <v>3.6363636363636362E-2</v>
      </c>
      <c r="AK13" s="385">
        <v>3.8811000000000002E-3</v>
      </c>
      <c r="AL13" s="402">
        <f t="shared" si="4"/>
        <v>3.6363636363636362E-2</v>
      </c>
      <c r="AM13" s="327">
        <v>0</v>
      </c>
      <c r="AN13" s="410">
        <f t="shared" ref="AN13:AN37" si="6">$AN$11</f>
        <v>0.05</v>
      </c>
      <c r="AO13" s="344" t="e">
        <f>+([1]!Tabla1[[#This Row],[ponderacion_accion]]/10%)*AQ13</f>
        <v>#REF!</v>
      </c>
      <c r="AP13" s="344" t="e">
        <f>Tabla1[[#This Row],[ponderacion_meta]]*AO13</f>
        <v>#REF!</v>
      </c>
      <c r="AQ13" s="354"/>
      <c r="AR13" s="378">
        <v>0</v>
      </c>
      <c r="AS13" s="9"/>
      <c r="AT13" s="521">
        <v>0</v>
      </c>
    </row>
    <row r="14" spans="1:46" x14ac:dyDescent="0.35">
      <c r="A14" s="236" t="s">
        <v>1149</v>
      </c>
      <c r="B14" s="398" t="s">
        <v>16</v>
      </c>
      <c r="C14" s="398" t="s">
        <v>1718</v>
      </c>
      <c r="D14" s="398" t="s">
        <v>1153</v>
      </c>
      <c r="E14" s="176" t="s">
        <v>17</v>
      </c>
      <c r="F14" s="156" t="s">
        <v>2590</v>
      </c>
      <c r="G14" s="156" t="s">
        <v>41</v>
      </c>
      <c r="H14" s="156" t="s">
        <v>1724</v>
      </c>
      <c r="I14" s="2" t="s">
        <v>42</v>
      </c>
      <c r="J14" s="264">
        <v>1.1627999999999999E-2</v>
      </c>
      <c r="K14" s="94" t="s">
        <v>43</v>
      </c>
      <c r="L14" s="115">
        <v>60700000</v>
      </c>
      <c r="M14" s="115">
        <v>0</v>
      </c>
      <c r="N14" s="429"/>
      <c r="O14" s="429" t="s">
        <v>1753</v>
      </c>
      <c r="P14" s="183">
        <v>0.05</v>
      </c>
      <c r="Q14" s="184">
        <v>0.6</v>
      </c>
      <c r="R14" s="184">
        <v>0.35</v>
      </c>
      <c r="S14" s="184">
        <v>0</v>
      </c>
      <c r="T14" s="184" t="s">
        <v>1183</v>
      </c>
      <c r="U14" s="6" t="s">
        <v>50</v>
      </c>
      <c r="V14" s="3">
        <v>0.1</v>
      </c>
      <c r="W14" s="93" t="s">
        <v>51</v>
      </c>
      <c r="X14" s="93" t="s">
        <v>1700</v>
      </c>
      <c r="Y14" s="93" t="s">
        <v>2587</v>
      </c>
      <c r="Z14" s="251" t="s">
        <v>2148</v>
      </c>
      <c r="AA14" s="238">
        <f t="shared" si="0"/>
        <v>1.1628000000000001E-3</v>
      </c>
      <c r="AB14" s="252">
        <v>0</v>
      </c>
      <c r="AC14" s="278">
        <f>+(Tabla1[[#This Row],[Avance PDI]]*100%)/Tabla1[[#This Row],[ponderacion_meta]]</f>
        <v>0</v>
      </c>
      <c r="AD14" s="279">
        <v>5.8140000000000004E-4</v>
      </c>
      <c r="AE14" s="279">
        <v>6.9767999999999991E-3</v>
      </c>
      <c r="AF14" s="279">
        <v>4.0697999999999993E-3</v>
      </c>
      <c r="AG14" s="279">
        <v>0</v>
      </c>
      <c r="AH14" s="395">
        <f t="shared" si="1"/>
        <v>3.8811000000000002E-3</v>
      </c>
      <c r="AI14" s="395">
        <f t="shared" si="3"/>
        <v>3.6363636363636362E-2</v>
      </c>
      <c r="AJ14" s="319">
        <f t="shared" si="2"/>
        <v>3.6363636363636362E-2</v>
      </c>
      <c r="AK14" s="385">
        <v>3.8811000000000002E-3</v>
      </c>
      <c r="AL14" s="402">
        <f t="shared" si="4"/>
        <v>3.6363636363636362E-2</v>
      </c>
      <c r="AM14" s="327">
        <v>0</v>
      </c>
      <c r="AN14" s="410">
        <f t="shared" si="6"/>
        <v>0.05</v>
      </c>
      <c r="AO14" s="344" t="e">
        <f>+([1]!Tabla1[[#This Row],[ponderacion_accion]]/10%)*AQ14</f>
        <v>#REF!</v>
      </c>
      <c r="AP14" s="344" t="e">
        <f>Tabla1[[#This Row],[ponderacion_meta]]*AO14</f>
        <v>#REF!</v>
      </c>
      <c r="AQ14" s="354"/>
      <c r="AR14" s="378">
        <v>0</v>
      </c>
      <c r="AS14" s="9"/>
      <c r="AT14" s="521">
        <v>0</v>
      </c>
    </row>
    <row r="15" spans="1:46" x14ac:dyDescent="0.35">
      <c r="A15" s="236" t="s">
        <v>1149</v>
      </c>
      <c r="B15" s="398" t="s">
        <v>16</v>
      </c>
      <c r="C15" s="398" t="s">
        <v>1718</v>
      </c>
      <c r="D15" s="398" t="s">
        <v>1153</v>
      </c>
      <c r="E15" s="176" t="s">
        <v>17</v>
      </c>
      <c r="F15" s="156" t="s">
        <v>2590</v>
      </c>
      <c r="G15" s="156" t="s">
        <v>41</v>
      </c>
      <c r="H15" s="156" t="s">
        <v>1724</v>
      </c>
      <c r="I15" s="2" t="s">
        <v>42</v>
      </c>
      <c r="J15" s="264">
        <v>1.1627999999999999E-2</v>
      </c>
      <c r="K15" s="94" t="s">
        <v>43</v>
      </c>
      <c r="L15" s="115">
        <v>60700000</v>
      </c>
      <c r="M15" s="115">
        <v>0</v>
      </c>
      <c r="N15" s="429"/>
      <c r="O15" s="429" t="s">
        <v>1753</v>
      </c>
      <c r="P15" s="183">
        <v>0.05</v>
      </c>
      <c r="Q15" s="184">
        <v>0.6</v>
      </c>
      <c r="R15" s="184">
        <v>0.35</v>
      </c>
      <c r="S15" s="184">
        <v>0</v>
      </c>
      <c r="T15" s="184" t="s">
        <v>1184</v>
      </c>
      <c r="U15" s="6" t="s">
        <v>52</v>
      </c>
      <c r="V15" s="3">
        <v>0.5</v>
      </c>
      <c r="W15" s="93" t="s">
        <v>53</v>
      </c>
      <c r="X15" s="93" t="s">
        <v>1700</v>
      </c>
      <c r="Y15" s="93" t="s">
        <v>2587</v>
      </c>
      <c r="Z15" s="251" t="s">
        <v>2148</v>
      </c>
      <c r="AA15" s="238">
        <f t="shared" si="0"/>
        <v>5.8139999999999997E-3</v>
      </c>
      <c r="AB15" s="252">
        <v>0</v>
      </c>
      <c r="AC15" s="278">
        <f>+(Tabla1[[#This Row],[Avance PDI]]*100%)/Tabla1[[#This Row],[ponderacion_meta]]</f>
        <v>0</v>
      </c>
      <c r="AD15" s="279">
        <v>5.8140000000000004E-4</v>
      </c>
      <c r="AE15" s="279">
        <v>6.9767999999999991E-3</v>
      </c>
      <c r="AF15" s="279">
        <v>4.0697999999999993E-3</v>
      </c>
      <c r="AG15" s="279">
        <v>0</v>
      </c>
      <c r="AH15" s="395">
        <f t="shared" si="1"/>
        <v>3.8811000000000002E-3</v>
      </c>
      <c r="AI15" s="395">
        <f t="shared" si="3"/>
        <v>3.6363636363636362E-2</v>
      </c>
      <c r="AJ15" s="319">
        <f t="shared" si="2"/>
        <v>3.6363636363636362E-2</v>
      </c>
      <c r="AK15" s="385">
        <v>3.8811000000000002E-3</v>
      </c>
      <c r="AL15" s="402">
        <f t="shared" si="4"/>
        <v>3.6363636363636362E-2</v>
      </c>
      <c r="AM15" s="327">
        <v>0</v>
      </c>
      <c r="AN15" s="410">
        <f t="shared" si="6"/>
        <v>0.05</v>
      </c>
      <c r="AO15" s="344" t="e">
        <f>+([1]!Tabla1[[#This Row],[ponderacion_accion]]/50%)*AQ15</f>
        <v>#REF!</v>
      </c>
      <c r="AP15" s="344" t="e">
        <f>Tabla1[[#This Row],[ponderacion_meta]]*AO15</f>
        <v>#REF!</v>
      </c>
      <c r="AQ15" s="354"/>
      <c r="AR15" s="378">
        <v>0</v>
      </c>
      <c r="AS15" s="9"/>
      <c r="AT15" s="521">
        <v>0</v>
      </c>
    </row>
    <row r="16" spans="1:46" x14ac:dyDescent="0.35">
      <c r="A16" s="236" t="s">
        <v>1149</v>
      </c>
      <c r="B16" s="398" t="s">
        <v>16</v>
      </c>
      <c r="C16" s="398" t="s">
        <v>1718</v>
      </c>
      <c r="D16" s="398" t="s">
        <v>1153</v>
      </c>
      <c r="E16" s="176" t="s">
        <v>17</v>
      </c>
      <c r="F16" s="156" t="s">
        <v>2590</v>
      </c>
      <c r="G16" s="156" t="s">
        <v>41</v>
      </c>
      <c r="H16" s="156" t="s">
        <v>1724</v>
      </c>
      <c r="I16" s="2" t="s">
        <v>42</v>
      </c>
      <c r="J16" s="264">
        <v>1.1627999999999999E-2</v>
      </c>
      <c r="K16" s="94" t="s">
        <v>43</v>
      </c>
      <c r="L16" s="115">
        <v>60700000</v>
      </c>
      <c r="M16" s="115">
        <v>0</v>
      </c>
      <c r="N16" s="429"/>
      <c r="O16" s="429" t="s">
        <v>1753</v>
      </c>
      <c r="P16" s="183">
        <v>0.05</v>
      </c>
      <c r="Q16" s="184">
        <v>0.6</v>
      </c>
      <c r="R16" s="184">
        <v>0.35</v>
      </c>
      <c r="S16" s="184">
        <v>0</v>
      </c>
      <c r="T16" s="184" t="s">
        <v>1185</v>
      </c>
      <c r="U16" s="6" t="s">
        <v>54</v>
      </c>
      <c r="V16" s="3">
        <v>0.1</v>
      </c>
      <c r="W16" s="93" t="s">
        <v>55</v>
      </c>
      <c r="X16" s="93" t="s">
        <v>1700</v>
      </c>
      <c r="Y16" s="93" t="s">
        <v>2588</v>
      </c>
      <c r="Z16" s="251" t="s">
        <v>2148</v>
      </c>
      <c r="AA16" s="238">
        <f t="shared" si="0"/>
        <v>1.1628000000000001E-3</v>
      </c>
      <c r="AB16" s="252">
        <v>0</v>
      </c>
      <c r="AC16" s="278">
        <f>+(Tabla1[[#This Row],[Avance PDI]]*100%)/Tabla1[[#This Row],[ponderacion_meta]]</f>
        <v>0</v>
      </c>
      <c r="AD16" s="279">
        <v>5.8140000000000004E-4</v>
      </c>
      <c r="AE16" s="279">
        <v>6.9767999999999991E-3</v>
      </c>
      <c r="AF16" s="279">
        <v>4.0697999999999993E-3</v>
      </c>
      <c r="AG16" s="279">
        <v>0</v>
      </c>
      <c r="AH16" s="395">
        <f t="shared" si="1"/>
        <v>3.8811000000000002E-3</v>
      </c>
      <c r="AI16" s="395">
        <f t="shared" si="3"/>
        <v>3.6363636363636362E-2</v>
      </c>
      <c r="AJ16" s="319">
        <f t="shared" si="2"/>
        <v>3.6363636363636362E-2</v>
      </c>
      <c r="AK16" s="385">
        <v>3.8811000000000002E-3</v>
      </c>
      <c r="AL16" s="402">
        <f t="shared" si="4"/>
        <v>3.6363636363636362E-2</v>
      </c>
      <c r="AM16" s="327">
        <v>0</v>
      </c>
      <c r="AN16" s="410">
        <f t="shared" si="6"/>
        <v>0.05</v>
      </c>
      <c r="AO16" s="345" t="e">
        <f>+([1]!Tabla1[[#This Row],[ponderacion_accion]]/10%)*AQ16</f>
        <v>#REF!</v>
      </c>
      <c r="AP16" s="345" t="e">
        <f>Tabla1[[#This Row],[ponderacion_meta]]*AO16</f>
        <v>#REF!</v>
      </c>
      <c r="AQ16" s="355"/>
      <c r="AR16" s="379">
        <v>0</v>
      </c>
      <c r="AS16" s="9"/>
      <c r="AT16" s="521">
        <v>0</v>
      </c>
    </row>
    <row r="17" spans="1:46" ht="19.5" customHeight="1" x14ac:dyDescent="0.35">
      <c r="A17" s="236" t="s">
        <v>1149</v>
      </c>
      <c r="B17" s="398" t="s">
        <v>16</v>
      </c>
      <c r="C17" s="398" t="s">
        <v>1718</v>
      </c>
      <c r="D17" s="398" t="s">
        <v>1153</v>
      </c>
      <c r="E17" s="176" t="s">
        <v>17</v>
      </c>
      <c r="F17" s="156" t="s">
        <v>2590</v>
      </c>
      <c r="G17" s="156" t="s">
        <v>41</v>
      </c>
      <c r="H17" s="156" t="s">
        <v>1724</v>
      </c>
      <c r="I17" s="7" t="s">
        <v>56</v>
      </c>
      <c r="J17" s="265">
        <v>1.1627999999999999E-2</v>
      </c>
      <c r="K17" s="96" t="s">
        <v>57</v>
      </c>
      <c r="L17" s="116">
        <v>645339400</v>
      </c>
      <c r="M17" s="116">
        <v>0</v>
      </c>
      <c r="N17" s="430"/>
      <c r="O17" s="430" t="s">
        <v>1753</v>
      </c>
      <c r="P17" s="185">
        <v>0.2</v>
      </c>
      <c r="Q17" s="186">
        <v>0.3</v>
      </c>
      <c r="R17" s="186">
        <v>0.2</v>
      </c>
      <c r="S17" s="186">
        <v>0.3</v>
      </c>
      <c r="T17" s="186" t="s">
        <v>1186</v>
      </c>
      <c r="U17" s="9" t="s">
        <v>58</v>
      </c>
      <c r="V17" s="8">
        <v>0.05</v>
      </c>
      <c r="W17" s="95" t="s">
        <v>59</v>
      </c>
      <c r="X17" s="95" t="s">
        <v>1701</v>
      </c>
      <c r="Y17" s="95" t="s">
        <v>2587</v>
      </c>
      <c r="Z17" s="9" t="s">
        <v>2148</v>
      </c>
      <c r="AA17" s="239">
        <f t="shared" si="0"/>
        <v>5.8140000000000004E-4</v>
      </c>
      <c r="AB17" s="254">
        <f>+Tabla1[[#This Row],[ponderacion_meta]]*Tabla1[[#This Row],[ponderacion_accion]]</f>
        <v>5.8140000000000004E-4</v>
      </c>
      <c r="AC17" s="262">
        <f>+(Tabla1[[#This Row],[Avance PDI]]*100%)/Tabla1[[#This Row],[ponderacion_meta]]</f>
        <v>0.05</v>
      </c>
      <c r="AD17" s="257">
        <f>+Tabla1[[#This Row],[ponderacion_meta]]*Tabla1[[#This Row],[proyeccion_año1]]</f>
        <v>2.3256000000000001E-3</v>
      </c>
      <c r="AE17" s="257">
        <f>+Tabla1[[#This Row],[ponderacion_meta]]*Tabla1[[#This Row],[proyeccion_año2]]</f>
        <v>3.4883999999999996E-3</v>
      </c>
      <c r="AF17" s="257">
        <f>+Tabla1[[#This Row],[ponderacion_meta]]*Tabla1[[#This Row],[proyeccion_año3]]</f>
        <v>2.3256000000000001E-3</v>
      </c>
      <c r="AG17" s="257">
        <f>+Tabla1[[#This Row],[ponderacion_meta]]*Tabla1[[#This Row],[proyeccion_año4]]</f>
        <v>3.4883999999999996E-3</v>
      </c>
      <c r="AH17" s="395">
        <f t="shared" si="1"/>
        <v>3.8811000000000002E-3</v>
      </c>
      <c r="AI17" s="395">
        <f t="shared" si="3"/>
        <v>3.6363636363636362E-2</v>
      </c>
      <c r="AJ17" s="319">
        <f t="shared" si="2"/>
        <v>3.6363636363636362E-2</v>
      </c>
      <c r="AK17" s="385">
        <v>3.8811000000000002E-3</v>
      </c>
      <c r="AL17" s="402">
        <f t="shared" si="4"/>
        <v>3.6363636363636362E-2</v>
      </c>
      <c r="AM17" s="327">
        <v>0</v>
      </c>
      <c r="AN17" s="410">
        <f t="shared" si="6"/>
        <v>0.05</v>
      </c>
      <c r="AO17" s="346" t="e">
        <f>+([1]!Tabla1[[#This Row],[ponderacion_accion]]/5%)*AQ17</f>
        <v>#REF!</v>
      </c>
      <c r="AP17" s="346" t="e">
        <f>Tabla1[[#This Row],[ponderacion_meta]]*AO17</f>
        <v>#REF!</v>
      </c>
      <c r="AQ17" s="349">
        <v>0.05</v>
      </c>
      <c r="AR17" s="380">
        <v>19186383.66</v>
      </c>
      <c r="AS17" s="520" t="e">
        <f>+((SUM(AO17:AO22)*100)/40)</f>
        <v>#REF!</v>
      </c>
      <c r="AT17" s="521">
        <v>0</v>
      </c>
    </row>
    <row r="18" spans="1:46" ht="19.5" customHeight="1" x14ac:dyDescent="0.35">
      <c r="A18" s="236" t="s">
        <v>1149</v>
      </c>
      <c r="B18" s="398" t="s">
        <v>16</v>
      </c>
      <c r="C18" s="398" t="s">
        <v>1718</v>
      </c>
      <c r="D18" s="398" t="s">
        <v>1153</v>
      </c>
      <c r="E18" s="176" t="s">
        <v>17</v>
      </c>
      <c r="F18" s="156" t="s">
        <v>2590</v>
      </c>
      <c r="G18" s="156" t="s">
        <v>41</v>
      </c>
      <c r="H18" s="156" t="s">
        <v>1724</v>
      </c>
      <c r="I18" s="7" t="s">
        <v>56</v>
      </c>
      <c r="J18" s="265">
        <v>1.1627999999999999E-2</v>
      </c>
      <c r="K18" s="96" t="s">
        <v>57</v>
      </c>
      <c r="L18" s="116">
        <v>645339400</v>
      </c>
      <c r="M18" s="116">
        <v>0</v>
      </c>
      <c r="N18" s="430"/>
      <c r="O18" s="430" t="s">
        <v>1753</v>
      </c>
      <c r="P18" s="185">
        <v>0.2</v>
      </c>
      <c r="Q18" s="186">
        <v>0.3</v>
      </c>
      <c r="R18" s="186">
        <v>0.2</v>
      </c>
      <c r="S18" s="186">
        <v>0.3</v>
      </c>
      <c r="T18" s="186" t="s">
        <v>1187</v>
      </c>
      <c r="U18" s="9" t="s">
        <v>60</v>
      </c>
      <c r="V18" s="8">
        <v>0.05</v>
      </c>
      <c r="W18" s="95" t="s">
        <v>61</v>
      </c>
      <c r="X18" s="95" t="s">
        <v>1700</v>
      </c>
      <c r="Y18" s="95" t="s">
        <v>2587</v>
      </c>
      <c r="Z18" s="9" t="s">
        <v>2148</v>
      </c>
      <c r="AA18" s="239">
        <f t="shared" si="0"/>
        <v>5.8140000000000004E-4</v>
      </c>
      <c r="AB18" s="252">
        <v>0</v>
      </c>
      <c r="AC18" s="262">
        <f>+(Tabla1[[#This Row],[Avance PDI]]*100%)/Tabla1[[#This Row],[ponderacion_meta]]</f>
        <v>0</v>
      </c>
      <c r="AD18" s="257">
        <v>2.3256000000000001E-3</v>
      </c>
      <c r="AE18" s="257">
        <v>3.4883999999999996E-3</v>
      </c>
      <c r="AF18" s="257">
        <v>2.3256000000000001E-3</v>
      </c>
      <c r="AG18" s="257">
        <v>3.4883999999999996E-3</v>
      </c>
      <c r="AH18" s="395">
        <f t="shared" si="1"/>
        <v>3.8811000000000002E-3</v>
      </c>
      <c r="AI18" s="395">
        <f t="shared" si="3"/>
        <v>3.6363636363636362E-2</v>
      </c>
      <c r="AJ18" s="319">
        <f t="shared" si="2"/>
        <v>3.6363636363636362E-2</v>
      </c>
      <c r="AK18" s="385">
        <v>3.8811000000000002E-3</v>
      </c>
      <c r="AL18" s="402">
        <f t="shared" si="4"/>
        <v>3.6363636363636362E-2</v>
      </c>
      <c r="AM18" s="327">
        <v>0</v>
      </c>
      <c r="AN18" s="410">
        <f t="shared" si="6"/>
        <v>0.05</v>
      </c>
      <c r="AO18" s="347" t="e">
        <f>+([1]!Tabla1[[#This Row],[ponderacion_accion]]/5%)*AQ18</f>
        <v>#REF!</v>
      </c>
      <c r="AP18" s="347" t="e">
        <f>Tabla1[[#This Row],[ponderacion_meta]]*AO18</f>
        <v>#REF!</v>
      </c>
      <c r="AQ18" s="351"/>
      <c r="AR18" s="380">
        <v>0</v>
      </c>
      <c r="AS18" s="7"/>
      <c r="AT18" s="521">
        <v>0</v>
      </c>
    </row>
    <row r="19" spans="1:46" ht="19.5" customHeight="1" x14ac:dyDescent="0.35">
      <c r="A19" s="236" t="s">
        <v>1149</v>
      </c>
      <c r="B19" s="398" t="s">
        <v>16</v>
      </c>
      <c r="C19" s="398" t="s">
        <v>1718</v>
      </c>
      <c r="D19" s="398" t="s">
        <v>1153</v>
      </c>
      <c r="E19" s="176" t="s">
        <v>17</v>
      </c>
      <c r="F19" s="156" t="s">
        <v>2590</v>
      </c>
      <c r="G19" s="156" t="s">
        <v>41</v>
      </c>
      <c r="H19" s="156" t="s">
        <v>1724</v>
      </c>
      <c r="I19" s="7" t="s">
        <v>56</v>
      </c>
      <c r="J19" s="265">
        <v>1.1627999999999999E-2</v>
      </c>
      <c r="K19" s="96" t="s">
        <v>57</v>
      </c>
      <c r="L19" s="116">
        <v>645339400</v>
      </c>
      <c r="M19" s="116">
        <v>0</v>
      </c>
      <c r="N19" s="430"/>
      <c r="O19" s="430" t="s">
        <v>1753</v>
      </c>
      <c r="P19" s="185">
        <v>0.2</v>
      </c>
      <c r="Q19" s="186">
        <v>0.3</v>
      </c>
      <c r="R19" s="186">
        <v>0.2</v>
      </c>
      <c r="S19" s="186">
        <v>0.3</v>
      </c>
      <c r="T19" s="186" t="s">
        <v>1188</v>
      </c>
      <c r="U19" s="9" t="s">
        <v>62</v>
      </c>
      <c r="V19" s="8">
        <v>0.2</v>
      </c>
      <c r="W19" s="95" t="s">
        <v>63</v>
      </c>
      <c r="X19" s="95"/>
      <c r="Y19" s="95" t="s">
        <v>2587</v>
      </c>
      <c r="Z19" s="9" t="s">
        <v>2148</v>
      </c>
      <c r="AA19" s="239">
        <f t="shared" si="0"/>
        <v>2.3256000000000001E-3</v>
      </c>
      <c r="AB19" s="252">
        <v>0</v>
      </c>
      <c r="AC19" s="262">
        <f>+(Tabla1[[#This Row],[Avance PDI]]*100%)/Tabla1[[#This Row],[ponderacion_meta]]</f>
        <v>0</v>
      </c>
      <c r="AD19" s="257">
        <v>2.3256000000000001E-3</v>
      </c>
      <c r="AE19" s="257">
        <v>3.4883999999999996E-3</v>
      </c>
      <c r="AF19" s="257">
        <v>2.3256000000000001E-3</v>
      </c>
      <c r="AG19" s="257">
        <v>3.4883999999999996E-3</v>
      </c>
      <c r="AH19" s="395">
        <f t="shared" si="1"/>
        <v>3.8811000000000002E-3</v>
      </c>
      <c r="AI19" s="395">
        <f t="shared" si="3"/>
        <v>3.6363636363636362E-2</v>
      </c>
      <c r="AJ19" s="319">
        <f t="shared" si="2"/>
        <v>3.6363636363636362E-2</v>
      </c>
      <c r="AK19" s="385">
        <v>3.8811000000000002E-3</v>
      </c>
      <c r="AL19" s="402">
        <f t="shared" si="4"/>
        <v>3.6363636363636362E-2</v>
      </c>
      <c r="AM19" s="327">
        <v>0</v>
      </c>
      <c r="AN19" s="410">
        <f t="shared" si="6"/>
        <v>0.05</v>
      </c>
      <c r="AO19" s="347" t="e">
        <f>+([1]!Tabla1[[#This Row],[ponderacion_accion]]/20%)*AQ19</f>
        <v>#REF!</v>
      </c>
      <c r="AP19" s="347" t="e">
        <f>Tabla1[[#This Row],[ponderacion_meta]]*AO19</f>
        <v>#REF!</v>
      </c>
      <c r="AQ19" s="351"/>
      <c r="AR19" s="380">
        <v>0</v>
      </c>
      <c r="AS19" s="7"/>
      <c r="AT19" s="521">
        <v>0</v>
      </c>
    </row>
    <row r="20" spans="1:46" ht="19.5" customHeight="1" x14ac:dyDescent="0.35">
      <c r="A20" s="236" t="s">
        <v>1149</v>
      </c>
      <c r="B20" s="398" t="s">
        <v>16</v>
      </c>
      <c r="C20" s="398" t="s">
        <v>1718</v>
      </c>
      <c r="D20" s="398" t="s">
        <v>1153</v>
      </c>
      <c r="E20" s="176" t="s">
        <v>17</v>
      </c>
      <c r="F20" s="156" t="s">
        <v>2590</v>
      </c>
      <c r="G20" s="156" t="s">
        <v>41</v>
      </c>
      <c r="H20" s="156" t="s">
        <v>1724</v>
      </c>
      <c r="I20" s="7" t="s">
        <v>56</v>
      </c>
      <c r="J20" s="265">
        <v>1.1627999999999999E-2</v>
      </c>
      <c r="K20" s="96" t="s">
        <v>57</v>
      </c>
      <c r="L20" s="116">
        <v>645339400</v>
      </c>
      <c r="M20" s="116">
        <v>0</v>
      </c>
      <c r="N20" s="430"/>
      <c r="O20" s="430" t="s">
        <v>1753</v>
      </c>
      <c r="P20" s="185">
        <v>0.2</v>
      </c>
      <c r="Q20" s="186">
        <v>0.3</v>
      </c>
      <c r="R20" s="186">
        <v>0.2</v>
      </c>
      <c r="S20" s="186">
        <v>0.3</v>
      </c>
      <c r="T20" s="186" t="s">
        <v>1189</v>
      </c>
      <c r="U20" s="9" t="s">
        <v>64</v>
      </c>
      <c r="V20" s="8">
        <v>0.1</v>
      </c>
      <c r="W20" s="95" t="s">
        <v>65</v>
      </c>
      <c r="X20" s="9"/>
      <c r="Y20" s="9" t="s">
        <v>2587</v>
      </c>
      <c r="Z20" s="9" t="s">
        <v>2148</v>
      </c>
      <c r="AA20" s="239">
        <f t="shared" si="0"/>
        <v>1.1628000000000001E-3</v>
      </c>
      <c r="AB20" s="252">
        <v>0</v>
      </c>
      <c r="AC20" s="262">
        <f>+(Tabla1[[#This Row],[Avance PDI]]*100%)/Tabla1[[#This Row],[ponderacion_meta]]</f>
        <v>0</v>
      </c>
      <c r="AD20" s="257">
        <v>2.3256000000000001E-3</v>
      </c>
      <c r="AE20" s="257">
        <v>3.4883999999999996E-3</v>
      </c>
      <c r="AF20" s="257">
        <v>2.3256000000000001E-3</v>
      </c>
      <c r="AG20" s="257">
        <v>3.4883999999999996E-3</v>
      </c>
      <c r="AH20" s="395">
        <f t="shared" si="1"/>
        <v>3.8811000000000002E-3</v>
      </c>
      <c r="AI20" s="395">
        <f t="shared" si="3"/>
        <v>3.6363636363636362E-2</v>
      </c>
      <c r="AJ20" s="319">
        <f t="shared" si="2"/>
        <v>3.6363636363636362E-2</v>
      </c>
      <c r="AK20" s="385">
        <v>3.8811000000000002E-3</v>
      </c>
      <c r="AL20" s="402">
        <f t="shared" si="4"/>
        <v>3.6363636363636362E-2</v>
      </c>
      <c r="AM20" s="327">
        <v>0</v>
      </c>
      <c r="AN20" s="410">
        <f t="shared" si="6"/>
        <v>0.05</v>
      </c>
      <c r="AO20" s="347" t="e">
        <f>+([1]!Tabla1[[#This Row],[ponderacion_accion]]/5%)*AQ20</f>
        <v>#REF!</v>
      </c>
      <c r="AP20" s="347" t="e">
        <f>Tabla1[[#This Row],[ponderacion_meta]]*AO20</f>
        <v>#REF!</v>
      </c>
      <c r="AQ20" s="351"/>
      <c r="AR20" s="380">
        <v>0</v>
      </c>
      <c r="AS20" s="7"/>
      <c r="AT20" s="521">
        <v>0</v>
      </c>
    </row>
    <row r="21" spans="1:46" ht="19.5" customHeight="1" x14ac:dyDescent="0.35">
      <c r="A21" s="236" t="s">
        <v>1149</v>
      </c>
      <c r="B21" s="398" t="s">
        <v>16</v>
      </c>
      <c r="C21" s="398" t="s">
        <v>1718</v>
      </c>
      <c r="D21" s="398" t="s">
        <v>1153</v>
      </c>
      <c r="E21" s="176" t="s">
        <v>17</v>
      </c>
      <c r="F21" s="156" t="s">
        <v>2590</v>
      </c>
      <c r="G21" s="156" t="s">
        <v>41</v>
      </c>
      <c r="H21" s="156" t="s">
        <v>1724</v>
      </c>
      <c r="I21" s="7" t="s">
        <v>56</v>
      </c>
      <c r="J21" s="265">
        <v>1.1627999999999999E-2</v>
      </c>
      <c r="K21" s="96" t="s">
        <v>57</v>
      </c>
      <c r="L21" s="116">
        <v>645339400</v>
      </c>
      <c r="M21" s="116">
        <v>0</v>
      </c>
      <c r="N21" s="430"/>
      <c r="O21" s="430" t="s">
        <v>1753</v>
      </c>
      <c r="P21" s="185">
        <v>0.2</v>
      </c>
      <c r="Q21" s="186">
        <v>0.3</v>
      </c>
      <c r="R21" s="186">
        <v>0.2</v>
      </c>
      <c r="S21" s="186">
        <v>0.3</v>
      </c>
      <c r="T21" s="186" t="s">
        <v>1190</v>
      </c>
      <c r="U21" s="9" t="s">
        <v>66</v>
      </c>
      <c r="V21" s="8">
        <v>0.1</v>
      </c>
      <c r="W21" s="95" t="s">
        <v>67</v>
      </c>
      <c r="X21" s="95"/>
      <c r="Y21" s="95" t="s">
        <v>2588</v>
      </c>
      <c r="Z21" s="9" t="s">
        <v>2148</v>
      </c>
      <c r="AA21" s="239">
        <f t="shared" si="0"/>
        <v>1.1628000000000001E-3</v>
      </c>
      <c r="AB21" s="252">
        <v>0</v>
      </c>
      <c r="AC21" s="262">
        <f>+(Tabla1[[#This Row],[Avance PDI]]*100%)/Tabla1[[#This Row],[ponderacion_meta]]</f>
        <v>0</v>
      </c>
      <c r="AD21" s="257">
        <v>2.3256000000000001E-3</v>
      </c>
      <c r="AE21" s="257">
        <v>3.4883999999999996E-3</v>
      </c>
      <c r="AF21" s="257">
        <v>2.3256000000000001E-3</v>
      </c>
      <c r="AG21" s="257">
        <v>3.4883999999999996E-3</v>
      </c>
      <c r="AH21" s="395">
        <f t="shared" si="1"/>
        <v>3.8811000000000002E-3</v>
      </c>
      <c r="AI21" s="395">
        <f t="shared" si="3"/>
        <v>3.6363636363636362E-2</v>
      </c>
      <c r="AJ21" s="319">
        <f t="shared" si="2"/>
        <v>3.6363636363636362E-2</v>
      </c>
      <c r="AK21" s="385">
        <v>3.8811000000000002E-3</v>
      </c>
      <c r="AL21" s="402">
        <f t="shared" si="4"/>
        <v>3.6363636363636362E-2</v>
      </c>
      <c r="AM21" s="327">
        <v>0</v>
      </c>
      <c r="AN21" s="410">
        <f t="shared" si="6"/>
        <v>0.05</v>
      </c>
      <c r="AO21" s="347" t="e">
        <f>+([1]!Tabla1[[#This Row],[ponderacion_accion]]/5%)*AQ21</f>
        <v>#REF!</v>
      </c>
      <c r="AP21" s="347" t="e">
        <f>Tabla1[[#This Row],[ponderacion_meta]]*AO21</f>
        <v>#REF!</v>
      </c>
      <c r="AQ21" s="351"/>
      <c r="AR21" s="380">
        <v>0</v>
      </c>
      <c r="AS21" s="7"/>
      <c r="AT21" s="521">
        <v>0</v>
      </c>
    </row>
    <row r="22" spans="1:46" ht="19.5" customHeight="1" x14ac:dyDescent="0.35">
      <c r="A22" s="236" t="s">
        <v>1149</v>
      </c>
      <c r="B22" s="398" t="s">
        <v>16</v>
      </c>
      <c r="C22" s="398" t="s">
        <v>1718</v>
      </c>
      <c r="D22" s="398" t="s">
        <v>1153</v>
      </c>
      <c r="E22" s="176" t="s">
        <v>17</v>
      </c>
      <c r="F22" s="156" t="s">
        <v>2590</v>
      </c>
      <c r="G22" s="156" t="s">
        <v>41</v>
      </c>
      <c r="H22" s="156" t="s">
        <v>1724</v>
      </c>
      <c r="I22" s="7" t="s">
        <v>56</v>
      </c>
      <c r="J22" s="265">
        <v>1.1627999999999999E-2</v>
      </c>
      <c r="K22" s="96" t="s">
        <v>57</v>
      </c>
      <c r="L22" s="116">
        <v>645339400</v>
      </c>
      <c r="M22" s="116">
        <v>0</v>
      </c>
      <c r="N22" s="430"/>
      <c r="O22" s="430" t="s">
        <v>1753</v>
      </c>
      <c r="P22" s="185">
        <v>0.2</v>
      </c>
      <c r="Q22" s="186">
        <v>0.3</v>
      </c>
      <c r="R22" s="186">
        <v>0.2</v>
      </c>
      <c r="S22" s="186">
        <v>0.3</v>
      </c>
      <c r="T22" s="186" t="s">
        <v>1191</v>
      </c>
      <c r="U22" s="9" t="s">
        <v>68</v>
      </c>
      <c r="V22" s="8">
        <v>0.5</v>
      </c>
      <c r="W22" s="95" t="s">
        <v>69</v>
      </c>
      <c r="X22" s="95"/>
      <c r="Y22" s="95" t="s">
        <v>2588</v>
      </c>
      <c r="Z22" s="9" t="s">
        <v>2148</v>
      </c>
      <c r="AA22" s="239">
        <f t="shared" si="0"/>
        <v>5.8139999999999997E-3</v>
      </c>
      <c r="AB22" s="252">
        <v>0</v>
      </c>
      <c r="AC22" s="262">
        <f>+(Tabla1[[#This Row],[Avance PDI]]*100%)/Tabla1[[#This Row],[ponderacion_meta]]</f>
        <v>0</v>
      </c>
      <c r="AD22" s="257">
        <v>2.3256000000000001E-3</v>
      </c>
      <c r="AE22" s="257">
        <v>3.4883999999999996E-3</v>
      </c>
      <c r="AF22" s="257">
        <v>2.3256000000000001E-3</v>
      </c>
      <c r="AG22" s="257">
        <v>3.4883999999999996E-3</v>
      </c>
      <c r="AH22" s="395">
        <f t="shared" si="1"/>
        <v>3.8811000000000002E-3</v>
      </c>
      <c r="AI22" s="395">
        <f t="shared" si="3"/>
        <v>3.6363636363636362E-2</v>
      </c>
      <c r="AJ22" s="319">
        <f t="shared" si="2"/>
        <v>3.6363636363636362E-2</v>
      </c>
      <c r="AK22" s="385">
        <v>3.8811000000000002E-3</v>
      </c>
      <c r="AL22" s="402">
        <f t="shared" si="4"/>
        <v>3.6363636363636362E-2</v>
      </c>
      <c r="AM22" s="327">
        <v>0</v>
      </c>
      <c r="AN22" s="410">
        <f t="shared" si="6"/>
        <v>0.05</v>
      </c>
      <c r="AO22" s="348" t="e">
        <f>+([1]!Tabla1[[#This Row],[ponderacion_accion]]/5%)*AQ22</f>
        <v>#REF!</v>
      </c>
      <c r="AP22" s="348" t="e">
        <f>Tabla1[[#This Row],[ponderacion_meta]]*AO22</f>
        <v>#REF!</v>
      </c>
      <c r="AQ22" s="356"/>
      <c r="AR22" s="380">
        <v>0</v>
      </c>
      <c r="AS22" s="7"/>
      <c r="AT22" s="521">
        <v>0</v>
      </c>
    </row>
    <row r="23" spans="1:46" x14ac:dyDescent="0.35">
      <c r="A23" s="236" t="s">
        <v>1149</v>
      </c>
      <c r="B23" s="398" t="s">
        <v>16</v>
      </c>
      <c r="C23" s="398" t="s">
        <v>1718</v>
      </c>
      <c r="D23" s="398" t="s">
        <v>1153</v>
      </c>
      <c r="E23" s="176" t="s">
        <v>17</v>
      </c>
      <c r="F23" s="156" t="s">
        <v>2590</v>
      </c>
      <c r="G23" s="156" t="s">
        <v>41</v>
      </c>
      <c r="H23" s="156" t="s">
        <v>1724</v>
      </c>
      <c r="I23" s="2" t="s">
        <v>70</v>
      </c>
      <c r="J23" s="264">
        <v>1.1627999999999999E-2</v>
      </c>
      <c r="K23" s="94" t="s">
        <v>71</v>
      </c>
      <c r="L23" s="115">
        <v>1020000000</v>
      </c>
      <c r="M23" s="115">
        <v>0</v>
      </c>
      <c r="N23" s="429"/>
      <c r="O23" s="429" t="s">
        <v>1753</v>
      </c>
      <c r="P23" s="183">
        <v>1</v>
      </c>
      <c r="Q23" s="184">
        <v>1</v>
      </c>
      <c r="R23" s="184">
        <v>1</v>
      </c>
      <c r="S23" s="184">
        <v>1</v>
      </c>
      <c r="T23" s="184" t="s">
        <v>1192</v>
      </c>
      <c r="U23" s="6" t="s">
        <v>72</v>
      </c>
      <c r="V23" s="3">
        <v>0.2</v>
      </c>
      <c r="W23" s="93" t="s">
        <v>73</v>
      </c>
      <c r="X23" s="93"/>
      <c r="Y23" s="93" t="s">
        <v>2587</v>
      </c>
      <c r="Z23" s="251" t="s">
        <v>2567</v>
      </c>
      <c r="AA23" s="238">
        <f t="shared" si="0"/>
        <v>2.3256000000000001E-3</v>
      </c>
      <c r="AB23" s="252">
        <v>0</v>
      </c>
      <c r="AC23" s="278">
        <f>+(Tabla1[[#This Row],[Avance PDI]]*100%)/Tabla1[[#This Row],[ponderacion_meta]]</f>
        <v>0</v>
      </c>
      <c r="AD23" s="279">
        <f>+(Tabla1[[#This Row],[ponderacion_meta]]*Tabla1[[#This Row],[proyeccion_año1]])*25%</f>
        <v>2.9069999999999999E-3</v>
      </c>
      <c r="AE23" s="279">
        <f>+(Tabla1[[#This Row],[ponderacion_meta]]*Tabla1[[#This Row],[proyeccion_año2]])*25%</f>
        <v>2.9069999999999999E-3</v>
      </c>
      <c r="AF23" s="279">
        <f>+(Tabla1[[#This Row],[ponderacion_meta]]*Tabla1[[#This Row],[proyeccion_año3]])*25%</f>
        <v>2.9069999999999999E-3</v>
      </c>
      <c r="AG23" s="279">
        <f>+(Tabla1[[#This Row],[ponderacion_meta]]*Tabla1[[#This Row],[proyeccion_año4]])*25%</f>
        <v>2.9069999999999999E-3</v>
      </c>
      <c r="AH23" s="395">
        <f t="shared" si="1"/>
        <v>3.8811000000000002E-3</v>
      </c>
      <c r="AI23" s="395">
        <f t="shared" si="3"/>
        <v>3.6363636363636362E-2</v>
      </c>
      <c r="AJ23" s="319">
        <f t="shared" si="2"/>
        <v>3.6363636363636362E-2</v>
      </c>
      <c r="AK23" s="385">
        <v>3.8811000000000002E-3</v>
      </c>
      <c r="AL23" s="402">
        <f t="shared" si="4"/>
        <v>3.6363636363636362E-2</v>
      </c>
      <c r="AM23" s="327">
        <v>0</v>
      </c>
      <c r="AN23" s="410">
        <f t="shared" si="6"/>
        <v>0.05</v>
      </c>
      <c r="AO23" s="343" t="e">
        <f>+([1]!Tabla1[[#This Row],[ponderacion_accion]]/4)*AQ23</f>
        <v>#REF!</v>
      </c>
      <c r="AP23" s="343" t="e">
        <f>Tabla1[[#This Row],[ponderacion_meta]]*AO23</f>
        <v>#REF!</v>
      </c>
      <c r="AQ23" s="353"/>
      <c r="AR23" s="377">
        <v>118553121.75</v>
      </c>
      <c r="AS23" s="7" t="e">
        <f>+((SUM(AO23:AO26)*100)/25)</f>
        <v>#REF!</v>
      </c>
      <c r="AT23" s="521">
        <v>0</v>
      </c>
    </row>
    <row r="24" spans="1:46" x14ac:dyDescent="0.35">
      <c r="A24" s="236" t="s">
        <v>1149</v>
      </c>
      <c r="B24" s="398" t="s">
        <v>16</v>
      </c>
      <c r="C24" s="398" t="s">
        <v>1718</v>
      </c>
      <c r="D24" s="398" t="s">
        <v>1153</v>
      </c>
      <c r="E24" s="176" t="s">
        <v>17</v>
      </c>
      <c r="F24" s="156" t="s">
        <v>2590</v>
      </c>
      <c r="G24" s="156" t="s">
        <v>41</v>
      </c>
      <c r="H24" s="156" t="s">
        <v>1724</v>
      </c>
      <c r="I24" s="2" t="s">
        <v>70</v>
      </c>
      <c r="J24" s="264">
        <v>1.1627999999999999E-2</v>
      </c>
      <c r="K24" s="94" t="s">
        <v>71</v>
      </c>
      <c r="L24" s="115">
        <v>1020000000</v>
      </c>
      <c r="M24" s="115">
        <v>0</v>
      </c>
      <c r="N24" s="429"/>
      <c r="O24" s="429" t="s">
        <v>1753</v>
      </c>
      <c r="P24" s="183">
        <v>1</v>
      </c>
      <c r="Q24" s="184">
        <v>1</v>
      </c>
      <c r="R24" s="184">
        <v>1</v>
      </c>
      <c r="S24" s="184">
        <v>1</v>
      </c>
      <c r="T24" s="184" t="s">
        <v>1193</v>
      </c>
      <c r="U24" s="6" t="s">
        <v>74</v>
      </c>
      <c r="V24" s="3">
        <v>0.1</v>
      </c>
      <c r="W24" s="93" t="s">
        <v>34</v>
      </c>
      <c r="X24" s="93"/>
      <c r="Y24" s="93" t="s">
        <v>2587</v>
      </c>
      <c r="Z24" s="251" t="s">
        <v>2567</v>
      </c>
      <c r="AA24" s="238">
        <f t="shared" si="0"/>
        <v>1.1628000000000001E-3</v>
      </c>
      <c r="AB24" s="252">
        <v>0</v>
      </c>
      <c r="AC24" s="278">
        <f>+(Tabla1[[#This Row],[Avance PDI]]*100%)/Tabla1[[#This Row],[ponderacion_meta]]</f>
        <v>0</v>
      </c>
      <c r="AD24" s="279">
        <v>2.9069999999999999E-3</v>
      </c>
      <c r="AE24" s="279">
        <v>2.9069999999999999E-3</v>
      </c>
      <c r="AF24" s="279">
        <v>2.9069999999999999E-3</v>
      </c>
      <c r="AG24" s="279">
        <v>2.9069999999999999E-3</v>
      </c>
      <c r="AH24" s="395">
        <f t="shared" si="1"/>
        <v>3.8811000000000002E-3</v>
      </c>
      <c r="AI24" s="395">
        <f t="shared" si="3"/>
        <v>3.6363636363636362E-2</v>
      </c>
      <c r="AJ24" s="319">
        <f t="shared" si="2"/>
        <v>3.6363636363636362E-2</v>
      </c>
      <c r="AK24" s="385">
        <v>3.8811000000000002E-3</v>
      </c>
      <c r="AL24" s="402">
        <f t="shared" si="4"/>
        <v>3.6363636363636362E-2</v>
      </c>
      <c r="AM24" s="327">
        <v>0</v>
      </c>
      <c r="AN24" s="410">
        <f t="shared" si="6"/>
        <v>0.05</v>
      </c>
      <c r="AO24" s="344" t="e">
        <f>+([1]!Tabla1[[#This Row],[ponderacion_accion]]/4)*AQ24</f>
        <v>#REF!</v>
      </c>
      <c r="AP24" s="344" t="e">
        <f>Tabla1[[#This Row],[ponderacion_meta]]*AO24</f>
        <v>#REF!</v>
      </c>
      <c r="AQ24" s="354"/>
      <c r="AR24" s="378">
        <v>0</v>
      </c>
      <c r="AS24" s="9"/>
      <c r="AT24" s="521">
        <v>0</v>
      </c>
    </row>
    <row r="25" spans="1:46" ht="18" customHeight="1" x14ac:dyDescent="0.35">
      <c r="A25" s="236" t="s">
        <v>1149</v>
      </c>
      <c r="B25" s="398" t="s">
        <v>16</v>
      </c>
      <c r="C25" s="398" t="s">
        <v>1718</v>
      </c>
      <c r="D25" s="398" t="s">
        <v>1153</v>
      </c>
      <c r="E25" s="176" t="s">
        <v>17</v>
      </c>
      <c r="F25" s="156" t="s">
        <v>2590</v>
      </c>
      <c r="G25" s="156" t="s">
        <v>41</v>
      </c>
      <c r="H25" s="156" t="s">
        <v>1724</v>
      </c>
      <c r="I25" s="2" t="s">
        <v>70</v>
      </c>
      <c r="J25" s="264">
        <v>1.1627999999999999E-2</v>
      </c>
      <c r="K25" s="94" t="s">
        <v>71</v>
      </c>
      <c r="L25" s="115">
        <v>1020000000</v>
      </c>
      <c r="M25" s="115">
        <v>0</v>
      </c>
      <c r="N25" s="429"/>
      <c r="O25" s="429" t="s">
        <v>1753</v>
      </c>
      <c r="P25" s="183">
        <v>1</v>
      </c>
      <c r="Q25" s="184">
        <v>1</v>
      </c>
      <c r="R25" s="184">
        <v>1</v>
      </c>
      <c r="S25" s="184">
        <v>1</v>
      </c>
      <c r="T25" s="184" t="s">
        <v>1194</v>
      </c>
      <c r="U25" s="6" t="s">
        <v>75</v>
      </c>
      <c r="V25" s="3">
        <v>0.1</v>
      </c>
      <c r="W25" s="93" t="s">
        <v>76</v>
      </c>
      <c r="X25" s="93"/>
      <c r="Y25" s="93" t="s">
        <v>2587</v>
      </c>
      <c r="Z25" s="251" t="s">
        <v>2566</v>
      </c>
      <c r="AA25" s="238">
        <f t="shared" si="0"/>
        <v>1.1628000000000001E-3</v>
      </c>
      <c r="AB25" s="252">
        <v>0</v>
      </c>
      <c r="AC25" s="278">
        <f>+(Tabla1[[#This Row],[Avance PDI]]*100%)/Tabla1[[#This Row],[ponderacion_meta]]</f>
        <v>0</v>
      </c>
      <c r="AD25" s="279">
        <v>2.9069999999999999E-3</v>
      </c>
      <c r="AE25" s="279">
        <v>2.9069999999999999E-3</v>
      </c>
      <c r="AF25" s="279">
        <v>2.9069999999999999E-3</v>
      </c>
      <c r="AG25" s="279">
        <v>2.9069999999999999E-3</v>
      </c>
      <c r="AH25" s="395">
        <f t="shared" si="1"/>
        <v>3.8811000000000002E-3</v>
      </c>
      <c r="AI25" s="395">
        <f t="shared" si="3"/>
        <v>3.6363636363636362E-2</v>
      </c>
      <c r="AJ25" s="319">
        <f t="shared" si="2"/>
        <v>3.6363636363636362E-2</v>
      </c>
      <c r="AK25" s="385">
        <v>3.8811000000000002E-3</v>
      </c>
      <c r="AL25" s="402">
        <f t="shared" si="4"/>
        <v>3.6363636363636362E-2</v>
      </c>
      <c r="AM25" s="327">
        <v>0</v>
      </c>
      <c r="AN25" s="410">
        <f t="shared" si="6"/>
        <v>0.05</v>
      </c>
      <c r="AO25" s="344" t="e">
        <f>+([1]!Tabla1[[#This Row],[ponderacion_accion]]/4)*AQ25</f>
        <v>#REF!</v>
      </c>
      <c r="AP25" s="344" t="e">
        <f>Tabla1[[#This Row],[ponderacion_meta]]*AO25</f>
        <v>#REF!</v>
      </c>
      <c r="AQ25" s="354"/>
      <c r="AR25" s="378">
        <v>0</v>
      </c>
      <c r="AS25" s="9"/>
      <c r="AT25" s="521">
        <v>0</v>
      </c>
    </row>
    <row r="26" spans="1:46" ht="21" customHeight="1" x14ac:dyDescent="0.35">
      <c r="A26" s="236" t="s">
        <v>1149</v>
      </c>
      <c r="B26" s="398" t="s">
        <v>16</v>
      </c>
      <c r="C26" s="398" t="s">
        <v>1718</v>
      </c>
      <c r="D26" s="398" t="s">
        <v>1153</v>
      </c>
      <c r="E26" s="176" t="s">
        <v>17</v>
      </c>
      <c r="F26" s="156" t="s">
        <v>2590</v>
      </c>
      <c r="G26" s="156" t="s">
        <v>41</v>
      </c>
      <c r="H26" s="156" t="s">
        <v>1724</v>
      </c>
      <c r="I26" s="2" t="s">
        <v>70</v>
      </c>
      <c r="J26" s="264">
        <v>1.1627999999999999E-2</v>
      </c>
      <c r="K26" s="94" t="s">
        <v>71</v>
      </c>
      <c r="L26" s="115">
        <v>1020000000</v>
      </c>
      <c r="M26" s="115">
        <v>0</v>
      </c>
      <c r="N26" s="429"/>
      <c r="O26" s="429" t="s">
        <v>1753</v>
      </c>
      <c r="P26" s="183">
        <v>1</v>
      </c>
      <c r="Q26" s="184">
        <v>1</v>
      </c>
      <c r="R26" s="184">
        <v>1</v>
      </c>
      <c r="S26" s="184">
        <v>1</v>
      </c>
      <c r="T26" s="184" t="s">
        <v>1195</v>
      </c>
      <c r="U26" s="6" t="s">
        <v>77</v>
      </c>
      <c r="V26" s="3">
        <v>0.6</v>
      </c>
      <c r="W26" s="93" t="s">
        <v>78</v>
      </c>
      <c r="X26" s="93"/>
      <c r="Y26" s="93" t="s">
        <v>2587</v>
      </c>
      <c r="Z26" s="251" t="s">
        <v>2566</v>
      </c>
      <c r="AA26" s="238">
        <f t="shared" si="0"/>
        <v>6.9767999999999991E-3</v>
      </c>
      <c r="AB26" s="252">
        <v>0</v>
      </c>
      <c r="AC26" s="278">
        <f>+(Tabla1[[#This Row],[Avance PDI]]*100%)/Tabla1[[#This Row],[ponderacion_meta]]</f>
        <v>0</v>
      </c>
      <c r="AD26" s="279">
        <v>2.9069999999999999E-3</v>
      </c>
      <c r="AE26" s="279">
        <v>2.9069999999999999E-3</v>
      </c>
      <c r="AF26" s="279">
        <v>2.9069999999999999E-3</v>
      </c>
      <c r="AG26" s="279">
        <v>2.9069999999999999E-3</v>
      </c>
      <c r="AH26" s="395">
        <f t="shared" si="1"/>
        <v>3.8811000000000002E-3</v>
      </c>
      <c r="AI26" s="395">
        <f t="shared" si="3"/>
        <v>3.6363636363636362E-2</v>
      </c>
      <c r="AJ26" s="319">
        <f t="shared" si="2"/>
        <v>3.6363636363636362E-2</v>
      </c>
      <c r="AK26" s="385">
        <v>3.8811000000000002E-3</v>
      </c>
      <c r="AL26" s="402">
        <f t="shared" si="4"/>
        <v>3.6363636363636362E-2</v>
      </c>
      <c r="AM26" s="327">
        <v>0</v>
      </c>
      <c r="AN26" s="410">
        <f t="shared" si="6"/>
        <v>0.05</v>
      </c>
      <c r="AO26" s="345" t="e">
        <f>+([1]!Tabla1[[#This Row],[ponderacion_accion]]/4)*AQ26</f>
        <v>#REF!</v>
      </c>
      <c r="AP26" s="345" t="e">
        <f>Tabla1[[#This Row],[ponderacion_meta]]*AO26</f>
        <v>#REF!</v>
      </c>
      <c r="AQ26" s="357"/>
      <c r="AR26" s="379">
        <v>0</v>
      </c>
      <c r="AS26" s="9"/>
      <c r="AT26" s="521">
        <v>0</v>
      </c>
    </row>
    <row r="27" spans="1:46" x14ac:dyDescent="0.35">
      <c r="A27" s="236" t="s">
        <v>1149</v>
      </c>
      <c r="B27" s="398" t="s">
        <v>16</v>
      </c>
      <c r="C27" s="398" t="s">
        <v>1718</v>
      </c>
      <c r="D27" s="398" t="s">
        <v>1153</v>
      </c>
      <c r="E27" s="176" t="s">
        <v>17</v>
      </c>
      <c r="F27" s="156" t="s">
        <v>2590</v>
      </c>
      <c r="G27" s="156" t="s">
        <v>41</v>
      </c>
      <c r="H27" s="156" t="s">
        <v>1724</v>
      </c>
      <c r="I27" s="7" t="s">
        <v>79</v>
      </c>
      <c r="J27" s="265">
        <v>6.4939999999999998E-3</v>
      </c>
      <c r="K27" s="96" t="s">
        <v>80</v>
      </c>
      <c r="L27" s="116">
        <v>163800000</v>
      </c>
      <c r="M27" s="116">
        <v>0</v>
      </c>
      <c r="N27" s="430"/>
      <c r="O27" s="430" t="s">
        <v>2622</v>
      </c>
      <c r="P27" s="187">
        <v>0</v>
      </c>
      <c r="Q27" s="188">
        <v>1</v>
      </c>
      <c r="R27" s="188">
        <v>1</v>
      </c>
      <c r="S27" s="188">
        <v>1</v>
      </c>
      <c r="T27" s="188" t="s">
        <v>1196</v>
      </c>
      <c r="U27" s="9" t="s">
        <v>81</v>
      </c>
      <c r="V27" s="8">
        <v>0.1</v>
      </c>
      <c r="W27" s="9" t="s">
        <v>82</v>
      </c>
      <c r="X27" s="9"/>
      <c r="Y27" s="9" t="s">
        <v>2587</v>
      </c>
      <c r="Z27" s="9" t="s">
        <v>2406</v>
      </c>
      <c r="AA27" s="239">
        <f t="shared" si="0"/>
        <v>6.4940000000000006E-4</v>
      </c>
      <c r="AB27" s="252">
        <v>0</v>
      </c>
      <c r="AC27" s="262">
        <f>+(Tabla1[[#This Row],[Avance PDI]]*100%)/Tabla1[[#This Row],[ponderacion_meta]]</f>
        <v>0</v>
      </c>
      <c r="AD27" s="257">
        <f>+Tabla1[[#This Row],[ponderacion_meta]]*Tabla1[[#This Row],[proyeccion_año1]]</f>
        <v>0</v>
      </c>
      <c r="AE27" s="257">
        <f>+(Tabla1[[#This Row],[ponderacion_meta]]*Tabla1[[#This Row],[proyeccion_año2]])/3</f>
        <v>2.1646666666666667E-3</v>
      </c>
      <c r="AF27" s="257">
        <f>+(Tabla1[[#This Row],[ponderacion_meta]]*Tabla1[[#This Row],[proyeccion_año3]])/3</f>
        <v>2.1646666666666667E-3</v>
      </c>
      <c r="AG27" s="257">
        <f>+(Tabla1[[#This Row],[ponderacion_meta]]*Tabla1[[#This Row],[proyeccion_año4]])/3</f>
        <v>2.1646666666666667E-3</v>
      </c>
      <c r="AH27" s="395">
        <f t="shared" si="1"/>
        <v>3.8811000000000002E-3</v>
      </c>
      <c r="AI27" s="395">
        <f t="shared" si="3"/>
        <v>3.6363636363636362E-2</v>
      </c>
      <c r="AJ27" s="319">
        <f t="shared" si="2"/>
        <v>3.6363636363636362E-2</v>
      </c>
      <c r="AK27" s="385">
        <v>3.8811000000000002E-3</v>
      </c>
      <c r="AL27" s="402">
        <f t="shared" si="4"/>
        <v>3.6363636363636362E-2</v>
      </c>
      <c r="AM27" s="327">
        <v>0</v>
      </c>
      <c r="AN27" s="410">
        <f t="shared" si="6"/>
        <v>0.05</v>
      </c>
      <c r="AO27" s="358" t="e">
        <f>+([1]!Tabla1[[#This Row],[ponderacion_accion]]/3)*AQ27</f>
        <v>#REF!</v>
      </c>
      <c r="AP27" s="506" t="e">
        <f>Tabla1[[#This Row],[ponderacion_meta]]*AO27</f>
        <v>#REF!</v>
      </c>
      <c r="AQ27" s="507">
        <v>1</v>
      </c>
      <c r="AR27" s="380">
        <v>9120096</v>
      </c>
      <c r="AS27" s="515" t="e">
        <f>+((SUM(AO27:AO31)*100)/33.33)</f>
        <v>#REF!</v>
      </c>
      <c r="AT27" s="521">
        <v>0</v>
      </c>
    </row>
    <row r="28" spans="1:46" x14ac:dyDescent="0.35">
      <c r="A28" s="236" t="s">
        <v>1149</v>
      </c>
      <c r="B28" s="398" t="s">
        <v>16</v>
      </c>
      <c r="C28" s="398" t="s">
        <v>1718</v>
      </c>
      <c r="D28" s="398" t="s">
        <v>1153</v>
      </c>
      <c r="E28" s="176" t="s">
        <v>17</v>
      </c>
      <c r="F28" s="156" t="s">
        <v>2590</v>
      </c>
      <c r="G28" s="156" t="s">
        <v>41</v>
      </c>
      <c r="H28" s="156" t="s">
        <v>1724</v>
      </c>
      <c r="I28" s="7" t="s">
        <v>79</v>
      </c>
      <c r="J28" s="265">
        <v>6.4939999999999998E-3</v>
      </c>
      <c r="K28" s="96" t="s">
        <v>80</v>
      </c>
      <c r="L28" s="116">
        <v>163800000</v>
      </c>
      <c r="M28" s="116">
        <v>0</v>
      </c>
      <c r="N28" s="430"/>
      <c r="O28" s="430" t="s">
        <v>2622</v>
      </c>
      <c r="P28" s="187">
        <v>0</v>
      </c>
      <c r="Q28" s="188">
        <v>1</v>
      </c>
      <c r="R28" s="188">
        <v>1</v>
      </c>
      <c r="S28" s="188">
        <v>1</v>
      </c>
      <c r="T28" s="188" t="s">
        <v>1197</v>
      </c>
      <c r="U28" s="9" t="s">
        <v>83</v>
      </c>
      <c r="V28" s="8">
        <v>0.15</v>
      </c>
      <c r="W28" s="9" t="s">
        <v>84</v>
      </c>
      <c r="X28" s="9"/>
      <c r="Y28" s="9" t="s">
        <v>2587</v>
      </c>
      <c r="Z28" s="9" t="s">
        <v>2406</v>
      </c>
      <c r="AA28" s="239">
        <f t="shared" si="0"/>
        <v>9.7409999999999988E-4</v>
      </c>
      <c r="AB28" s="252">
        <v>0</v>
      </c>
      <c r="AC28" s="262">
        <f>+(Tabla1[[#This Row],[Avance PDI]]*100%)/Tabla1[[#This Row],[ponderacion_meta]]</f>
        <v>0</v>
      </c>
      <c r="AD28" s="257">
        <v>0</v>
      </c>
      <c r="AE28" s="257">
        <v>2.1646666666666667E-3</v>
      </c>
      <c r="AF28" s="257">
        <v>2.1646666666666667E-3</v>
      </c>
      <c r="AG28" s="257">
        <v>2.1646666666666667E-3</v>
      </c>
      <c r="AH28" s="395">
        <f t="shared" si="1"/>
        <v>3.8811000000000002E-3</v>
      </c>
      <c r="AI28" s="395">
        <f t="shared" si="3"/>
        <v>3.6363636363636362E-2</v>
      </c>
      <c r="AJ28" s="319">
        <f t="shared" si="2"/>
        <v>3.6363636363636362E-2</v>
      </c>
      <c r="AK28" s="385">
        <v>3.8811000000000002E-3</v>
      </c>
      <c r="AL28" s="402">
        <f t="shared" si="4"/>
        <v>3.6363636363636362E-2</v>
      </c>
      <c r="AM28" s="327">
        <v>0</v>
      </c>
      <c r="AN28" s="410">
        <f t="shared" si="6"/>
        <v>0.05</v>
      </c>
      <c r="AO28" s="359" t="e">
        <f>+([1]!Tabla1[[#This Row],[ponderacion_accion]]/3)*AQ28</f>
        <v>#REF!</v>
      </c>
      <c r="AP28" s="359" t="e">
        <f>Tabla1[[#This Row],[ponderacion_meta]]*AO28</f>
        <v>#REF!</v>
      </c>
      <c r="AQ28" s="351"/>
      <c r="AR28" s="380">
        <v>0</v>
      </c>
      <c r="AS28" s="9"/>
      <c r="AT28" s="521">
        <v>0</v>
      </c>
    </row>
    <row r="29" spans="1:46" x14ac:dyDescent="0.35">
      <c r="A29" s="236" t="s">
        <v>1149</v>
      </c>
      <c r="B29" s="398" t="s">
        <v>16</v>
      </c>
      <c r="C29" s="398" t="s">
        <v>1718</v>
      </c>
      <c r="D29" s="398" t="s">
        <v>1153</v>
      </c>
      <c r="E29" s="176" t="s">
        <v>17</v>
      </c>
      <c r="F29" s="156" t="s">
        <v>2590</v>
      </c>
      <c r="G29" s="156" t="s">
        <v>41</v>
      </c>
      <c r="H29" s="156" t="s">
        <v>1724</v>
      </c>
      <c r="I29" s="7" t="s">
        <v>79</v>
      </c>
      <c r="J29" s="265">
        <v>6.4939999999999998E-3</v>
      </c>
      <c r="K29" s="96" t="s">
        <v>80</v>
      </c>
      <c r="L29" s="116">
        <v>163800000</v>
      </c>
      <c r="M29" s="116">
        <v>0</v>
      </c>
      <c r="N29" s="430"/>
      <c r="O29" s="430" t="s">
        <v>2622</v>
      </c>
      <c r="P29" s="187">
        <v>0</v>
      </c>
      <c r="Q29" s="188">
        <v>1</v>
      </c>
      <c r="R29" s="188">
        <v>1</v>
      </c>
      <c r="S29" s="188">
        <v>1</v>
      </c>
      <c r="T29" s="188" t="s">
        <v>1198</v>
      </c>
      <c r="U29" s="9" t="s">
        <v>85</v>
      </c>
      <c r="V29" s="8">
        <v>0.15</v>
      </c>
      <c r="W29" s="9" t="s">
        <v>86</v>
      </c>
      <c r="X29" s="9"/>
      <c r="Y29" s="9" t="s">
        <v>2587</v>
      </c>
      <c r="Z29" s="9" t="s">
        <v>2406</v>
      </c>
      <c r="AA29" s="239">
        <f t="shared" si="0"/>
        <v>9.7409999999999988E-4</v>
      </c>
      <c r="AB29" s="252">
        <v>0</v>
      </c>
      <c r="AC29" s="262">
        <f>+(Tabla1[[#This Row],[Avance PDI]]*100%)/Tabla1[[#This Row],[ponderacion_meta]]</f>
        <v>0</v>
      </c>
      <c r="AD29" s="257">
        <v>0</v>
      </c>
      <c r="AE29" s="257">
        <v>2.1646666666666667E-3</v>
      </c>
      <c r="AF29" s="257">
        <v>2.1646666666666667E-3</v>
      </c>
      <c r="AG29" s="257">
        <v>2.1646666666666667E-3</v>
      </c>
      <c r="AH29" s="395">
        <f t="shared" si="1"/>
        <v>3.8811000000000002E-3</v>
      </c>
      <c r="AI29" s="395">
        <f t="shared" si="3"/>
        <v>3.6363636363636362E-2</v>
      </c>
      <c r="AJ29" s="319">
        <f t="shared" si="2"/>
        <v>3.6363636363636362E-2</v>
      </c>
      <c r="AK29" s="385">
        <v>3.8811000000000002E-3</v>
      </c>
      <c r="AL29" s="402">
        <f t="shared" si="4"/>
        <v>3.6363636363636362E-2</v>
      </c>
      <c r="AM29" s="327">
        <v>0</v>
      </c>
      <c r="AN29" s="410">
        <f t="shared" si="6"/>
        <v>0.05</v>
      </c>
      <c r="AO29" s="359" t="e">
        <f>+([1]!Tabla1[[#This Row],[ponderacion_accion]]/3)*AQ29</f>
        <v>#REF!</v>
      </c>
      <c r="AP29" s="359" t="e">
        <f>Tabla1[[#This Row],[ponderacion_meta]]*AO29</f>
        <v>#REF!</v>
      </c>
      <c r="AQ29" s="351"/>
      <c r="AR29" s="380">
        <v>0</v>
      </c>
      <c r="AS29" s="9"/>
      <c r="AT29" s="521">
        <v>0</v>
      </c>
    </row>
    <row r="30" spans="1:46" x14ac:dyDescent="0.35">
      <c r="A30" s="236" t="s">
        <v>1149</v>
      </c>
      <c r="B30" s="398" t="s">
        <v>16</v>
      </c>
      <c r="C30" s="398" t="s">
        <v>1718</v>
      </c>
      <c r="D30" s="398" t="s">
        <v>1153</v>
      </c>
      <c r="E30" s="176" t="s">
        <v>17</v>
      </c>
      <c r="F30" s="156" t="s">
        <v>2590</v>
      </c>
      <c r="G30" s="156" t="s">
        <v>41</v>
      </c>
      <c r="H30" s="156" t="s">
        <v>1724</v>
      </c>
      <c r="I30" s="7" t="s">
        <v>79</v>
      </c>
      <c r="J30" s="265">
        <v>6.4939999999999998E-3</v>
      </c>
      <c r="K30" s="96" t="s">
        <v>80</v>
      </c>
      <c r="L30" s="116">
        <v>163800000</v>
      </c>
      <c r="M30" s="116">
        <v>0</v>
      </c>
      <c r="N30" s="430"/>
      <c r="O30" s="430" t="s">
        <v>2622</v>
      </c>
      <c r="P30" s="187">
        <v>0</v>
      </c>
      <c r="Q30" s="188">
        <v>1</v>
      </c>
      <c r="R30" s="188">
        <v>1</v>
      </c>
      <c r="S30" s="188">
        <v>1</v>
      </c>
      <c r="T30" s="188" t="s">
        <v>1199</v>
      </c>
      <c r="U30" s="9" t="s">
        <v>87</v>
      </c>
      <c r="V30" s="8">
        <v>0.4</v>
      </c>
      <c r="W30" s="9" t="s">
        <v>88</v>
      </c>
      <c r="X30" s="9"/>
      <c r="Y30" s="9" t="s">
        <v>2587</v>
      </c>
      <c r="Z30" s="9" t="s">
        <v>2406</v>
      </c>
      <c r="AA30" s="239">
        <f t="shared" si="0"/>
        <v>2.5976000000000003E-3</v>
      </c>
      <c r="AB30" s="252">
        <v>0</v>
      </c>
      <c r="AC30" s="262">
        <f>+(Tabla1[[#This Row],[Avance PDI]]*100%)/Tabla1[[#This Row],[ponderacion_meta]]</f>
        <v>0</v>
      </c>
      <c r="AD30" s="257">
        <v>0</v>
      </c>
      <c r="AE30" s="257">
        <v>2.1646666666666667E-3</v>
      </c>
      <c r="AF30" s="257">
        <v>2.1646666666666667E-3</v>
      </c>
      <c r="AG30" s="257">
        <v>2.1646666666666667E-3</v>
      </c>
      <c r="AH30" s="395">
        <f t="shared" si="1"/>
        <v>3.8811000000000002E-3</v>
      </c>
      <c r="AI30" s="395">
        <f t="shared" si="3"/>
        <v>3.6363636363636362E-2</v>
      </c>
      <c r="AJ30" s="319">
        <f t="shared" si="2"/>
        <v>3.6363636363636362E-2</v>
      </c>
      <c r="AK30" s="385">
        <v>3.8811000000000002E-3</v>
      </c>
      <c r="AL30" s="402">
        <f t="shared" si="4"/>
        <v>3.6363636363636362E-2</v>
      </c>
      <c r="AM30" s="327">
        <v>0</v>
      </c>
      <c r="AN30" s="410">
        <f t="shared" si="6"/>
        <v>0.05</v>
      </c>
      <c r="AO30" s="359" t="e">
        <f>+([1]!Tabla1[[#This Row],[ponderacion_accion]]/3)*AQ30</f>
        <v>#REF!</v>
      </c>
      <c r="AP30" s="359" t="e">
        <f>Tabla1[[#This Row],[ponderacion_meta]]*AO30</f>
        <v>#REF!</v>
      </c>
      <c r="AQ30" s="351"/>
      <c r="AR30" s="380">
        <v>0</v>
      </c>
      <c r="AS30" s="9"/>
      <c r="AT30" s="521">
        <v>0</v>
      </c>
    </row>
    <row r="31" spans="1:46" x14ac:dyDescent="0.35">
      <c r="A31" s="236" t="s">
        <v>1149</v>
      </c>
      <c r="B31" s="398" t="s">
        <v>16</v>
      </c>
      <c r="C31" s="398" t="s">
        <v>1718</v>
      </c>
      <c r="D31" s="398" t="s">
        <v>1153</v>
      </c>
      <c r="E31" s="176" t="s">
        <v>17</v>
      </c>
      <c r="F31" s="156" t="s">
        <v>2590</v>
      </c>
      <c r="G31" s="156" t="s">
        <v>41</v>
      </c>
      <c r="H31" s="156" t="s">
        <v>1724</v>
      </c>
      <c r="I31" s="7" t="s">
        <v>79</v>
      </c>
      <c r="J31" s="265">
        <v>6.4939999999999998E-3</v>
      </c>
      <c r="K31" s="96" t="s">
        <v>80</v>
      </c>
      <c r="L31" s="116">
        <v>163800000</v>
      </c>
      <c r="M31" s="116">
        <v>0</v>
      </c>
      <c r="N31" s="430"/>
      <c r="O31" s="430" t="s">
        <v>2622</v>
      </c>
      <c r="P31" s="187">
        <v>0</v>
      </c>
      <c r="Q31" s="188">
        <v>1</v>
      </c>
      <c r="R31" s="188">
        <v>1</v>
      </c>
      <c r="S31" s="188">
        <v>1</v>
      </c>
      <c r="T31" s="188" t="s">
        <v>1200</v>
      </c>
      <c r="U31" s="9" t="s">
        <v>89</v>
      </c>
      <c r="V31" s="8">
        <v>0.2</v>
      </c>
      <c r="W31" s="9" t="s">
        <v>90</v>
      </c>
      <c r="X31" s="9"/>
      <c r="Y31" s="9" t="s">
        <v>2587</v>
      </c>
      <c r="Z31" s="9" t="s">
        <v>2406</v>
      </c>
      <c r="AA31" s="239">
        <f t="shared" si="0"/>
        <v>1.2988000000000001E-3</v>
      </c>
      <c r="AB31" s="252">
        <v>0</v>
      </c>
      <c r="AC31" s="262">
        <f>+(Tabla1[[#This Row],[Avance PDI]]*100%)/Tabla1[[#This Row],[ponderacion_meta]]</f>
        <v>0</v>
      </c>
      <c r="AD31" s="257">
        <v>0</v>
      </c>
      <c r="AE31" s="257">
        <v>2.1646666666666667E-3</v>
      </c>
      <c r="AF31" s="257">
        <v>2.1646666666666667E-3</v>
      </c>
      <c r="AG31" s="257">
        <v>2.1646666666666667E-3</v>
      </c>
      <c r="AH31" s="395">
        <f t="shared" si="1"/>
        <v>3.8811000000000002E-3</v>
      </c>
      <c r="AI31" s="395">
        <f t="shared" si="3"/>
        <v>3.6363636363636362E-2</v>
      </c>
      <c r="AJ31" s="319">
        <f t="shared" si="2"/>
        <v>3.6363636363636362E-2</v>
      </c>
      <c r="AK31" s="385">
        <v>3.8811000000000002E-3</v>
      </c>
      <c r="AL31" s="402">
        <f t="shared" si="4"/>
        <v>3.6363636363636362E-2</v>
      </c>
      <c r="AM31" s="327">
        <v>0</v>
      </c>
      <c r="AN31" s="410">
        <f t="shared" si="6"/>
        <v>0.05</v>
      </c>
      <c r="AO31" s="360" t="e">
        <f>+([1]!Tabla1[[#This Row],[ponderacion_accion]]/3)*AQ31</f>
        <v>#REF!</v>
      </c>
      <c r="AP31" s="360" t="e">
        <f>Tabla1[[#This Row],[ponderacion_meta]]*AO31</f>
        <v>#REF!</v>
      </c>
      <c r="AQ31" s="356"/>
      <c r="AR31" s="380">
        <v>0</v>
      </c>
      <c r="AS31" s="9"/>
      <c r="AT31" s="521">
        <v>0</v>
      </c>
    </row>
    <row r="32" spans="1:46" x14ac:dyDescent="0.35">
      <c r="A32" s="236" t="s">
        <v>1149</v>
      </c>
      <c r="B32" s="398" t="s">
        <v>16</v>
      </c>
      <c r="C32" s="398" t="s">
        <v>1718</v>
      </c>
      <c r="D32" s="398" t="s">
        <v>1153</v>
      </c>
      <c r="E32" s="176" t="s">
        <v>17</v>
      </c>
      <c r="F32" s="156" t="s">
        <v>2590</v>
      </c>
      <c r="G32" s="156" t="s">
        <v>41</v>
      </c>
      <c r="H32" s="156" t="s">
        <v>1724</v>
      </c>
      <c r="I32" s="2" t="s">
        <v>91</v>
      </c>
      <c r="J32" s="264">
        <v>1.1627999999999999E-2</v>
      </c>
      <c r="K32" s="94" t="s">
        <v>92</v>
      </c>
      <c r="L32" s="115">
        <v>644279576</v>
      </c>
      <c r="M32" s="115">
        <v>0</v>
      </c>
      <c r="N32" s="429"/>
      <c r="O32" s="429" t="s">
        <v>1753</v>
      </c>
      <c r="P32" s="189">
        <v>77.900000000000006</v>
      </c>
      <c r="Q32" s="190">
        <v>80.900000000000006</v>
      </c>
      <c r="R32" s="190">
        <v>83.9</v>
      </c>
      <c r="S32" s="190">
        <v>85.9</v>
      </c>
      <c r="T32" s="190" t="s">
        <v>1201</v>
      </c>
      <c r="U32" s="6" t="s">
        <v>93</v>
      </c>
      <c r="V32" s="3">
        <v>0.1</v>
      </c>
      <c r="W32" s="6" t="s">
        <v>94</v>
      </c>
      <c r="X32" s="6"/>
      <c r="Y32" s="6" t="s">
        <v>2587</v>
      </c>
      <c r="Z32" s="6" t="s">
        <v>1948</v>
      </c>
      <c r="AA32" s="238">
        <f t="shared" si="0"/>
        <v>1.1628000000000001E-3</v>
      </c>
      <c r="AB32" s="252">
        <v>0</v>
      </c>
      <c r="AC32" s="278">
        <f>+(Tabla1[[#This Row],[Avance PDI]]*100%)/Tabla1[[#This Row],[ponderacion_meta]]</f>
        <v>0</v>
      </c>
      <c r="AD32" s="279">
        <f>+Tabla1[[#This Row],[ponderacion_meta]]/328.6*Tabla1[[#This Row],[proyeccion_año1]]</f>
        <v>2.7566074254412659E-3</v>
      </c>
      <c r="AE32" s="279">
        <f>+Tabla1[[#This Row],[ponderacion_meta]]/328.6*Tabla1[[#This Row],[proyeccion_año2]]</f>
        <v>2.8627668898356662E-3</v>
      </c>
      <c r="AF32" s="279">
        <f>+Tabla1[[#This Row],[ponderacion_meta]]/328.6*Tabla1[[#This Row],[proyeccion_año3]]</f>
        <v>2.9689263542300665E-3</v>
      </c>
      <c r="AG32" s="279">
        <f>+Tabla1[[#This Row],[ponderacion_meta]]/328.6*Tabla1[[#This Row],[proyeccion_año4]]</f>
        <v>3.0396993304930005E-3</v>
      </c>
      <c r="AH32" s="395">
        <f t="shared" si="1"/>
        <v>3.8811000000000002E-3</v>
      </c>
      <c r="AI32" s="395">
        <f t="shared" si="3"/>
        <v>3.6363636363636362E-2</v>
      </c>
      <c r="AJ32" s="319">
        <f t="shared" si="2"/>
        <v>3.6363636363636362E-2</v>
      </c>
      <c r="AK32" s="385">
        <v>3.8811000000000002E-3</v>
      </c>
      <c r="AL32" s="402">
        <f t="shared" si="4"/>
        <v>3.6363636363636362E-2</v>
      </c>
      <c r="AM32" s="327">
        <v>0</v>
      </c>
      <c r="AN32" s="410">
        <f t="shared" si="6"/>
        <v>0.05</v>
      </c>
      <c r="AO32" s="362" t="e">
        <f>+([1]!Tabla1[[#This Row],[ponderacion_accion]]/4)*AQ32</f>
        <v>#REF!</v>
      </c>
      <c r="AP32" s="362" t="e">
        <f>Tabla1[[#This Row],[ponderacion_meta]]*AO32</f>
        <v>#REF!</v>
      </c>
      <c r="AQ32" s="353"/>
      <c r="AR32" s="377">
        <v>0</v>
      </c>
      <c r="AS32" s="7" t="e">
        <f>+((SUM(AO32:AO37)*100)/50)</f>
        <v>#REF!</v>
      </c>
      <c r="AT32" s="521">
        <v>0</v>
      </c>
    </row>
    <row r="33" spans="1:46" x14ac:dyDescent="0.35">
      <c r="A33" s="236" t="s">
        <v>1149</v>
      </c>
      <c r="B33" s="398" t="s">
        <v>16</v>
      </c>
      <c r="C33" s="398" t="s">
        <v>1718</v>
      </c>
      <c r="D33" s="398" t="s">
        <v>1153</v>
      </c>
      <c r="E33" s="176" t="s">
        <v>17</v>
      </c>
      <c r="F33" s="156" t="s">
        <v>2590</v>
      </c>
      <c r="G33" s="156" t="s">
        <v>41</v>
      </c>
      <c r="H33" s="156" t="s">
        <v>1724</v>
      </c>
      <c r="I33" s="2" t="s">
        <v>91</v>
      </c>
      <c r="J33" s="264">
        <v>1.1627999999999999E-2</v>
      </c>
      <c r="K33" s="94" t="s">
        <v>92</v>
      </c>
      <c r="L33" s="115">
        <v>644279576</v>
      </c>
      <c r="M33" s="115">
        <v>0</v>
      </c>
      <c r="N33" s="429"/>
      <c r="O33" s="429" t="s">
        <v>1753</v>
      </c>
      <c r="P33" s="189">
        <v>77.900000000000006</v>
      </c>
      <c r="Q33" s="190">
        <v>80.900000000000006</v>
      </c>
      <c r="R33" s="190">
        <v>83.9</v>
      </c>
      <c r="S33" s="190">
        <v>85.9</v>
      </c>
      <c r="T33" s="190" t="s">
        <v>1202</v>
      </c>
      <c r="U33" s="6" t="s">
        <v>95</v>
      </c>
      <c r="V33" s="3">
        <v>0.2</v>
      </c>
      <c r="W33" s="6" t="s">
        <v>96</v>
      </c>
      <c r="X33" s="6"/>
      <c r="Y33" s="6" t="s">
        <v>2587</v>
      </c>
      <c r="Z33" s="6" t="s">
        <v>1948</v>
      </c>
      <c r="AA33" s="238">
        <f t="shared" si="0"/>
        <v>2.3256000000000001E-3</v>
      </c>
      <c r="AB33" s="252">
        <v>0</v>
      </c>
      <c r="AC33" s="278">
        <f>+(Tabla1[[#This Row],[Avance PDI]]*100%)/Tabla1[[#This Row],[ponderacion_meta]]</f>
        <v>0</v>
      </c>
      <c r="AD33" s="279">
        <v>2.7566074254412659E-3</v>
      </c>
      <c r="AE33" s="279">
        <v>2.8627668898356662E-3</v>
      </c>
      <c r="AF33" s="279">
        <v>2.9689263542300665E-3</v>
      </c>
      <c r="AG33" s="279">
        <v>3.0396993304930005E-3</v>
      </c>
      <c r="AH33" s="395">
        <f t="shared" si="1"/>
        <v>3.8811000000000002E-3</v>
      </c>
      <c r="AI33" s="395">
        <f t="shared" si="3"/>
        <v>3.6363636363636362E-2</v>
      </c>
      <c r="AJ33" s="319">
        <f t="shared" si="2"/>
        <v>3.6363636363636362E-2</v>
      </c>
      <c r="AK33" s="385">
        <v>3.8811000000000002E-3</v>
      </c>
      <c r="AL33" s="402">
        <f t="shared" si="4"/>
        <v>3.6363636363636362E-2</v>
      </c>
      <c r="AM33" s="327">
        <v>0</v>
      </c>
      <c r="AN33" s="410">
        <f t="shared" si="6"/>
        <v>0.05</v>
      </c>
      <c r="AO33" s="363" t="e">
        <f>+([1]!Tabla1[[#This Row],[ponderacion_accion]]/4)*AQ33</f>
        <v>#REF!</v>
      </c>
      <c r="AP33" s="363" t="e">
        <f>Tabla1[[#This Row],[ponderacion_meta]]*AO33</f>
        <v>#REF!</v>
      </c>
      <c r="AQ33" s="354"/>
      <c r="AR33" s="378">
        <v>0</v>
      </c>
      <c r="AS33" s="9"/>
      <c r="AT33" s="521">
        <v>0</v>
      </c>
    </row>
    <row r="34" spans="1:46" x14ac:dyDescent="0.35">
      <c r="A34" s="236" t="s">
        <v>1149</v>
      </c>
      <c r="B34" s="398" t="s">
        <v>16</v>
      </c>
      <c r="C34" s="398" t="s">
        <v>1718</v>
      </c>
      <c r="D34" s="398" t="s">
        <v>1153</v>
      </c>
      <c r="E34" s="176" t="s">
        <v>17</v>
      </c>
      <c r="F34" s="156" t="s">
        <v>2590</v>
      </c>
      <c r="G34" s="156" t="s">
        <v>41</v>
      </c>
      <c r="H34" s="156" t="s">
        <v>1724</v>
      </c>
      <c r="I34" s="2" t="s">
        <v>91</v>
      </c>
      <c r="J34" s="264">
        <v>1.1627999999999999E-2</v>
      </c>
      <c r="K34" s="94" t="s">
        <v>92</v>
      </c>
      <c r="L34" s="115">
        <v>644279576</v>
      </c>
      <c r="M34" s="115">
        <v>0</v>
      </c>
      <c r="N34" s="429"/>
      <c r="O34" s="429" t="s">
        <v>1753</v>
      </c>
      <c r="P34" s="189">
        <v>77.900000000000006</v>
      </c>
      <c r="Q34" s="190">
        <v>80.900000000000006</v>
      </c>
      <c r="R34" s="190">
        <v>83.9</v>
      </c>
      <c r="S34" s="190">
        <v>85.9</v>
      </c>
      <c r="T34" s="190" t="s">
        <v>1203</v>
      </c>
      <c r="U34" s="6" t="s">
        <v>97</v>
      </c>
      <c r="V34" s="3">
        <v>0.3</v>
      </c>
      <c r="W34" s="6" t="s">
        <v>98</v>
      </c>
      <c r="X34" s="6"/>
      <c r="Y34" s="6" t="s">
        <v>2587</v>
      </c>
      <c r="Z34" s="6" t="s">
        <v>1948</v>
      </c>
      <c r="AA34" s="238">
        <f t="shared" si="0"/>
        <v>3.4883999999999996E-3</v>
      </c>
      <c r="AB34" s="254">
        <f>+(Tabla1[[#This Row],[ponderacion_meta]]*Tabla1[[#This Row],[ponderacion_accion]])/2</f>
        <v>1.7441999999999998E-3</v>
      </c>
      <c r="AC34" s="278">
        <f>+(Tabla1[[#This Row],[Avance PDI]]*100%)/Tabla1[[#This Row],[ponderacion_meta]]</f>
        <v>0.15</v>
      </c>
      <c r="AD34" s="279">
        <v>2.7566074254412659E-3</v>
      </c>
      <c r="AE34" s="279">
        <v>2.8627668898356662E-3</v>
      </c>
      <c r="AF34" s="279">
        <v>2.9689263542300665E-3</v>
      </c>
      <c r="AG34" s="279">
        <v>3.0396993304930005E-3</v>
      </c>
      <c r="AH34" s="395">
        <f t="shared" si="1"/>
        <v>3.8811000000000002E-3</v>
      </c>
      <c r="AI34" s="395">
        <f t="shared" si="3"/>
        <v>3.6363636363636362E-2</v>
      </c>
      <c r="AJ34" s="319">
        <f t="shared" si="2"/>
        <v>3.6363636363636362E-2</v>
      </c>
      <c r="AK34" s="385">
        <v>3.8811000000000002E-3</v>
      </c>
      <c r="AL34" s="402">
        <f t="shared" si="4"/>
        <v>3.6363636363636362E-2</v>
      </c>
      <c r="AM34" s="327">
        <v>0</v>
      </c>
      <c r="AN34" s="410">
        <f t="shared" si="6"/>
        <v>0.05</v>
      </c>
      <c r="AO34" s="363" t="e">
        <f>+([1]!Tabla1[[#This Row],[ponderacion_accion]]/4)*AQ34</f>
        <v>#REF!</v>
      </c>
      <c r="AP34" s="363" t="e">
        <f>Tabla1[[#This Row],[ponderacion_meta]]*AO34</f>
        <v>#REF!</v>
      </c>
      <c r="AQ34" s="354">
        <v>2</v>
      </c>
      <c r="AR34" s="378">
        <v>0</v>
      </c>
      <c r="AS34" s="9"/>
      <c r="AT34" s="521">
        <v>0</v>
      </c>
    </row>
    <row r="35" spans="1:46" x14ac:dyDescent="0.35">
      <c r="A35" s="236" t="s">
        <v>1149</v>
      </c>
      <c r="B35" s="398" t="s">
        <v>16</v>
      </c>
      <c r="C35" s="398" t="s">
        <v>1718</v>
      </c>
      <c r="D35" s="398" t="s">
        <v>1153</v>
      </c>
      <c r="E35" s="176" t="s">
        <v>17</v>
      </c>
      <c r="F35" s="156" t="s">
        <v>2590</v>
      </c>
      <c r="G35" s="156" t="s">
        <v>41</v>
      </c>
      <c r="H35" s="156" t="s">
        <v>1724</v>
      </c>
      <c r="I35" s="2" t="s">
        <v>91</v>
      </c>
      <c r="J35" s="264">
        <v>1.1627999999999999E-2</v>
      </c>
      <c r="K35" s="94" t="s">
        <v>92</v>
      </c>
      <c r="L35" s="115">
        <v>644279576</v>
      </c>
      <c r="M35" s="115">
        <v>0</v>
      </c>
      <c r="N35" s="429"/>
      <c r="O35" s="429" t="s">
        <v>1753</v>
      </c>
      <c r="P35" s="189">
        <v>77.900000000000006</v>
      </c>
      <c r="Q35" s="190">
        <v>80.900000000000006</v>
      </c>
      <c r="R35" s="190">
        <v>83.9</v>
      </c>
      <c r="S35" s="190">
        <v>85.9</v>
      </c>
      <c r="T35" s="190" t="s">
        <v>1204</v>
      </c>
      <c r="U35" s="6" t="s">
        <v>99</v>
      </c>
      <c r="V35" s="3">
        <v>0.2</v>
      </c>
      <c r="W35" s="6" t="s">
        <v>100</v>
      </c>
      <c r="X35" s="6"/>
      <c r="Y35" s="6" t="s">
        <v>2587</v>
      </c>
      <c r="Z35" s="6" t="s">
        <v>1948</v>
      </c>
      <c r="AA35" s="238">
        <f t="shared" si="0"/>
        <v>2.3256000000000001E-3</v>
      </c>
      <c r="AB35" s="254">
        <f>+(Tabla1[[#This Row],[ponderacion_meta]]*Tabla1[[#This Row],[ponderacion_accion]])/4</f>
        <v>5.8140000000000004E-4</v>
      </c>
      <c r="AC35" s="278">
        <f>+(Tabla1[[#This Row],[Avance PDI]]*100%)/Tabla1[[#This Row],[ponderacion_meta]]</f>
        <v>0.05</v>
      </c>
      <c r="AD35" s="279">
        <v>2.7566074254412659E-3</v>
      </c>
      <c r="AE35" s="279">
        <v>2.8627668898356662E-3</v>
      </c>
      <c r="AF35" s="279">
        <v>2.9689263542300665E-3</v>
      </c>
      <c r="AG35" s="279">
        <v>3.0396993304930005E-3</v>
      </c>
      <c r="AH35" s="395">
        <f t="shared" ref="AH35:AH56" si="7">$AH$2</f>
        <v>3.8811000000000002E-3</v>
      </c>
      <c r="AI35" s="395">
        <f t="shared" si="3"/>
        <v>3.6363636363636362E-2</v>
      </c>
      <c r="AJ35" s="319">
        <f t="shared" si="2"/>
        <v>3.6363636363636362E-2</v>
      </c>
      <c r="AK35" s="385">
        <v>3.8811000000000002E-3</v>
      </c>
      <c r="AL35" s="402">
        <f t="shared" si="4"/>
        <v>3.6363636363636362E-2</v>
      </c>
      <c r="AM35" s="327">
        <v>0</v>
      </c>
      <c r="AN35" s="410">
        <f t="shared" si="6"/>
        <v>0.05</v>
      </c>
      <c r="AO35" s="363" t="e">
        <f>+([1]!Tabla1[[#This Row],[ponderacion_accion]]/4)*AQ35</f>
        <v>#REF!</v>
      </c>
      <c r="AP35" s="363" t="e">
        <f>Tabla1[[#This Row],[ponderacion_meta]]*AO35</f>
        <v>#REF!</v>
      </c>
      <c r="AQ35" s="354">
        <v>1</v>
      </c>
      <c r="AR35" s="378">
        <v>0</v>
      </c>
      <c r="AS35" s="9"/>
      <c r="AT35" s="521">
        <v>0</v>
      </c>
    </row>
    <row r="36" spans="1:46" x14ac:dyDescent="0.35">
      <c r="A36" s="236" t="s">
        <v>1149</v>
      </c>
      <c r="B36" s="398" t="s">
        <v>16</v>
      </c>
      <c r="C36" s="398" t="s">
        <v>1718</v>
      </c>
      <c r="D36" s="398" t="s">
        <v>1153</v>
      </c>
      <c r="E36" s="176" t="s">
        <v>17</v>
      </c>
      <c r="F36" s="156" t="s">
        <v>2590</v>
      </c>
      <c r="G36" s="156" t="s">
        <v>41</v>
      </c>
      <c r="H36" s="156" t="s">
        <v>1724</v>
      </c>
      <c r="I36" s="2" t="s">
        <v>91</v>
      </c>
      <c r="J36" s="264">
        <v>1.1627999999999999E-2</v>
      </c>
      <c r="K36" s="94" t="s">
        <v>92</v>
      </c>
      <c r="L36" s="115">
        <v>644279576</v>
      </c>
      <c r="M36" s="115">
        <v>0</v>
      </c>
      <c r="N36" s="429"/>
      <c r="O36" s="429" t="s">
        <v>1753</v>
      </c>
      <c r="P36" s="189">
        <v>77.900000000000006</v>
      </c>
      <c r="Q36" s="190">
        <v>80.900000000000006</v>
      </c>
      <c r="R36" s="190">
        <v>83.9</v>
      </c>
      <c r="S36" s="190">
        <v>85.9</v>
      </c>
      <c r="T36" s="190" t="s">
        <v>1205</v>
      </c>
      <c r="U36" s="6" t="s">
        <v>101</v>
      </c>
      <c r="V36" s="3">
        <v>0.1</v>
      </c>
      <c r="W36" s="6" t="s">
        <v>90</v>
      </c>
      <c r="X36" s="6"/>
      <c r="Y36" s="6" t="s">
        <v>2587</v>
      </c>
      <c r="Z36" s="6" t="s">
        <v>1948</v>
      </c>
      <c r="AA36" s="238">
        <f t="shared" si="0"/>
        <v>1.1628000000000001E-3</v>
      </c>
      <c r="AB36" s="252">
        <v>0</v>
      </c>
      <c r="AC36" s="278">
        <f>+(Tabla1[[#This Row],[Avance PDI]]*100%)/Tabla1[[#This Row],[ponderacion_meta]]</f>
        <v>0</v>
      </c>
      <c r="AD36" s="279">
        <v>2.7566074254412659E-3</v>
      </c>
      <c r="AE36" s="279">
        <v>2.8627668898356662E-3</v>
      </c>
      <c r="AF36" s="279">
        <v>2.9689263542300665E-3</v>
      </c>
      <c r="AG36" s="279">
        <v>3.0396993304930005E-3</v>
      </c>
      <c r="AH36" s="395">
        <f t="shared" si="7"/>
        <v>3.8811000000000002E-3</v>
      </c>
      <c r="AI36" s="395">
        <f t="shared" si="3"/>
        <v>3.6363636363636362E-2</v>
      </c>
      <c r="AJ36" s="319">
        <f t="shared" si="2"/>
        <v>3.6363636363636362E-2</v>
      </c>
      <c r="AK36" s="385">
        <v>3.8811000000000002E-3</v>
      </c>
      <c r="AL36" s="402">
        <f t="shared" si="4"/>
        <v>3.6363636363636362E-2</v>
      </c>
      <c r="AM36" s="327">
        <v>0</v>
      </c>
      <c r="AN36" s="410">
        <f t="shared" si="6"/>
        <v>0.05</v>
      </c>
      <c r="AO36" s="363" t="e">
        <f>+([1]!Tabla1[[#This Row],[ponderacion_accion]]/4)*AQ36</f>
        <v>#REF!</v>
      </c>
      <c r="AP36" s="363" t="e">
        <f>Tabla1[[#This Row],[ponderacion_meta]]*AO36</f>
        <v>#REF!</v>
      </c>
      <c r="AQ36" s="354"/>
      <c r="AR36" s="378">
        <v>0</v>
      </c>
      <c r="AS36" s="9"/>
      <c r="AT36" s="521">
        <v>0</v>
      </c>
    </row>
    <row r="37" spans="1:46" x14ac:dyDescent="0.35">
      <c r="A37" s="236" t="s">
        <v>1149</v>
      </c>
      <c r="B37" s="398" t="s">
        <v>16</v>
      </c>
      <c r="C37" s="398" t="s">
        <v>1718</v>
      </c>
      <c r="D37" s="398" t="s">
        <v>1153</v>
      </c>
      <c r="E37" s="176" t="s">
        <v>17</v>
      </c>
      <c r="F37" s="156" t="s">
        <v>2590</v>
      </c>
      <c r="G37" s="156" t="s">
        <v>41</v>
      </c>
      <c r="H37" s="156" t="s">
        <v>1724</v>
      </c>
      <c r="I37" s="2" t="s">
        <v>91</v>
      </c>
      <c r="J37" s="264">
        <v>1.1627999999999999E-2</v>
      </c>
      <c r="K37" s="94" t="s">
        <v>92</v>
      </c>
      <c r="L37" s="115">
        <v>644279576</v>
      </c>
      <c r="M37" s="115">
        <v>0</v>
      </c>
      <c r="N37" s="429"/>
      <c r="O37" s="429" t="s">
        <v>1753</v>
      </c>
      <c r="P37" s="189">
        <v>77.900000000000006</v>
      </c>
      <c r="Q37" s="190">
        <v>80.900000000000006</v>
      </c>
      <c r="R37" s="190">
        <v>83.9</v>
      </c>
      <c r="S37" s="190">
        <v>85.9</v>
      </c>
      <c r="T37" s="190" t="s">
        <v>1206</v>
      </c>
      <c r="U37" s="6" t="s">
        <v>102</v>
      </c>
      <c r="V37" s="3">
        <v>0.1</v>
      </c>
      <c r="W37" s="6" t="s">
        <v>103</v>
      </c>
      <c r="X37" s="6"/>
      <c r="Y37" s="6" t="s">
        <v>2587</v>
      </c>
      <c r="Z37" s="6" t="s">
        <v>1948</v>
      </c>
      <c r="AA37" s="238">
        <f t="shared" si="0"/>
        <v>1.1628000000000001E-3</v>
      </c>
      <c r="AB37" s="252">
        <v>0</v>
      </c>
      <c r="AC37" s="278">
        <f>+(Tabla1[[#This Row],[Avance PDI]]*100%)/Tabla1[[#This Row],[ponderacion_meta]]</f>
        <v>0</v>
      </c>
      <c r="AD37" s="279">
        <v>2.7566074254412659E-3</v>
      </c>
      <c r="AE37" s="279">
        <v>2.8627668898356662E-3</v>
      </c>
      <c r="AF37" s="279">
        <v>2.9689263542300665E-3</v>
      </c>
      <c r="AG37" s="279">
        <v>3.0396993304930005E-3</v>
      </c>
      <c r="AH37" s="395">
        <f t="shared" si="7"/>
        <v>3.8811000000000002E-3</v>
      </c>
      <c r="AI37" s="395">
        <f t="shared" si="3"/>
        <v>3.6363636363636362E-2</v>
      </c>
      <c r="AJ37" s="319">
        <f t="shared" si="2"/>
        <v>3.6363636363636362E-2</v>
      </c>
      <c r="AK37" s="385">
        <v>3.8811000000000002E-3</v>
      </c>
      <c r="AL37" s="402">
        <f t="shared" si="4"/>
        <v>3.6363636363636362E-2</v>
      </c>
      <c r="AM37" s="327">
        <v>0</v>
      </c>
      <c r="AN37" s="410">
        <f t="shared" si="6"/>
        <v>0.05</v>
      </c>
      <c r="AO37" s="364" t="e">
        <f>+([1]!Tabla1[[#This Row],[ponderacion_accion]]/4)*AQ37</f>
        <v>#REF!</v>
      </c>
      <c r="AP37" s="364" t="e">
        <f>Tabla1[[#This Row],[ponderacion_meta]]*AO37</f>
        <v>#REF!</v>
      </c>
      <c r="AQ37" s="357"/>
      <c r="AR37" s="379">
        <v>0</v>
      </c>
      <c r="AS37" s="9"/>
      <c r="AT37" s="521">
        <v>0</v>
      </c>
    </row>
    <row r="38" spans="1:46" x14ac:dyDescent="0.35">
      <c r="A38" s="236" t="s">
        <v>1149</v>
      </c>
      <c r="B38" s="398" t="s">
        <v>16</v>
      </c>
      <c r="C38" s="398" t="s">
        <v>1718</v>
      </c>
      <c r="D38" s="398" t="s">
        <v>1153</v>
      </c>
      <c r="E38" s="176" t="s">
        <v>17</v>
      </c>
      <c r="F38" s="155" t="s">
        <v>2591</v>
      </c>
      <c r="G38" s="155" t="s">
        <v>104</v>
      </c>
      <c r="H38" s="155" t="s">
        <v>1725</v>
      </c>
      <c r="I38" s="7" t="s">
        <v>105</v>
      </c>
      <c r="J38" s="265">
        <v>1.1627999999999999E-2</v>
      </c>
      <c r="K38" s="96" t="s">
        <v>106</v>
      </c>
      <c r="L38" s="116">
        <v>39400000</v>
      </c>
      <c r="M38" s="116">
        <v>0</v>
      </c>
      <c r="N38" s="430"/>
      <c r="O38" s="430" t="s">
        <v>2622</v>
      </c>
      <c r="P38" s="191">
        <v>0</v>
      </c>
      <c r="Q38" s="188">
        <v>1</v>
      </c>
      <c r="R38" s="188">
        <v>2</v>
      </c>
      <c r="S38" s="188">
        <v>0</v>
      </c>
      <c r="T38" s="188" t="s">
        <v>1207</v>
      </c>
      <c r="U38" s="9" t="s">
        <v>107</v>
      </c>
      <c r="V38" s="8">
        <v>0.1</v>
      </c>
      <c r="W38" s="9" t="s">
        <v>108</v>
      </c>
      <c r="X38" s="9"/>
      <c r="Y38" s="9" t="s">
        <v>2587</v>
      </c>
      <c r="Z38" s="383" t="s">
        <v>2556</v>
      </c>
      <c r="AA38" s="239">
        <f t="shared" si="0"/>
        <v>1.1628000000000001E-3</v>
      </c>
      <c r="AB38" s="282">
        <v>0</v>
      </c>
      <c r="AC38" s="262">
        <f>+(Tabla1[[#This Row],[Avance PDI]]*100%)/Tabla1[[#This Row],[ponderacion_meta]]</f>
        <v>0</v>
      </c>
      <c r="AD38" s="257">
        <f>+Tabla1[[#This Row],[ponderacion_meta]]*Tabla1[[#This Row],[proyeccion_año1]]</f>
        <v>0</v>
      </c>
      <c r="AE38" s="257">
        <f>+Tabla1[[#This Row],[ponderacion_meta]]*33.33%</f>
        <v>3.8756123999999998E-3</v>
      </c>
      <c r="AF38" s="257">
        <f>+Tabla1[[#This Row],[ponderacion_meta]]*66.67%</f>
        <v>7.7523876000000005E-3</v>
      </c>
      <c r="AG38" s="257">
        <f>+Tabla1[[#This Row],[ponderacion_meta]]*Tabla1[[#This Row],[proyeccion_año4]]</f>
        <v>0</v>
      </c>
      <c r="AH38" s="395">
        <f t="shared" si="7"/>
        <v>3.8811000000000002E-3</v>
      </c>
      <c r="AI38" s="395">
        <f t="shared" si="3"/>
        <v>3.6363636363636362E-2</v>
      </c>
      <c r="AJ38" s="319">
        <f t="shared" si="2"/>
        <v>3.6363636363636362E-2</v>
      </c>
      <c r="AK38" s="385">
        <v>3.8811000000000002E-3</v>
      </c>
      <c r="AL38" s="402">
        <f t="shared" si="4"/>
        <v>3.6363636363636362E-2</v>
      </c>
      <c r="AM38" s="324">
        <f>+SUM(AB38:AB56)</f>
        <v>0</v>
      </c>
      <c r="AN38" s="411">
        <f>+SUM(AC38:AC56)/4</f>
        <v>0</v>
      </c>
      <c r="AO38" s="358" t="e">
        <f>+([1]!Tabla1[[#This Row],[ponderacion_accion]]/3)*AQ38</f>
        <v>#REF!</v>
      </c>
      <c r="AP38" s="358" t="e">
        <f>Tabla1[[#This Row],[ponderacion_meta]]*AO38</f>
        <v>#REF!</v>
      </c>
      <c r="AQ38" s="361"/>
      <c r="AR38" s="380">
        <v>0</v>
      </c>
      <c r="AS38" s="7" t="e">
        <f>+((SUM(AO38:AO41)*100)/33.33)</f>
        <v>#REF!</v>
      </c>
      <c r="AT38" s="521">
        <v>0</v>
      </c>
    </row>
    <row r="39" spans="1:46" ht="22.5" customHeight="1" x14ac:dyDescent="0.35">
      <c r="A39" s="236" t="s">
        <v>1149</v>
      </c>
      <c r="B39" s="398" t="s">
        <v>16</v>
      </c>
      <c r="C39" s="398" t="s">
        <v>1718</v>
      </c>
      <c r="D39" s="398" t="s">
        <v>1153</v>
      </c>
      <c r="E39" s="176" t="s">
        <v>17</v>
      </c>
      <c r="F39" s="155" t="s">
        <v>2591</v>
      </c>
      <c r="G39" s="155" t="s">
        <v>104</v>
      </c>
      <c r="H39" s="155" t="s">
        <v>1725</v>
      </c>
      <c r="I39" s="7" t="s">
        <v>105</v>
      </c>
      <c r="J39" s="265">
        <v>1.1627999999999999E-2</v>
      </c>
      <c r="K39" s="96" t="s">
        <v>106</v>
      </c>
      <c r="L39" s="116">
        <v>39400000</v>
      </c>
      <c r="M39" s="116">
        <v>0</v>
      </c>
      <c r="N39" s="430"/>
      <c r="O39" s="430" t="s">
        <v>2622</v>
      </c>
      <c r="P39" s="191">
        <v>0</v>
      </c>
      <c r="Q39" s="188">
        <v>1</v>
      </c>
      <c r="R39" s="188">
        <v>2</v>
      </c>
      <c r="S39" s="188">
        <v>0</v>
      </c>
      <c r="T39" s="188" t="s">
        <v>1208</v>
      </c>
      <c r="U39" s="9" t="s">
        <v>109</v>
      </c>
      <c r="V39" s="8">
        <v>0.1</v>
      </c>
      <c r="W39" s="9" t="s">
        <v>24</v>
      </c>
      <c r="X39" s="9"/>
      <c r="Y39" s="9" t="s">
        <v>2587</v>
      </c>
      <c r="Z39" s="383" t="s">
        <v>2556</v>
      </c>
      <c r="AA39" s="239">
        <f t="shared" si="0"/>
        <v>1.1628000000000001E-3</v>
      </c>
      <c r="AB39" s="282">
        <v>0</v>
      </c>
      <c r="AC39" s="262">
        <f>+(Tabla1[[#This Row],[Avance PDI]]*100%)/Tabla1[[#This Row],[ponderacion_meta]]</f>
        <v>0</v>
      </c>
      <c r="AD39" s="257">
        <v>0</v>
      </c>
      <c r="AE39" s="257">
        <v>3.8756123999999998E-3</v>
      </c>
      <c r="AF39" s="257">
        <v>7.7523876000000005E-3</v>
      </c>
      <c r="AG39" s="257">
        <v>0</v>
      </c>
      <c r="AH39" s="395">
        <f t="shared" si="7"/>
        <v>3.8811000000000002E-3</v>
      </c>
      <c r="AI39" s="395">
        <f t="shared" si="3"/>
        <v>3.6363636363636362E-2</v>
      </c>
      <c r="AJ39" s="319">
        <f t="shared" si="2"/>
        <v>3.6363636363636362E-2</v>
      </c>
      <c r="AK39" s="385">
        <v>3.8811000000000002E-3</v>
      </c>
      <c r="AL39" s="402">
        <f t="shared" si="4"/>
        <v>3.6363636363636362E-2</v>
      </c>
      <c r="AM39" s="325">
        <v>0</v>
      </c>
      <c r="AN39" s="411">
        <f>$AN$38</f>
        <v>0</v>
      </c>
      <c r="AO39" s="359" t="e">
        <f>+([1]!Tabla1[[#This Row],[ponderacion_accion]]/3)*AQ39</f>
        <v>#REF!</v>
      </c>
      <c r="AP39" s="359" t="e">
        <f>Tabla1[[#This Row],[ponderacion_meta]]*AO39</f>
        <v>#REF!</v>
      </c>
      <c r="AQ39" s="351"/>
      <c r="AR39" s="380">
        <v>0</v>
      </c>
      <c r="AS39" s="9"/>
      <c r="AT39" s="521">
        <v>0</v>
      </c>
    </row>
    <row r="40" spans="1:46" x14ac:dyDescent="0.35">
      <c r="A40" s="236" t="s">
        <v>1149</v>
      </c>
      <c r="B40" s="398" t="s">
        <v>16</v>
      </c>
      <c r="C40" s="398" t="s">
        <v>1718</v>
      </c>
      <c r="D40" s="398" t="s">
        <v>1153</v>
      </c>
      <c r="E40" s="176" t="s">
        <v>17</v>
      </c>
      <c r="F40" s="155" t="s">
        <v>2591</v>
      </c>
      <c r="G40" s="155" t="s">
        <v>104</v>
      </c>
      <c r="H40" s="155" t="s">
        <v>1725</v>
      </c>
      <c r="I40" s="7" t="s">
        <v>105</v>
      </c>
      <c r="J40" s="265">
        <v>1.1627999999999999E-2</v>
      </c>
      <c r="K40" s="96" t="s">
        <v>106</v>
      </c>
      <c r="L40" s="116">
        <v>39400000</v>
      </c>
      <c r="M40" s="116">
        <v>0</v>
      </c>
      <c r="N40" s="430"/>
      <c r="O40" s="430" t="s">
        <v>2622</v>
      </c>
      <c r="P40" s="191">
        <v>0</v>
      </c>
      <c r="Q40" s="188">
        <v>1</v>
      </c>
      <c r="R40" s="188">
        <v>2</v>
      </c>
      <c r="S40" s="188">
        <v>0</v>
      </c>
      <c r="T40" s="188" t="s">
        <v>1209</v>
      </c>
      <c r="U40" s="9" t="s">
        <v>110</v>
      </c>
      <c r="V40" s="8">
        <v>0.2</v>
      </c>
      <c r="W40" s="9" t="s">
        <v>76</v>
      </c>
      <c r="X40" s="9"/>
      <c r="Y40" s="9" t="s">
        <v>2587</v>
      </c>
      <c r="Z40" s="383" t="s">
        <v>2556</v>
      </c>
      <c r="AA40" s="239">
        <f t="shared" si="0"/>
        <v>2.3256000000000001E-3</v>
      </c>
      <c r="AB40" s="282">
        <v>0</v>
      </c>
      <c r="AC40" s="262">
        <f>+(Tabla1[[#This Row],[Avance PDI]]*100%)/Tabla1[[#This Row],[ponderacion_meta]]</f>
        <v>0</v>
      </c>
      <c r="AD40" s="257">
        <v>0</v>
      </c>
      <c r="AE40" s="257">
        <v>3.8756123999999998E-3</v>
      </c>
      <c r="AF40" s="257">
        <v>7.7523876000000005E-3</v>
      </c>
      <c r="AG40" s="257">
        <v>0</v>
      </c>
      <c r="AH40" s="395">
        <f t="shared" si="7"/>
        <v>3.8811000000000002E-3</v>
      </c>
      <c r="AI40" s="395">
        <f t="shared" si="3"/>
        <v>3.6363636363636362E-2</v>
      </c>
      <c r="AJ40" s="319">
        <f t="shared" si="2"/>
        <v>3.6363636363636362E-2</v>
      </c>
      <c r="AK40" s="385">
        <v>3.8811000000000002E-3</v>
      </c>
      <c r="AL40" s="402">
        <f t="shared" si="4"/>
        <v>3.6363636363636362E-2</v>
      </c>
      <c r="AM40" s="325">
        <v>0</v>
      </c>
      <c r="AN40" s="411">
        <f t="shared" ref="AN40:AN56" si="8">$AN$38</f>
        <v>0</v>
      </c>
      <c r="AO40" s="359" t="e">
        <f>+([1]!Tabla1[[#This Row],[ponderacion_accion]]/3)*AQ40</f>
        <v>#REF!</v>
      </c>
      <c r="AP40" s="359" t="e">
        <f>Tabla1[[#This Row],[ponderacion_meta]]*AO40</f>
        <v>#REF!</v>
      </c>
      <c r="AQ40" s="351"/>
      <c r="AR40" s="380">
        <v>0</v>
      </c>
      <c r="AS40" s="9"/>
      <c r="AT40" s="521">
        <v>0</v>
      </c>
    </row>
    <row r="41" spans="1:46" ht="23.25" customHeight="1" x14ac:dyDescent="0.35">
      <c r="A41" s="236" t="s">
        <v>1149</v>
      </c>
      <c r="B41" s="398" t="s">
        <v>16</v>
      </c>
      <c r="C41" s="398" t="s">
        <v>1718</v>
      </c>
      <c r="D41" s="398" t="s">
        <v>1153</v>
      </c>
      <c r="E41" s="176" t="s">
        <v>17</v>
      </c>
      <c r="F41" s="155" t="s">
        <v>2591</v>
      </c>
      <c r="G41" s="155" t="s">
        <v>104</v>
      </c>
      <c r="H41" s="155" t="s">
        <v>1725</v>
      </c>
      <c r="I41" s="7" t="s">
        <v>105</v>
      </c>
      <c r="J41" s="265">
        <v>1.1627999999999999E-2</v>
      </c>
      <c r="K41" s="96" t="s">
        <v>106</v>
      </c>
      <c r="L41" s="116">
        <v>39400000</v>
      </c>
      <c r="M41" s="116">
        <v>0</v>
      </c>
      <c r="N41" s="430"/>
      <c r="O41" s="430" t="s">
        <v>2622</v>
      </c>
      <c r="P41" s="191">
        <v>0</v>
      </c>
      <c r="Q41" s="188">
        <v>1</v>
      </c>
      <c r="R41" s="188">
        <v>2</v>
      </c>
      <c r="S41" s="188">
        <v>0</v>
      </c>
      <c r="T41" s="188" t="s">
        <v>1210</v>
      </c>
      <c r="U41" s="9" t="s">
        <v>111</v>
      </c>
      <c r="V41" s="8">
        <v>0.6</v>
      </c>
      <c r="W41" s="9" t="s">
        <v>112</v>
      </c>
      <c r="X41" s="9"/>
      <c r="Y41" s="9" t="s">
        <v>2587</v>
      </c>
      <c r="Z41" s="383" t="s">
        <v>2556</v>
      </c>
      <c r="AA41" s="239">
        <f t="shared" si="0"/>
        <v>6.9767999999999991E-3</v>
      </c>
      <c r="AB41" s="282">
        <v>0</v>
      </c>
      <c r="AC41" s="262">
        <f>+(Tabla1[[#This Row],[Avance PDI]]*100%)/Tabla1[[#This Row],[ponderacion_meta]]</f>
        <v>0</v>
      </c>
      <c r="AD41" s="257">
        <v>0</v>
      </c>
      <c r="AE41" s="257">
        <v>3.8756123999999998E-3</v>
      </c>
      <c r="AF41" s="257">
        <v>7.7523876000000005E-3</v>
      </c>
      <c r="AG41" s="257">
        <v>0</v>
      </c>
      <c r="AH41" s="395">
        <f t="shared" si="7"/>
        <v>3.8811000000000002E-3</v>
      </c>
      <c r="AI41" s="395">
        <f t="shared" si="3"/>
        <v>3.6363636363636362E-2</v>
      </c>
      <c r="AJ41" s="319">
        <f t="shared" si="2"/>
        <v>3.6363636363636362E-2</v>
      </c>
      <c r="AK41" s="385">
        <v>3.8811000000000002E-3</v>
      </c>
      <c r="AL41" s="402">
        <f t="shared" si="4"/>
        <v>3.6363636363636362E-2</v>
      </c>
      <c r="AM41" s="325">
        <v>0</v>
      </c>
      <c r="AN41" s="411">
        <f t="shared" si="8"/>
        <v>0</v>
      </c>
      <c r="AO41" s="360" t="e">
        <f>+([1]!Tabla1[[#This Row],[ponderacion_accion]]/3)*AQ41</f>
        <v>#REF!</v>
      </c>
      <c r="AP41" s="360" t="e">
        <f>Tabla1[[#This Row],[ponderacion_meta]]*AO41</f>
        <v>#REF!</v>
      </c>
      <c r="AQ41" s="356"/>
      <c r="AR41" s="380">
        <v>0</v>
      </c>
      <c r="AS41" s="9"/>
      <c r="AT41" s="521">
        <v>0</v>
      </c>
    </row>
    <row r="42" spans="1:46" ht="18.75" customHeight="1" x14ac:dyDescent="0.35">
      <c r="A42" s="236" t="s">
        <v>1149</v>
      </c>
      <c r="B42" s="398" t="s">
        <v>16</v>
      </c>
      <c r="C42" s="398" t="s">
        <v>1718</v>
      </c>
      <c r="D42" s="398" t="s">
        <v>1153</v>
      </c>
      <c r="E42" s="176" t="s">
        <v>17</v>
      </c>
      <c r="F42" s="155" t="s">
        <v>2591</v>
      </c>
      <c r="G42" s="155" t="s">
        <v>104</v>
      </c>
      <c r="H42" s="155" t="s">
        <v>1725</v>
      </c>
      <c r="I42" s="2" t="s">
        <v>113</v>
      </c>
      <c r="J42" s="264">
        <v>6.4939999999999998E-3</v>
      </c>
      <c r="K42" s="94" t="s">
        <v>114</v>
      </c>
      <c r="L42" s="115">
        <v>138800000</v>
      </c>
      <c r="M42" s="115">
        <v>0</v>
      </c>
      <c r="N42" s="429"/>
      <c r="O42" s="429" t="s">
        <v>2622</v>
      </c>
      <c r="P42" s="192">
        <v>0</v>
      </c>
      <c r="Q42" s="193">
        <v>0</v>
      </c>
      <c r="R42" s="193">
        <v>0</v>
      </c>
      <c r="S42" s="193">
        <v>1</v>
      </c>
      <c r="T42" s="193" t="s">
        <v>1211</v>
      </c>
      <c r="U42" s="6" t="s">
        <v>115</v>
      </c>
      <c r="V42" s="3">
        <v>0.1</v>
      </c>
      <c r="W42" s="6" t="s">
        <v>116</v>
      </c>
      <c r="X42" s="6"/>
      <c r="Y42" s="6" t="s">
        <v>2587</v>
      </c>
      <c r="Z42" s="251" t="s">
        <v>2556</v>
      </c>
      <c r="AA42" s="238">
        <f t="shared" si="0"/>
        <v>6.4940000000000006E-4</v>
      </c>
      <c r="AB42" s="252">
        <v>0</v>
      </c>
      <c r="AC42" s="278">
        <f>+(Tabla1[[#This Row],[Avance PDI]]*100%)/Tabla1[[#This Row],[ponderacion_meta]]</f>
        <v>0</v>
      </c>
      <c r="AD42" s="279">
        <f>+Tabla1[[#This Row],[ponderacion_meta]]*Tabla1[[#This Row],[proyeccion_año1]]</f>
        <v>0</v>
      </c>
      <c r="AE42" s="279">
        <f>+Tabla1[[#This Row],[ponderacion_meta]]*Tabla1[[#This Row],[proyeccion_año2]]</f>
        <v>0</v>
      </c>
      <c r="AF42" s="279">
        <f>+Tabla1[[#This Row],[ponderacion_meta]]*Tabla1[[#This Row],[proyeccion_año3]]</f>
        <v>0</v>
      </c>
      <c r="AG42" s="279">
        <f>+Tabla1[[#This Row],[ponderacion_meta]]*Tabla1[[#This Row],[proyeccion_año4]]</f>
        <v>6.4939999999999998E-3</v>
      </c>
      <c r="AH42" s="395">
        <f t="shared" si="7"/>
        <v>3.8811000000000002E-3</v>
      </c>
      <c r="AI42" s="395">
        <f t="shared" si="3"/>
        <v>3.6363636363636362E-2</v>
      </c>
      <c r="AJ42" s="319">
        <f t="shared" si="2"/>
        <v>3.6363636363636362E-2</v>
      </c>
      <c r="AK42" s="385">
        <v>3.8811000000000002E-3</v>
      </c>
      <c r="AL42" s="402">
        <f t="shared" si="4"/>
        <v>3.6363636363636362E-2</v>
      </c>
      <c r="AM42" s="325">
        <v>0</v>
      </c>
      <c r="AN42" s="411">
        <f t="shared" si="8"/>
        <v>0</v>
      </c>
      <c r="AO42" s="343" t="e">
        <f>+([1]!Tabla1[[#This Row],[ponderacion_accion]]/10)*AQ42</f>
        <v>#REF!</v>
      </c>
      <c r="AP42" s="343" t="e">
        <f>Tabla1[[#This Row],[ponderacion_meta]]*AO42</f>
        <v>#REF!</v>
      </c>
      <c r="AQ42" s="353"/>
      <c r="AR42" s="377">
        <v>0</v>
      </c>
      <c r="AS42" s="7" t="e">
        <f>+((SUM(AO42:AO46)*100)/10)</f>
        <v>#REF!</v>
      </c>
      <c r="AT42" s="521">
        <v>0</v>
      </c>
    </row>
    <row r="43" spans="1:46" x14ac:dyDescent="0.35">
      <c r="A43" s="236" t="s">
        <v>1149</v>
      </c>
      <c r="B43" s="398" t="s">
        <v>16</v>
      </c>
      <c r="C43" s="398" t="s">
        <v>1718</v>
      </c>
      <c r="D43" s="398" t="s">
        <v>1153</v>
      </c>
      <c r="E43" s="176" t="s">
        <v>17</v>
      </c>
      <c r="F43" s="155" t="s">
        <v>2591</v>
      </c>
      <c r="G43" s="155" t="s">
        <v>104</v>
      </c>
      <c r="H43" s="155" t="s">
        <v>1725</v>
      </c>
      <c r="I43" s="2" t="s">
        <v>113</v>
      </c>
      <c r="J43" s="264">
        <v>6.4939999999999998E-3</v>
      </c>
      <c r="K43" s="94" t="s">
        <v>114</v>
      </c>
      <c r="L43" s="115">
        <v>138800000</v>
      </c>
      <c r="M43" s="115">
        <v>0</v>
      </c>
      <c r="N43" s="429"/>
      <c r="O43" s="429" t="s">
        <v>2622</v>
      </c>
      <c r="P43" s="192">
        <v>0</v>
      </c>
      <c r="Q43" s="193">
        <v>0</v>
      </c>
      <c r="R43" s="193">
        <v>0</v>
      </c>
      <c r="S43" s="193">
        <v>1</v>
      </c>
      <c r="T43" s="193" t="s">
        <v>1212</v>
      </c>
      <c r="U43" s="6" t="s">
        <v>117</v>
      </c>
      <c r="V43" s="3">
        <v>0.1</v>
      </c>
      <c r="W43" s="6" t="s">
        <v>118</v>
      </c>
      <c r="X43" s="6"/>
      <c r="Y43" s="6" t="s">
        <v>2588</v>
      </c>
      <c r="Z43" s="251" t="s">
        <v>2556</v>
      </c>
      <c r="AA43" s="238">
        <f t="shared" si="0"/>
        <v>6.4940000000000006E-4</v>
      </c>
      <c r="AB43" s="252">
        <v>0</v>
      </c>
      <c r="AC43" s="278">
        <f>+(Tabla1[[#This Row],[Avance PDI]]*100%)/Tabla1[[#This Row],[ponderacion_meta]]</f>
        <v>0</v>
      </c>
      <c r="AD43" s="279">
        <v>0</v>
      </c>
      <c r="AE43" s="279">
        <v>0</v>
      </c>
      <c r="AF43" s="279">
        <v>0</v>
      </c>
      <c r="AG43" s="279">
        <v>6.4939999999999998E-3</v>
      </c>
      <c r="AH43" s="395">
        <f t="shared" si="7"/>
        <v>3.8811000000000002E-3</v>
      </c>
      <c r="AI43" s="395">
        <f t="shared" si="3"/>
        <v>3.6363636363636362E-2</v>
      </c>
      <c r="AJ43" s="319">
        <f t="shared" si="2"/>
        <v>3.6363636363636362E-2</v>
      </c>
      <c r="AK43" s="385">
        <v>3.8811000000000002E-3</v>
      </c>
      <c r="AL43" s="402">
        <f t="shared" si="4"/>
        <v>3.6363636363636362E-2</v>
      </c>
      <c r="AM43" s="325">
        <v>0</v>
      </c>
      <c r="AN43" s="411">
        <f t="shared" si="8"/>
        <v>0</v>
      </c>
      <c r="AO43" s="344" t="e">
        <f>+([1]!Tabla1[[#This Row],[ponderacion_accion]]/10)*AQ43</f>
        <v>#REF!</v>
      </c>
      <c r="AP43" s="344" t="e">
        <f>Tabla1[[#This Row],[ponderacion_meta]]*AO43</f>
        <v>#REF!</v>
      </c>
      <c r="AQ43" s="354"/>
      <c r="AR43" s="378">
        <v>0</v>
      </c>
      <c r="AS43" s="9"/>
      <c r="AT43" s="521">
        <v>0</v>
      </c>
    </row>
    <row r="44" spans="1:46" ht="19.5" customHeight="1" x14ac:dyDescent="0.35">
      <c r="A44" s="236" t="s">
        <v>1149</v>
      </c>
      <c r="B44" s="398" t="s">
        <v>16</v>
      </c>
      <c r="C44" s="398" t="s">
        <v>1718</v>
      </c>
      <c r="D44" s="398" t="s">
        <v>1153</v>
      </c>
      <c r="E44" s="176" t="s">
        <v>17</v>
      </c>
      <c r="F44" s="155" t="s">
        <v>2591</v>
      </c>
      <c r="G44" s="155" t="s">
        <v>104</v>
      </c>
      <c r="H44" s="155" t="s">
        <v>1725</v>
      </c>
      <c r="I44" s="2" t="s">
        <v>113</v>
      </c>
      <c r="J44" s="264">
        <v>6.4939999999999998E-3</v>
      </c>
      <c r="K44" s="94" t="s">
        <v>114</v>
      </c>
      <c r="L44" s="115">
        <v>138800000</v>
      </c>
      <c r="M44" s="115">
        <v>0</v>
      </c>
      <c r="N44" s="429"/>
      <c r="O44" s="429" t="s">
        <v>2622</v>
      </c>
      <c r="P44" s="192">
        <v>0</v>
      </c>
      <c r="Q44" s="193">
        <v>0</v>
      </c>
      <c r="R44" s="193">
        <v>0</v>
      </c>
      <c r="S44" s="193">
        <v>1</v>
      </c>
      <c r="T44" s="193" t="s">
        <v>1213</v>
      </c>
      <c r="U44" s="6" t="s">
        <v>119</v>
      </c>
      <c r="V44" s="3">
        <v>0.3</v>
      </c>
      <c r="W44" s="6" t="s">
        <v>120</v>
      </c>
      <c r="X44" s="6"/>
      <c r="Y44" s="6" t="s">
        <v>2588</v>
      </c>
      <c r="Z44" s="251" t="s">
        <v>2556</v>
      </c>
      <c r="AA44" s="238">
        <f t="shared" si="0"/>
        <v>1.9481999999999998E-3</v>
      </c>
      <c r="AB44" s="252">
        <v>0</v>
      </c>
      <c r="AC44" s="278">
        <f>+(Tabla1[[#This Row],[Avance PDI]]*100%)/Tabla1[[#This Row],[ponderacion_meta]]</f>
        <v>0</v>
      </c>
      <c r="AD44" s="279">
        <v>0</v>
      </c>
      <c r="AE44" s="279">
        <v>0</v>
      </c>
      <c r="AF44" s="279">
        <v>0</v>
      </c>
      <c r="AG44" s="279">
        <v>6.4939999999999998E-3</v>
      </c>
      <c r="AH44" s="395">
        <f t="shared" si="7"/>
        <v>3.8811000000000002E-3</v>
      </c>
      <c r="AI44" s="395">
        <f t="shared" si="3"/>
        <v>3.6363636363636362E-2</v>
      </c>
      <c r="AJ44" s="319">
        <f t="shared" si="2"/>
        <v>3.6363636363636362E-2</v>
      </c>
      <c r="AK44" s="385">
        <v>3.8811000000000002E-3</v>
      </c>
      <c r="AL44" s="402">
        <f t="shared" si="4"/>
        <v>3.6363636363636362E-2</v>
      </c>
      <c r="AM44" s="325">
        <v>0</v>
      </c>
      <c r="AN44" s="411">
        <f t="shared" si="8"/>
        <v>0</v>
      </c>
      <c r="AO44" s="344" t="e">
        <f>+([1]!Tabla1[[#This Row],[ponderacion_accion]]/30)*AQ44</f>
        <v>#REF!</v>
      </c>
      <c r="AP44" s="344" t="e">
        <f>Tabla1[[#This Row],[ponderacion_meta]]*AO44</f>
        <v>#REF!</v>
      </c>
      <c r="AQ44" s="354"/>
      <c r="AR44" s="378">
        <v>0</v>
      </c>
      <c r="AS44" s="9"/>
      <c r="AT44" s="521">
        <v>0</v>
      </c>
    </row>
    <row r="45" spans="1:46" x14ac:dyDescent="0.35">
      <c r="A45" s="236" t="s">
        <v>1149</v>
      </c>
      <c r="B45" s="398" t="s">
        <v>16</v>
      </c>
      <c r="C45" s="398" t="s">
        <v>1718</v>
      </c>
      <c r="D45" s="398" t="s">
        <v>1153</v>
      </c>
      <c r="E45" s="176" t="s">
        <v>17</v>
      </c>
      <c r="F45" s="155" t="s">
        <v>2591</v>
      </c>
      <c r="G45" s="155" t="s">
        <v>104</v>
      </c>
      <c r="H45" s="155" t="s">
        <v>1725</v>
      </c>
      <c r="I45" s="2" t="s">
        <v>113</v>
      </c>
      <c r="J45" s="264">
        <v>6.4939999999999998E-3</v>
      </c>
      <c r="K45" s="94" t="s">
        <v>114</v>
      </c>
      <c r="L45" s="115">
        <v>138800000</v>
      </c>
      <c r="M45" s="115">
        <v>0</v>
      </c>
      <c r="N45" s="429"/>
      <c r="O45" s="429" t="s">
        <v>2622</v>
      </c>
      <c r="P45" s="192">
        <v>0</v>
      </c>
      <c r="Q45" s="193">
        <v>0</v>
      </c>
      <c r="R45" s="193">
        <v>0</v>
      </c>
      <c r="S45" s="193">
        <v>1</v>
      </c>
      <c r="T45" s="193" t="s">
        <v>1214</v>
      </c>
      <c r="U45" s="6" t="s">
        <v>121</v>
      </c>
      <c r="V45" s="3">
        <v>0.1</v>
      </c>
      <c r="W45" s="6" t="s">
        <v>122</v>
      </c>
      <c r="X45" s="6"/>
      <c r="Y45" s="6" t="s">
        <v>2588</v>
      </c>
      <c r="Z45" s="251" t="s">
        <v>2556</v>
      </c>
      <c r="AA45" s="238">
        <f t="shared" si="0"/>
        <v>6.4940000000000006E-4</v>
      </c>
      <c r="AB45" s="252">
        <v>0</v>
      </c>
      <c r="AC45" s="278">
        <f>+(Tabla1[[#This Row],[Avance PDI]]*100%)/Tabla1[[#This Row],[ponderacion_meta]]</f>
        <v>0</v>
      </c>
      <c r="AD45" s="279">
        <v>0</v>
      </c>
      <c r="AE45" s="279">
        <v>0</v>
      </c>
      <c r="AF45" s="279">
        <v>0</v>
      </c>
      <c r="AG45" s="279">
        <v>6.4939999999999998E-3</v>
      </c>
      <c r="AH45" s="395">
        <f t="shared" si="7"/>
        <v>3.8811000000000002E-3</v>
      </c>
      <c r="AI45" s="395">
        <f t="shared" si="3"/>
        <v>3.6363636363636362E-2</v>
      </c>
      <c r="AJ45" s="319">
        <f t="shared" si="2"/>
        <v>3.6363636363636362E-2</v>
      </c>
      <c r="AK45" s="385">
        <v>3.8811000000000002E-3</v>
      </c>
      <c r="AL45" s="402">
        <f t="shared" si="4"/>
        <v>3.6363636363636362E-2</v>
      </c>
      <c r="AM45" s="325">
        <v>0</v>
      </c>
      <c r="AN45" s="411">
        <f t="shared" si="8"/>
        <v>0</v>
      </c>
      <c r="AO45" s="344" t="e">
        <f>+([1]!Tabla1[[#This Row],[ponderacion_accion]]/10)*AQ45</f>
        <v>#REF!</v>
      </c>
      <c r="AP45" s="344" t="e">
        <f>Tabla1[[#This Row],[ponderacion_meta]]*AO45</f>
        <v>#REF!</v>
      </c>
      <c r="AQ45" s="354"/>
      <c r="AR45" s="378">
        <v>0</v>
      </c>
      <c r="AS45" s="9"/>
      <c r="AT45" s="521">
        <v>0</v>
      </c>
    </row>
    <row r="46" spans="1:46" x14ac:dyDescent="0.35">
      <c r="A46" s="236" t="s">
        <v>1149</v>
      </c>
      <c r="B46" s="398" t="s">
        <v>16</v>
      </c>
      <c r="C46" s="398" t="s">
        <v>1718</v>
      </c>
      <c r="D46" s="398" t="s">
        <v>1153</v>
      </c>
      <c r="E46" s="176" t="s">
        <v>17</v>
      </c>
      <c r="F46" s="155" t="s">
        <v>2591</v>
      </c>
      <c r="G46" s="155" t="s">
        <v>104</v>
      </c>
      <c r="H46" s="155" t="s">
        <v>1725</v>
      </c>
      <c r="I46" s="2" t="s">
        <v>113</v>
      </c>
      <c r="J46" s="264">
        <v>6.4939999999999998E-3</v>
      </c>
      <c r="K46" s="94" t="s">
        <v>114</v>
      </c>
      <c r="L46" s="115">
        <v>138800000</v>
      </c>
      <c r="M46" s="115">
        <v>0</v>
      </c>
      <c r="N46" s="429"/>
      <c r="O46" s="429" t="s">
        <v>2622</v>
      </c>
      <c r="P46" s="192">
        <v>0</v>
      </c>
      <c r="Q46" s="193">
        <v>0</v>
      </c>
      <c r="R46" s="193">
        <v>0</v>
      </c>
      <c r="S46" s="193">
        <v>1</v>
      </c>
      <c r="T46" s="193" t="s">
        <v>1215</v>
      </c>
      <c r="U46" s="6" t="s">
        <v>123</v>
      </c>
      <c r="V46" s="3">
        <v>0.4</v>
      </c>
      <c r="W46" s="6" t="s">
        <v>124</v>
      </c>
      <c r="X46" s="6"/>
      <c r="Y46" s="6" t="s">
        <v>2588</v>
      </c>
      <c r="Z46" s="251" t="s">
        <v>2556</v>
      </c>
      <c r="AA46" s="238">
        <f t="shared" si="0"/>
        <v>2.5976000000000003E-3</v>
      </c>
      <c r="AB46" s="252">
        <v>0</v>
      </c>
      <c r="AC46" s="278">
        <f>+(Tabla1[[#This Row],[Avance PDI]]*100%)/Tabla1[[#This Row],[ponderacion_meta]]</f>
        <v>0</v>
      </c>
      <c r="AD46" s="279">
        <v>0</v>
      </c>
      <c r="AE46" s="279">
        <v>0</v>
      </c>
      <c r="AF46" s="279">
        <v>0</v>
      </c>
      <c r="AG46" s="279">
        <v>6.4939999999999998E-3</v>
      </c>
      <c r="AH46" s="395">
        <f t="shared" si="7"/>
        <v>3.8811000000000002E-3</v>
      </c>
      <c r="AI46" s="395">
        <f t="shared" si="3"/>
        <v>3.6363636363636362E-2</v>
      </c>
      <c r="AJ46" s="319">
        <f t="shared" si="2"/>
        <v>3.6363636363636362E-2</v>
      </c>
      <c r="AK46" s="385">
        <v>3.8811000000000002E-3</v>
      </c>
      <c r="AL46" s="402">
        <f t="shared" si="4"/>
        <v>3.6363636363636362E-2</v>
      </c>
      <c r="AM46" s="325">
        <v>0</v>
      </c>
      <c r="AN46" s="411">
        <f t="shared" si="8"/>
        <v>0</v>
      </c>
      <c r="AO46" s="345" t="e">
        <f>+([1]!Tabla1[[#This Row],[ponderacion_accion]]/40)*AQ46</f>
        <v>#REF!</v>
      </c>
      <c r="AP46" s="345" t="e">
        <f>Tabla1[[#This Row],[ponderacion_meta]]*AO46</f>
        <v>#REF!</v>
      </c>
      <c r="AQ46" s="357"/>
      <c r="AR46" s="379">
        <v>0</v>
      </c>
      <c r="AS46" s="9"/>
      <c r="AT46" s="521">
        <v>0</v>
      </c>
    </row>
    <row r="47" spans="1:46" x14ac:dyDescent="0.35">
      <c r="A47" s="236" t="s">
        <v>1149</v>
      </c>
      <c r="B47" s="398" t="s">
        <v>16</v>
      </c>
      <c r="C47" s="398" t="s">
        <v>1718</v>
      </c>
      <c r="D47" s="398" t="s">
        <v>1153</v>
      </c>
      <c r="E47" s="176" t="s">
        <v>17</v>
      </c>
      <c r="F47" s="155" t="s">
        <v>2591</v>
      </c>
      <c r="G47" s="155" t="s">
        <v>104</v>
      </c>
      <c r="H47" s="155" t="s">
        <v>1725</v>
      </c>
      <c r="I47" s="7" t="s">
        <v>125</v>
      </c>
      <c r="J47" s="265">
        <v>1.1627999999999999E-2</v>
      </c>
      <c r="K47" s="96" t="s">
        <v>126</v>
      </c>
      <c r="L47" s="116">
        <v>127921798</v>
      </c>
      <c r="M47" s="116">
        <v>0</v>
      </c>
      <c r="N47" s="430"/>
      <c r="O47" s="430" t="s">
        <v>2622</v>
      </c>
      <c r="P47" s="194">
        <v>0</v>
      </c>
      <c r="Q47" s="195">
        <v>1</v>
      </c>
      <c r="R47" s="195">
        <v>2</v>
      </c>
      <c r="S47" s="195">
        <v>0</v>
      </c>
      <c r="T47" s="195" t="s">
        <v>1216</v>
      </c>
      <c r="U47" s="9" t="s">
        <v>127</v>
      </c>
      <c r="V47" s="8">
        <v>0.2</v>
      </c>
      <c r="W47" s="9" t="s">
        <v>128</v>
      </c>
      <c r="X47" s="9"/>
      <c r="Y47" s="9" t="s">
        <v>2587</v>
      </c>
      <c r="Z47" s="383" t="s">
        <v>2556</v>
      </c>
      <c r="AA47" s="239">
        <f t="shared" si="0"/>
        <v>2.3256000000000001E-3</v>
      </c>
      <c r="AB47" s="252">
        <v>0</v>
      </c>
      <c r="AC47" s="262">
        <f>+(Tabla1[[#This Row],[Avance PDI]]*100%)/Tabla1[[#This Row],[ponderacion_meta]]</f>
        <v>0</v>
      </c>
      <c r="AD47" s="257">
        <f>+Tabla1[[#This Row],[ponderacion_meta]]*Tabla1[[#This Row],[proyeccion_año1]]</f>
        <v>0</v>
      </c>
      <c r="AE47" s="257">
        <f>+Tabla1[[#This Row],[ponderacion_meta]]*33.33%</f>
        <v>3.8756123999999998E-3</v>
      </c>
      <c r="AF47" s="257">
        <f>+Tabla1[[#This Row],[ponderacion_meta]]*66.67%</f>
        <v>7.7523876000000005E-3</v>
      </c>
      <c r="AG47" s="257">
        <f>+Tabla1[[#This Row],[ponderacion_meta]]*Tabla1[[#This Row],[proyeccion_año4]]</f>
        <v>0</v>
      </c>
      <c r="AH47" s="395">
        <f t="shared" si="7"/>
        <v>3.8811000000000002E-3</v>
      </c>
      <c r="AI47" s="395">
        <f t="shared" si="3"/>
        <v>3.6363636363636362E-2</v>
      </c>
      <c r="AJ47" s="319">
        <f t="shared" si="2"/>
        <v>3.6363636363636362E-2</v>
      </c>
      <c r="AK47" s="385">
        <v>3.8811000000000002E-3</v>
      </c>
      <c r="AL47" s="402">
        <f t="shared" si="4"/>
        <v>3.6363636363636362E-2</v>
      </c>
      <c r="AM47" s="325">
        <v>0</v>
      </c>
      <c r="AN47" s="411">
        <f t="shared" si="8"/>
        <v>0</v>
      </c>
      <c r="AO47" s="358" t="e">
        <f>+([1]!Tabla1[[#This Row],[ponderacion_accion]]/3)*AQ47</f>
        <v>#REF!</v>
      </c>
      <c r="AP47" s="358" t="e">
        <f>Tabla1[[#This Row],[ponderacion_meta]]*AO47</f>
        <v>#REF!</v>
      </c>
      <c r="AQ47" s="361"/>
      <c r="AR47" s="380">
        <v>0</v>
      </c>
      <c r="AS47" s="7" t="e">
        <f>+((SUM(AO47:AO51)*100)/33.33)</f>
        <v>#REF!</v>
      </c>
      <c r="AT47" s="521">
        <v>0</v>
      </c>
    </row>
    <row r="48" spans="1:46" x14ac:dyDescent="0.35">
      <c r="A48" s="236" t="s">
        <v>1149</v>
      </c>
      <c r="B48" s="398" t="s">
        <v>16</v>
      </c>
      <c r="C48" s="398" t="s">
        <v>1718</v>
      </c>
      <c r="D48" s="398" t="s">
        <v>1153</v>
      </c>
      <c r="E48" s="176" t="s">
        <v>17</v>
      </c>
      <c r="F48" s="155" t="s">
        <v>2591</v>
      </c>
      <c r="G48" s="155" t="s">
        <v>104</v>
      </c>
      <c r="H48" s="155" t="s">
        <v>1725</v>
      </c>
      <c r="I48" s="7" t="s">
        <v>125</v>
      </c>
      <c r="J48" s="265">
        <v>1.1627999999999999E-2</v>
      </c>
      <c r="K48" s="96" t="s">
        <v>126</v>
      </c>
      <c r="L48" s="116">
        <v>127921798</v>
      </c>
      <c r="M48" s="116">
        <v>0</v>
      </c>
      <c r="N48" s="430"/>
      <c r="O48" s="430" t="s">
        <v>2622</v>
      </c>
      <c r="P48" s="194">
        <v>0</v>
      </c>
      <c r="Q48" s="195">
        <v>1</v>
      </c>
      <c r="R48" s="195">
        <v>2</v>
      </c>
      <c r="S48" s="195">
        <v>0</v>
      </c>
      <c r="T48" s="195" t="s">
        <v>1217</v>
      </c>
      <c r="U48" s="9" t="s">
        <v>129</v>
      </c>
      <c r="V48" s="8">
        <v>0.2</v>
      </c>
      <c r="W48" s="9" t="s">
        <v>130</v>
      </c>
      <c r="X48" s="9"/>
      <c r="Y48" s="9" t="s">
        <v>2587</v>
      </c>
      <c r="Z48" s="383" t="s">
        <v>2556</v>
      </c>
      <c r="AA48" s="239">
        <f t="shared" si="0"/>
        <v>2.3256000000000001E-3</v>
      </c>
      <c r="AB48" s="252">
        <v>0</v>
      </c>
      <c r="AC48" s="262">
        <f>+(Tabla1[[#This Row],[Avance PDI]]*100%)/Tabla1[[#This Row],[ponderacion_meta]]</f>
        <v>0</v>
      </c>
      <c r="AD48" s="257">
        <v>0</v>
      </c>
      <c r="AE48" s="257">
        <v>3.8756123999999998E-3</v>
      </c>
      <c r="AF48" s="257">
        <v>7.7523876000000005E-3</v>
      </c>
      <c r="AG48" s="257">
        <v>0</v>
      </c>
      <c r="AH48" s="395">
        <f t="shared" si="7"/>
        <v>3.8811000000000002E-3</v>
      </c>
      <c r="AI48" s="395">
        <f t="shared" si="3"/>
        <v>3.6363636363636362E-2</v>
      </c>
      <c r="AJ48" s="319">
        <f t="shared" si="2"/>
        <v>3.6363636363636362E-2</v>
      </c>
      <c r="AK48" s="385">
        <v>3.8811000000000002E-3</v>
      </c>
      <c r="AL48" s="402">
        <f t="shared" si="4"/>
        <v>3.6363636363636362E-2</v>
      </c>
      <c r="AM48" s="325">
        <v>0</v>
      </c>
      <c r="AN48" s="411">
        <f t="shared" si="8"/>
        <v>0</v>
      </c>
      <c r="AO48" s="359" t="e">
        <f>+([1]!Tabla1[[#This Row],[ponderacion_accion]]/3)*AQ48</f>
        <v>#REF!</v>
      </c>
      <c r="AP48" s="359" t="e">
        <f>Tabla1[[#This Row],[ponderacion_meta]]*AO48</f>
        <v>#REF!</v>
      </c>
      <c r="AQ48" s="351"/>
      <c r="AR48" s="380">
        <v>0</v>
      </c>
      <c r="AS48" s="9"/>
      <c r="AT48" s="521">
        <v>0</v>
      </c>
    </row>
    <row r="49" spans="1:46" x14ac:dyDescent="0.35">
      <c r="A49" s="236" t="s">
        <v>1149</v>
      </c>
      <c r="B49" s="398" t="s">
        <v>16</v>
      </c>
      <c r="C49" s="398" t="s">
        <v>1718</v>
      </c>
      <c r="D49" s="398" t="s">
        <v>1153</v>
      </c>
      <c r="E49" s="176" t="s">
        <v>17</v>
      </c>
      <c r="F49" s="155" t="s">
        <v>2591</v>
      </c>
      <c r="G49" s="155" t="s">
        <v>104</v>
      </c>
      <c r="H49" s="155" t="s">
        <v>1725</v>
      </c>
      <c r="I49" s="7" t="s">
        <v>125</v>
      </c>
      <c r="J49" s="265">
        <v>1.1627999999999999E-2</v>
      </c>
      <c r="K49" s="96" t="s">
        <v>126</v>
      </c>
      <c r="L49" s="116">
        <v>127921798</v>
      </c>
      <c r="M49" s="116">
        <v>0</v>
      </c>
      <c r="N49" s="430"/>
      <c r="O49" s="430" t="s">
        <v>2622</v>
      </c>
      <c r="P49" s="194">
        <v>0</v>
      </c>
      <c r="Q49" s="195">
        <v>1</v>
      </c>
      <c r="R49" s="195">
        <v>2</v>
      </c>
      <c r="S49" s="195">
        <v>0</v>
      </c>
      <c r="T49" s="195" t="s">
        <v>1218</v>
      </c>
      <c r="U49" s="9" t="s">
        <v>131</v>
      </c>
      <c r="V49" s="8">
        <v>0.1</v>
      </c>
      <c r="W49" s="9" t="s">
        <v>132</v>
      </c>
      <c r="X49" s="9"/>
      <c r="Y49" s="9" t="s">
        <v>2587</v>
      </c>
      <c r="Z49" s="383" t="s">
        <v>2556</v>
      </c>
      <c r="AA49" s="239">
        <f t="shared" si="0"/>
        <v>1.1628000000000001E-3</v>
      </c>
      <c r="AB49" s="252">
        <v>0</v>
      </c>
      <c r="AC49" s="262">
        <f>+(Tabla1[[#This Row],[Avance PDI]]*100%)/Tabla1[[#This Row],[ponderacion_meta]]</f>
        <v>0</v>
      </c>
      <c r="AD49" s="257">
        <v>0</v>
      </c>
      <c r="AE49" s="257">
        <v>3.8756123999999998E-3</v>
      </c>
      <c r="AF49" s="257">
        <v>7.7523876000000005E-3</v>
      </c>
      <c r="AG49" s="257">
        <v>0</v>
      </c>
      <c r="AH49" s="395">
        <f t="shared" si="7"/>
        <v>3.8811000000000002E-3</v>
      </c>
      <c r="AI49" s="395">
        <f t="shared" si="3"/>
        <v>3.6363636363636362E-2</v>
      </c>
      <c r="AJ49" s="319">
        <f t="shared" si="2"/>
        <v>3.6363636363636362E-2</v>
      </c>
      <c r="AK49" s="385">
        <v>3.8811000000000002E-3</v>
      </c>
      <c r="AL49" s="402">
        <f t="shared" si="4"/>
        <v>3.6363636363636362E-2</v>
      </c>
      <c r="AM49" s="325">
        <v>0</v>
      </c>
      <c r="AN49" s="411">
        <f t="shared" si="8"/>
        <v>0</v>
      </c>
      <c r="AO49" s="359" t="e">
        <f>+([1]!Tabla1[[#This Row],[ponderacion_accion]]/3)*AQ49</f>
        <v>#REF!</v>
      </c>
      <c r="AP49" s="359" t="e">
        <f>Tabla1[[#This Row],[ponderacion_meta]]*AO49</f>
        <v>#REF!</v>
      </c>
      <c r="AQ49" s="351"/>
      <c r="AR49" s="380">
        <v>0</v>
      </c>
      <c r="AS49" s="9"/>
      <c r="AT49" s="521">
        <v>0</v>
      </c>
    </row>
    <row r="50" spans="1:46" x14ac:dyDescent="0.35">
      <c r="A50" s="236" t="s">
        <v>1149</v>
      </c>
      <c r="B50" s="398" t="s">
        <v>16</v>
      </c>
      <c r="C50" s="398" t="s">
        <v>1718</v>
      </c>
      <c r="D50" s="398" t="s">
        <v>1153</v>
      </c>
      <c r="E50" s="176" t="s">
        <v>17</v>
      </c>
      <c r="F50" s="155" t="s">
        <v>2591</v>
      </c>
      <c r="G50" s="155" t="s">
        <v>104</v>
      </c>
      <c r="H50" s="155" t="s">
        <v>1725</v>
      </c>
      <c r="I50" s="7" t="s">
        <v>125</v>
      </c>
      <c r="J50" s="265">
        <v>1.1627999999999999E-2</v>
      </c>
      <c r="K50" s="96" t="s">
        <v>126</v>
      </c>
      <c r="L50" s="116">
        <v>127921798</v>
      </c>
      <c r="M50" s="116">
        <v>0</v>
      </c>
      <c r="N50" s="430"/>
      <c r="O50" s="430" t="s">
        <v>2622</v>
      </c>
      <c r="P50" s="194">
        <v>0</v>
      </c>
      <c r="Q50" s="195">
        <v>1</v>
      </c>
      <c r="R50" s="195">
        <v>2</v>
      </c>
      <c r="S50" s="195">
        <v>0</v>
      </c>
      <c r="T50" s="195" t="s">
        <v>1219</v>
      </c>
      <c r="U50" s="9" t="s">
        <v>133</v>
      </c>
      <c r="V50" s="8">
        <v>0.1</v>
      </c>
      <c r="W50" s="9" t="s">
        <v>134</v>
      </c>
      <c r="X50" s="9"/>
      <c r="Y50" s="9" t="s">
        <v>2587</v>
      </c>
      <c r="Z50" s="383" t="s">
        <v>2556</v>
      </c>
      <c r="AA50" s="239">
        <f t="shared" si="0"/>
        <v>1.1628000000000001E-3</v>
      </c>
      <c r="AB50" s="252">
        <v>0</v>
      </c>
      <c r="AC50" s="262">
        <f>+(Tabla1[[#This Row],[Avance PDI]]*100%)/Tabla1[[#This Row],[ponderacion_meta]]</f>
        <v>0</v>
      </c>
      <c r="AD50" s="257">
        <v>0</v>
      </c>
      <c r="AE50" s="257">
        <v>3.8756123999999998E-3</v>
      </c>
      <c r="AF50" s="257">
        <v>7.7523876000000005E-3</v>
      </c>
      <c r="AG50" s="257">
        <v>0</v>
      </c>
      <c r="AH50" s="395">
        <f t="shared" si="7"/>
        <v>3.8811000000000002E-3</v>
      </c>
      <c r="AI50" s="395">
        <f t="shared" si="3"/>
        <v>3.6363636363636362E-2</v>
      </c>
      <c r="AJ50" s="319">
        <f t="shared" si="2"/>
        <v>3.6363636363636362E-2</v>
      </c>
      <c r="AK50" s="385">
        <v>3.8811000000000002E-3</v>
      </c>
      <c r="AL50" s="402">
        <f t="shared" si="4"/>
        <v>3.6363636363636362E-2</v>
      </c>
      <c r="AM50" s="325">
        <v>0</v>
      </c>
      <c r="AN50" s="411">
        <f t="shared" si="8"/>
        <v>0</v>
      </c>
      <c r="AO50" s="359" t="e">
        <f>+([1]!Tabla1[[#This Row],[ponderacion_accion]]/3)*AQ50</f>
        <v>#REF!</v>
      </c>
      <c r="AP50" s="359" t="e">
        <f>Tabla1[[#This Row],[ponderacion_meta]]*AO50</f>
        <v>#REF!</v>
      </c>
      <c r="AQ50" s="351"/>
      <c r="AR50" s="380">
        <v>0</v>
      </c>
      <c r="AS50" s="9"/>
      <c r="AT50" s="521">
        <v>0</v>
      </c>
    </row>
    <row r="51" spans="1:46" x14ac:dyDescent="0.35">
      <c r="A51" s="236" t="s">
        <v>1149</v>
      </c>
      <c r="B51" s="398" t="s">
        <v>16</v>
      </c>
      <c r="C51" s="398" t="s">
        <v>1718</v>
      </c>
      <c r="D51" s="398" t="s">
        <v>1153</v>
      </c>
      <c r="E51" s="176" t="s">
        <v>17</v>
      </c>
      <c r="F51" s="155" t="s">
        <v>2591</v>
      </c>
      <c r="G51" s="155" t="s">
        <v>104</v>
      </c>
      <c r="H51" s="155" t="s">
        <v>1725</v>
      </c>
      <c r="I51" s="7" t="s">
        <v>125</v>
      </c>
      <c r="J51" s="265">
        <v>1.1627999999999999E-2</v>
      </c>
      <c r="K51" s="96" t="s">
        <v>126</v>
      </c>
      <c r="L51" s="116">
        <v>127921798</v>
      </c>
      <c r="M51" s="116">
        <v>0</v>
      </c>
      <c r="N51" s="430"/>
      <c r="O51" s="430" t="s">
        <v>2622</v>
      </c>
      <c r="P51" s="194">
        <v>0</v>
      </c>
      <c r="Q51" s="195">
        <v>1</v>
      </c>
      <c r="R51" s="195">
        <v>2</v>
      </c>
      <c r="S51" s="195">
        <v>0</v>
      </c>
      <c r="T51" s="195" t="s">
        <v>1220</v>
      </c>
      <c r="U51" s="9" t="s">
        <v>135</v>
      </c>
      <c r="V51" s="8">
        <v>0.4</v>
      </c>
      <c r="W51" s="9" t="s">
        <v>136</v>
      </c>
      <c r="X51" s="9"/>
      <c r="Y51" s="9" t="s">
        <v>2588</v>
      </c>
      <c r="Z51" s="383" t="s">
        <v>2556</v>
      </c>
      <c r="AA51" s="239">
        <f t="shared" si="0"/>
        <v>4.6512000000000003E-3</v>
      </c>
      <c r="AB51" s="252">
        <v>0</v>
      </c>
      <c r="AC51" s="262">
        <f>+(Tabla1[[#This Row],[Avance PDI]]*100%)/Tabla1[[#This Row],[ponderacion_meta]]</f>
        <v>0</v>
      </c>
      <c r="AD51" s="257">
        <v>0</v>
      </c>
      <c r="AE51" s="257">
        <v>3.8756123999999998E-3</v>
      </c>
      <c r="AF51" s="257">
        <v>7.7523876000000005E-3</v>
      </c>
      <c r="AG51" s="257">
        <v>0</v>
      </c>
      <c r="AH51" s="395">
        <f t="shared" si="7"/>
        <v>3.8811000000000002E-3</v>
      </c>
      <c r="AI51" s="395">
        <f t="shared" si="3"/>
        <v>3.6363636363636362E-2</v>
      </c>
      <c r="AJ51" s="319">
        <f t="shared" si="2"/>
        <v>3.6363636363636362E-2</v>
      </c>
      <c r="AK51" s="385">
        <v>3.8811000000000002E-3</v>
      </c>
      <c r="AL51" s="402">
        <f t="shared" si="4"/>
        <v>3.6363636363636362E-2</v>
      </c>
      <c r="AM51" s="325">
        <v>0</v>
      </c>
      <c r="AN51" s="411">
        <f t="shared" si="8"/>
        <v>0</v>
      </c>
      <c r="AO51" s="360" t="e">
        <f>+([1]!Tabla1[[#This Row],[ponderacion_accion]]/3)*AQ51</f>
        <v>#REF!</v>
      </c>
      <c r="AP51" s="360" t="e">
        <f>Tabla1[[#This Row],[ponderacion_meta]]*AO51</f>
        <v>#REF!</v>
      </c>
      <c r="AQ51" s="356"/>
      <c r="AR51" s="380">
        <v>0</v>
      </c>
      <c r="AS51" s="9"/>
      <c r="AT51" s="521">
        <v>0</v>
      </c>
    </row>
    <row r="52" spans="1:46" x14ac:dyDescent="0.35">
      <c r="A52" s="236" t="s">
        <v>1149</v>
      </c>
      <c r="B52" s="398" t="s">
        <v>16</v>
      </c>
      <c r="C52" s="398" t="s">
        <v>1718</v>
      </c>
      <c r="D52" s="398" t="s">
        <v>1153</v>
      </c>
      <c r="E52" s="176" t="s">
        <v>17</v>
      </c>
      <c r="F52" s="155" t="s">
        <v>2591</v>
      </c>
      <c r="G52" s="155" t="s">
        <v>104</v>
      </c>
      <c r="H52" s="155" t="s">
        <v>1725</v>
      </c>
      <c r="I52" s="2" t="s">
        <v>137</v>
      </c>
      <c r="J52" s="264">
        <v>1.1627999999999999E-2</v>
      </c>
      <c r="K52" s="94" t="s">
        <v>138</v>
      </c>
      <c r="L52" s="115">
        <v>231952500</v>
      </c>
      <c r="M52" s="115">
        <v>0</v>
      </c>
      <c r="N52" s="429"/>
      <c r="O52" s="429" t="s">
        <v>2622</v>
      </c>
      <c r="P52" s="192">
        <v>0</v>
      </c>
      <c r="Q52" s="193">
        <v>0</v>
      </c>
      <c r="R52" s="193">
        <v>0</v>
      </c>
      <c r="S52" s="193">
        <v>1</v>
      </c>
      <c r="T52" s="193" t="s">
        <v>1221</v>
      </c>
      <c r="U52" s="6" t="s">
        <v>139</v>
      </c>
      <c r="V52" s="3">
        <v>0.1</v>
      </c>
      <c r="W52" s="6" t="s">
        <v>140</v>
      </c>
      <c r="X52" s="6"/>
      <c r="Y52" s="6" t="s">
        <v>2587</v>
      </c>
      <c r="Z52" s="251" t="s">
        <v>2568</v>
      </c>
      <c r="AA52" s="238">
        <f t="shared" si="0"/>
        <v>1.1628000000000001E-3</v>
      </c>
      <c r="AB52" s="252">
        <v>0</v>
      </c>
      <c r="AC52" s="278">
        <f>+(Tabla1[[#This Row],[Avance PDI]]*100%)/Tabla1[[#This Row],[ponderacion_meta]]</f>
        <v>0</v>
      </c>
      <c r="AD52" s="279">
        <v>0</v>
      </c>
      <c r="AE52" s="279">
        <f>+Tabla1[[#This Row],[ponderacion_meta]]*Tabla1[[#This Row],[proyeccion_año2]]</f>
        <v>0</v>
      </c>
      <c r="AF52" s="279">
        <f>+Tabla1[[#This Row],[ponderacion_meta]]*Tabla1[[#This Row],[proyeccion_año3]]</f>
        <v>0</v>
      </c>
      <c r="AG52" s="279">
        <f>+Tabla1[[#This Row],[ponderacion_meta]]*Tabla1[[#This Row],[proyeccion_año4]]</f>
        <v>1.1627999999999999E-2</v>
      </c>
      <c r="AH52" s="395">
        <f t="shared" si="7"/>
        <v>3.8811000000000002E-3</v>
      </c>
      <c r="AI52" s="395">
        <f t="shared" si="3"/>
        <v>3.6363636363636362E-2</v>
      </c>
      <c r="AJ52" s="319">
        <f t="shared" si="2"/>
        <v>3.6363636363636362E-2</v>
      </c>
      <c r="AK52" s="385">
        <v>3.8811000000000002E-3</v>
      </c>
      <c r="AL52" s="402">
        <f t="shared" si="4"/>
        <v>3.6363636363636362E-2</v>
      </c>
      <c r="AM52" s="325">
        <v>0</v>
      </c>
      <c r="AN52" s="411">
        <f t="shared" si="8"/>
        <v>0</v>
      </c>
      <c r="AO52" s="343" t="e">
        <f>+([1]!Tabla1[[#This Row],[ponderacion_accion]]/10)*AQ52</f>
        <v>#REF!</v>
      </c>
      <c r="AP52" s="343" t="e">
        <f>Tabla1[[#This Row],[ponderacion_meta]]*AO52</f>
        <v>#REF!</v>
      </c>
      <c r="AQ52" s="353"/>
      <c r="AR52" s="377">
        <v>0</v>
      </c>
      <c r="AS52" s="7" t="e">
        <f>+((SUM(AO52:AO56)*100)/10)</f>
        <v>#REF!</v>
      </c>
      <c r="AT52" s="521">
        <v>0</v>
      </c>
    </row>
    <row r="53" spans="1:46" x14ac:dyDescent="0.35">
      <c r="A53" s="236" t="s">
        <v>1149</v>
      </c>
      <c r="B53" s="398" t="s">
        <v>16</v>
      </c>
      <c r="C53" s="398" t="s">
        <v>1718</v>
      </c>
      <c r="D53" s="398" t="s">
        <v>1153</v>
      </c>
      <c r="E53" s="176" t="s">
        <v>17</v>
      </c>
      <c r="F53" s="155" t="s">
        <v>2591</v>
      </c>
      <c r="G53" s="155" t="s">
        <v>104</v>
      </c>
      <c r="H53" s="155" t="s">
        <v>1725</v>
      </c>
      <c r="I53" s="2" t="s">
        <v>137</v>
      </c>
      <c r="J53" s="264">
        <v>1.1627999999999999E-2</v>
      </c>
      <c r="K53" s="94" t="s">
        <v>138</v>
      </c>
      <c r="L53" s="115">
        <v>231952500</v>
      </c>
      <c r="M53" s="115">
        <v>0</v>
      </c>
      <c r="N53" s="429"/>
      <c r="O53" s="429" t="s">
        <v>2622</v>
      </c>
      <c r="P53" s="192">
        <v>0</v>
      </c>
      <c r="Q53" s="193">
        <v>0</v>
      </c>
      <c r="R53" s="193">
        <v>0</v>
      </c>
      <c r="S53" s="193">
        <v>1</v>
      </c>
      <c r="T53" s="193" t="s">
        <v>1222</v>
      </c>
      <c r="U53" s="6" t="s">
        <v>141</v>
      </c>
      <c r="V53" s="3">
        <v>0.1</v>
      </c>
      <c r="W53" s="6" t="s">
        <v>142</v>
      </c>
      <c r="X53" s="6"/>
      <c r="Y53" s="6" t="s">
        <v>2588</v>
      </c>
      <c r="Z53" s="251" t="s">
        <v>2568</v>
      </c>
      <c r="AA53" s="238">
        <f t="shared" si="0"/>
        <v>1.1628000000000001E-3</v>
      </c>
      <c r="AB53" s="252">
        <v>0</v>
      </c>
      <c r="AC53" s="278">
        <f>+(Tabla1[[#This Row],[Avance PDI]]*100%)/Tabla1[[#This Row],[ponderacion_meta]]</f>
        <v>0</v>
      </c>
      <c r="AD53" s="279">
        <v>0</v>
      </c>
      <c r="AE53" s="279">
        <v>0</v>
      </c>
      <c r="AF53" s="279">
        <v>0</v>
      </c>
      <c r="AG53" s="279">
        <v>1.1627999999999999E-2</v>
      </c>
      <c r="AH53" s="395">
        <f t="shared" si="7"/>
        <v>3.8811000000000002E-3</v>
      </c>
      <c r="AI53" s="395">
        <f t="shared" si="3"/>
        <v>3.6363636363636362E-2</v>
      </c>
      <c r="AJ53" s="319">
        <f t="shared" si="2"/>
        <v>3.6363636363636362E-2</v>
      </c>
      <c r="AK53" s="385">
        <v>3.8811000000000002E-3</v>
      </c>
      <c r="AL53" s="402">
        <f t="shared" si="4"/>
        <v>3.6363636363636362E-2</v>
      </c>
      <c r="AM53" s="325">
        <v>0</v>
      </c>
      <c r="AN53" s="411">
        <f t="shared" si="8"/>
        <v>0</v>
      </c>
      <c r="AO53" s="344" t="e">
        <f>+([1]!Tabla1[[#This Row],[ponderacion_accion]]/10)*AQ53</f>
        <v>#REF!</v>
      </c>
      <c r="AP53" s="344" t="e">
        <f>Tabla1[[#This Row],[ponderacion_meta]]*AO53</f>
        <v>#REF!</v>
      </c>
      <c r="AQ53" s="354"/>
      <c r="AR53" s="378">
        <v>0</v>
      </c>
      <c r="AS53" s="9"/>
      <c r="AT53" s="521">
        <v>0</v>
      </c>
    </row>
    <row r="54" spans="1:46" x14ac:dyDescent="0.35">
      <c r="A54" s="236" t="s">
        <v>1149</v>
      </c>
      <c r="B54" s="398" t="s">
        <v>16</v>
      </c>
      <c r="C54" s="398" t="s">
        <v>1718</v>
      </c>
      <c r="D54" s="398" t="s">
        <v>1153</v>
      </c>
      <c r="E54" s="176" t="s">
        <v>17</v>
      </c>
      <c r="F54" s="155" t="s">
        <v>2591</v>
      </c>
      <c r="G54" s="155" t="s">
        <v>104</v>
      </c>
      <c r="H54" s="155" t="s">
        <v>1725</v>
      </c>
      <c r="I54" s="2" t="s">
        <v>137</v>
      </c>
      <c r="J54" s="264">
        <v>1.1627999999999999E-2</v>
      </c>
      <c r="K54" s="94" t="s">
        <v>138</v>
      </c>
      <c r="L54" s="115">
        <v>231952500</v>
      </c>
      <c r="M54" s="115">
        <v>0</v>
      </c>
      <c r="N54" s="429"/>
      <c r="O54" s="429" t="s">
        <v>2622</v>
      </c>
      <c r="P54" s="192">
        <v>0</v>
      </c>
      <c r="Q54" s="193">
        <v>0</v>
      </c>
      <c r="R54" s="193">
        <v>0</v>
      </c>
      <c r="S54" s="193">
        <v>1</v>
      </c>
      <c r="T54" s="193" t="s">
        <v>1223</v>
      </c>
      <c r="U54" s="6" t="s">
        <v>143</v>
      </c>
      <c r="V54" s="3">
        <v>0.2</v>
      </c>
      <c r="W54" s="6" t="s">
        <v>144</v>
      </c>
      <c r="X54" s="6"/>
      <c r="Y54" s="6" t="s">
        <v>2588</v>
      </c>
      <c r="Z54" s="251" t="s">
        <v>2568</v>
      </c>
      <c r="AA54" s="238">
        <f t="shared" si="0"/>
        <v>2.3256000000000001E-3</v>
      </c>
      <c r="AB54" s="252">
        <v>0</v>
      </c>
      <c r="AC54" s="278">
        <f>+(Tabla1[[#This Row],[Avance PDI]]*100%)/Tabla1[[#This Row],[ponderacion_meta]]</f>
        <v>0</v>
      </c>
      <c r="AD54" s="279">
        <v>0</v>
      </c>
      <c r="AE54" s="279">
        <v>0</v>
      </c>
      <c r="AF54" s="279">
        <v>0</v>
      </c>
      <c r="AG54" s="279">
        <v>1.1627999999999999E-2</v>
      </c>
      <c r="AH54" s="395">
        <f t="shared" si="7"/>
        <v>3.8811000000000002E-3</v>
      </c>
      <c r="AI54" s="395">
        <f t="shared" si="3"/>
        <v>3.6363636363636362E-2</v>
      </c>
      <c r="AJ54" s="319">
        <f t="shared" si="2"/>
        <v>3.6363636363636362E-2</v>
      </c>
      <c r="AK54" s="385">
        <v>3.8811000000000002E-3</v>
      </c>
      <c r="AL54" s="402">
        <f t="shared" si="4"/>
        <v>3.6363636363636362E-2</v>
      </c>
      <c r="AM54" s="325">
        <v>0</v>
      </c>
      <c r="AN54" s="411">
        <f t="shared" si="8"/>
        <v>0</v>
      </c>
      <c r="AO54" s="344" t="e">
        <f>+([1]!Tabla1[[#This Row],[ponderacion_accion]]/20)*AQ54</f>
        <v>#REF!</v>
      </c>
      <c r="AP54" s="344" t="e">
        <f>Tabla1[[#This Row],[ponderacion_meta]]*AO54</f>
        <v>#REF!</v>
      </c>
      <c r="AQ54" s="354"/>
      <c r="AR54" s="378">
        <v>0</v>
      </c>
      <c r="AS54" s="9"/>
      <c r="AT54" s="521">
        <v>0</v>
      </c>
    </row>
    <row r="55" spans="1:46" x14ac:dyDescent="0.35">
      <c r="A55" s="236" t="s">
        <v>1149</v>
      </c>
      <c r="B55" s="398" t="s">
        <v>16</v>
      </c>
      <c r="C55" s="398" t="s">
        <v>1718</v>
      </c>
      <c r="D55" s="398" t="s">
        <v>1153</v>
      </c>
      <c r="E55" s="176" t="s">
        <v>17</v>
      </c>
      <c r="F55" s="155" t="s">
        <v>2591</v>
      </c>
      <c r="G55" s="155" t="s">
        <v>104</v>
      </c>
      <c r="H55" s="155" t="s">
        <v>1725</v>
      </c>
      <c r="I55" s="2" t="s">
        <v>137</v>
      </c>
      <c r="J55" s="264">
        <v>1.1627999999999999E-2</v>
      </c>
      <c r="K55" s="94" t="s">
        <v>138</v>
      </c>
      <c r="L55" s="115">
        <v>231952500</v>
      </c>
      <c r="M55" s="115">
        <v>0</v>
      </c>
      <c r="N55" s="429"/>
      <c r="O55" s="429" t="s">
        <v>2622</v>
      </c>
      <c r="P55" s="192">
        <v>0</v>
      </c>
      <c r="Q55" s="193">
        <v>0</v>
      </c>
      <c r="R55" s="193">
        <v>0</v>
      </c>
      <c r="S55" s="193">
        <v>1</v>
      </c>
      <c r="T55" s="193" t="s">
        <v>1224</v>
      </c>
      <c r="U55" s="6" t="s">
        <v>145</v>
      </c>
      <c r="V55" s="3">
        <v>0.1</v>
      </c>
      <c r="W55" s="6" t="s">
        <v>28</v>
      </c>
      <c r="X55" s="6"/>
      <c r="Y55" s="6" t="s">
        <v>2588</v>
      </c>
      <c r="Z55" s="251" t="s">
        <v>2568</v>
      </c>
      <c r="AA55" s="238">
        <f t="shared" si="0"/>
        <v>1.1628000000000001E-3</v>
      </c>
      <c r="AB55" s="252">
        <v>0</v>
      </c>
      <c r="AC55" s="278">
        <f>+(Tabla1[[#This Row],[Avance PDI]]*100%)/Tabla1[[#This Row],[ponderacion_meta]]</f>
        <v>0</v>
      </c>
      <c r="AD55" s="279">
        <v>0</v>
      </c>
      <c r="AE55" s="279">
        <v>0</v>
      </c>
      <c r="AF55" s="279">
        <v>0</v>
      </c>
      <c r="AG55" s="279">
        <v>1.1627999999999999E-2</v>
      </c>
      <c r="AH55" s="395">
        <f t="shared" si="7"/>
        <v>3.8811000000000002E-3</v>
      </c>
      <c r="AI55" s="395">
        <f t="shared" si="3"/>
        <v>3.6363636363636362E-2</v>
      </c>
      <c r="AJ55" s="319">
        <f t="shared" si="2"/>
        <v>3.6363636363636362E-2</v>
      </c>
      <c r="AK55" s="385">
        <v>3.8811000000000002E-3</v>
      </c>
      <c r="AL55" s="402">
        <f t="shared" si="4"/>
        <v>3.6363636363636362E-2</v>
      </c>
      <c r="AM55" s="325">
        <v>0</v>
      </c>
      <c r="AN55" s="411">
        <f t="shared" si="8"/>
        <v>0</v>
      </c>
      <c r="AO55" s="344" t="e">
        <f>+([1]!Tabla1[[#This Row],[ponderacion_accion]]/10)*AQ55</f>
        <v>#REF!</v>
      </c>
      <c r="AP55" s="344" t="e">
        <f>Tabla1[[#This Row],[ponderacion_meta]]*AO55</f>
        <v>#REF!</v>
      </c>
      <c r="AQ55" s="354"/>
      <c r="AR55" s="378">
        <v>0</v>
      </c>
      <c r="AS55" s="9"/>
      <c r="AT55" s="521">
        <v>0</v>
      </c>
    </row>
    <row r="56" spans="1:46" x14ac:dyDescent="0.35">
      <c r="A56" s="236" t="s">
        <v>1149</v>
      </c>
      <c r="B56" s="398" t="s">
        <v>16</v>
      </c>
      <c r="C56" s="398" t="s">
        <v>1718</v>
      </c>
      <c r="D56" s="398" t="s">
        <v>1153</v>
      </c>
      <c r="E56" s="176" t="s">
        <v>17</v>
      </c>
      <c r="F56" s="155" t="s">
        <v>2591</v>
      </c>
      <c r="G56" s="155" t="s">
        <v>104</v>
      </c>
      <c r="H56" s="155" t="s">
        <v>1725</v>
      </c>
      <c r="I56" s="2" t="s">
        <v>137</v>
      </c>
      <c r="J56" s="264">
        <v>1.1627999999999999E-2</v>
      </c>
      <c r="K56" s="94" t="s">
        <v>138</v>
      </c>
      <c r="L56" s="115">
        <v>231952500</v>
      </c>
      <c r="M56" s="115">
        <v>0</v>
      </c>
      <c r="N56" s="429"/>
      <c r="O56" s="429" t="s">
        <v>2622</v>
      </c>
      <c r="P56" s="192">
        <v>0</v>
      </c>
      <c r="Q56" s="193">
        <v>0</v>
      </c>
      <c r="R56" s="193">
        <v>0</v>
      </c>
      <c r="S56" s="193">
        <v>1</v>
      </c>
      <c r="T56" s="193" t="s">
        <v>1225</v>
      </c>
      <c r="U56" s="6" t="s">
        <v>146</v>
      </c>
      <c r="V56" s="3">
        <v>0.5</v>
      </c>
      <c r="W56" s="6" t="s">
        <v>147</v>
      </c>
      <c r="X56" s="6"/>
      <c r="Y56" s="6" t="s">
        <v>2588</v>
      </c>
      <c r="Z56" s="251" t="s">
        <v>2568</v>
      </c>
      <c r="AA56" s="238">
        <f t="shared" si="0"/>
        <v>5.8139999999999997E-3</v>
      </c>
      <c r="AB56" s="252">
        <v>0</v>
      </c>
      <c r="AC56" s="278">
        <f>+(Tabla1[[#This Row],[Avance PDI]]*100%)/Tabla1[[#This Row],[ponderacion_meta]]</f>
        <v>0</v>
      </c>
      <c r="AD56" s="279">
        <v>0</v>
      </c>
      <c r="AE56" s="279">
        <v>0</v>
      </c>
      <c r="AF56" s="279">
        <v>0</v>
      </c>
      <c r="AG56" s="279">
        <v>1.1627999999999999E-2</v>
      </c>
      <c r="AH56" s="395">
        <f t="shared" si="7"/>
        <v>3.8811000000000002E-3</v>
      </c>
      <c r="AI56" s="395">
        <f t="shared" si="3"/>
        <v>3.6363636363636362E-2</v>
      </c>
      <c r="AJ56" s="319">
        <f t="shared" si="2"/>
        <v>3.6363636363636362E-2</v>
      </c>
      <c r="AK56" s="385">
        <v>3.8811000000000002E-3</v>
      </c>
      <c r="AL56" s="402">
        <f t="shared" si="4"/>
        <v>3.6363636363636362E-2</v>
      </c>
      <c r="AM56" s="325">
        <v>0</v>
      </c>
      <c r="AN56" s="411">
        <f t="shared" si="8"/>
        <v>0</v>
      </c>
      <c r="AO56" s="345" t="e">
        <f>+([1]!Tabla1[[#This Row],[ponderacion_accion]]/50)*AQ56</f>
        <v>#REF!</v>
      </c>
      <c r="AP56" s="345" t="e">
        <f>Tabla1[[#This Row],[ponderacion_meta]]*AO56</f>
        <v>#REF!</v>
      </c>
      <c r="AQ56" s="357"/>
      <c r="AR56" s="379">
        <v>0</v>
      </c>
      <c r="AS56" s="9"/>
      <c r="AT56" s="521">
        <v>0</v>
      </c>
    </row>
    <row r="57" spans="1:46" ht="15" customHeight="1" x14ac:dyDescent="0.35">
      <c r="A57" s="236" t="s">
        <v>1150</v>
      </c>
      <c r="B57" s="237" t="s">
        <v>148</v>
      </c>
      <c r="C57" s="237" t="s">
        <v>1719</v>
      </c>
      <c r="D57" s="237" t="s">
        <v>1154</v>
      </c>
      <c r="E57" s="171" t="s">
        <v>149</v>
      </c>
      <c r="F57" s="156" t="s">
        <v>2592</v>
      </c>
      <c r="G57" s="156" t="s">
        <v>150</v>
      </c>
      <c r="H57" s="416" t="s">
        <v>1736</v>
      </c>
      <c r="I57" s="7" t="s">
        <v>151</v>
      </c>
      <c r="J57" s="265">
        <v>6.4939999999999998E-3</v>
      </c>
      <c r="K57" s="96" t="s">
        <v>152</v>
      </c>
      <c r="L57" s="117">
        <v>2761330174</v>
      </c>
      <c r="M57" s="117">
        <v>0</v>
      </c>
      <c r="N57" s="431"/>
      <c r="O57" s="431" t="s">
        <v>2622</v>
      </c>
      <c r="P57" s="194">
        <v>0</v>
      </c>
      <c r="Q57" s="195">
        <v>1</v>
      </c>
      <c r="R57" s="195">
        <v>2</v>
      </c>
      <c r="S57" s="195">
        <v>2</v>
      </c>
      <c r="T57" s="195" t="s">
        <v>1226</v>
      </c>
      <c r="U57" s="9" t="s">
        <v>153</v>
      </c>
      <c r="V57" s="11">
        <v>0.1</v>
      </c>
      <c r="W57" s="9" t="s">
        <v>154</v>
      </c>
      <c r="X57" s="9"/>
      <c r="Y57" s="7" t="s">
        <v>2587</v>
      </c>
      <c r="Z57" s="9" t="s">
        <v>2406</v>
      </c>
      <c r="AA57" s="239">
        <f t="shared" si="0"/>
        <v>6.4940000000000006E-4</v>
      </c>
      <c r="AB57" s="252">
        <v>0</v>
      </c>
      <c r="AC57" s="262">
        <f>+(Tabla1[[#This Row],[Avance PDI]]*100%)/Tabla1[[#This Row],[ponderacion_meta]]</f>
        <v>0</v>
      </c>
      <c r="AD57" s="257">
        <v>0</v>
      </c>
      <c r="AE57" s="257">
        <f>+Tabla1[[#This Row],[ponderacion_meta]]*20%</f>
        <v>1.2988000000000001E-3</v>
      </c>
      <c r="AF57" s="257">
        <f>+Tabla1[[#This Row],[ponderacion_meta]]*40%</f>
        <v>2.5976000000000003E-3</v>
      </c>
      <c r="AG57" s="257">
        <f>+Tabla1[[#This Row],[ponderacion_meta]]*40%</f>
        <v>2.5976000000000003E-3</v>
      </c>
      <c r="AH57" s="393">
        <f>+SUM(AB57:AB257)</f>
        <v>1.9088790000000005E-2</v>
      </c>
      <c r="AI57" s="318">
        <f>+SUM(AC57:AC257)/50</f>
        <v>4.2766666666666675E-2</v>
      </c>
      <c r="AJ57" s="318">
        <f>+SUM($AC$57:$AC$257)/50</f>
        <v>4.2766666666666675E-2</v>
      </c>
      <c r="AK57" s="386">
        <f>+SUM(AB57:AB92)</f>
        <v>5.7086000000000012E-3</v>
      </c>
      <c r="AL57" s="330">
        <f>+SUM(AC57:AC92)/7</f>
        <v>0.1142857142857143</v>
      </c>
      <c r="AM57" s="326">
        <f>+SUM(AB57:AB71)</f>
        <v>3.8964000000000004E-3</v>
      </c>
      <c r="AN57" s="410">
        <f>+SUM(AC57:AC71)/2</f>
        <v>0.30000000000000004</v>
      </c>
      <c r="AO57" s="358" t="e">
        <f>+([1]!Tabla1[[#This Row],[ponderacion_accion]]/5)*AQ57</f>
        <v>#REF!</v>
      </c>
      <c r="AP57" s="358" t="e">
        <f>Tabla1[[#This Row],[ponderacion_meta]]*AO57</f>
        <v>#REF!</v>
      </c>
      <c r="AQ57" s="361"/>
      <c r="AR57" s="380">
        <v>0</v>
      </c>
      <c r="AS57" s="7" t="e">
        <f>+((SUM(AO57:AO62)*100)/60)</f>
        <v>#REF!</v>
      </c>
      <c r="AT57" s="521">
        <v>0</v>
      </c>
    </row>
    <row r="58" spans="1:46" ht="15" customHeight="1" x14ac:dyDescent="0.35">
      <c r="A58" s="236" t="s">
        <v>1150</v>
      </c>
      <c r="B58" s="237" t="s">
        <v>148</v>
      </c>
      <c r="C58" s="237" t="s">
        <v>1719</v>
      </c>
      <c r="D58" s="237" t="s">
        <v>1154</v>
      </c>
      <c r="E58" s="171" t="s">
        <v>149</v>
      </c>
      <c r="F58" s="156" t="s">
        <v>2592</v>
      </c>
      <c r="G58" s="156" t="s">
        <v>150</v>
      </c>
      <c r="H58" s="156" t="s">
        <v>1736</v>
      </c>
      <c r="I58" s="7" t="s">
        <v>151</v>
      </c>
      <c r="J58" s="265">
        <v>6.4939999999999998E-3</v>
      </c>
      <c r="K58" s="96" t="s">
        <v>152</v>
      </c>
      <c r="L58" s="117">
        <v>2761330174</v>
      </c>
      <c r="M58" s="117">
        <v>0</v>
      </c>
      <c r="N58" s="431"/>
      <c r="O58" s="431" t="s">
        <v>2622</v>
      </c>
      <c r="P58" s="194">
        <v>0</v>
      </c>
      <c r="Q58" s="195">
        <v>1</v>
      </c>
      <c r="R58" s="195">
        <v>2</v>
      </c>
      <c r="S58" s="195">
        <v>2</v>
      </c>
      <c r="T58" s="195" t="s">
        <v>1227</v>
      </c>
      <c r="U58" s="9" t="s">
        <v>155</v>
      </c>
      <c r="V58" s="11">
        <v>0.25</v>
      </c>
      <c r="W58" s="9" t="s">
        <v>156</v>
      </c>
      <c r="X58" s="9"/>
      <c r="Y58" s="7" t="s">
        <v>2587</v>
      </c>
      <c r="Z58" s="9" t="s">
        <v>2406</v>
      </c>
      <c r="AA58" s="239">
        <f t="shared" si="0"/>
        <v>1.6234999999999999E-3</v>
      </c>
      <c r="AB58" s="252">
        <v>0</v>
      </c>
      <c r="AC58" s="262">
        <f>+(Tabla1[[#This Row],[Avance PDI]]*100%)/Tabla1[[#This Row],[ponderacion_meta]]</f>
        <v>0</v>
      </c>
      <c r="AD58" s="257">
        <v>0</v>
      </c>
      <c r="AE58" s="257">
        <v>1.2988000000000001E-3</v>
      </c>
      <c r="AF58" s="257">
        <v>2.5976000000000003E-3</v>
      </c>
      <c r="AG58" s="257">
        <v>2.5976000000000003E-3</v>
      </c>
      <c r="AH58" s="393">
        <f>$AH$57</f>
        <v>1.9088790000000005E-2</v>
      </c>
      <c r="AI58" s="393">
        <f>$AI$57</f>
        <v>4.2766666666666675E-2</v>
      </c>
      <c r="AJ58" s="318">
        <f t="shared" ref="AJ58:AJ121" si="9">+SUM($AC$57:$AC$257)/50</f>
        <v>4.2766666666666675E-2</v>
      </c>
      <c r="AK58" s="386">
        <v>5.7086000000000012E-3</v>
      </c>
      <c r="AL58" s="405">
        <f>$AL$57</f>
        <v>0.1142857142857143</v>
      </c>
      <c r="AM58" s="327">
        <v>0</v>
      </c>
      <c r="AN58" s="410">
        <f>$AN$57</f>
        <v>0.30000000000000004</v>
      </c>
      <c r="AO58" s="359" t="e">
        <f>+([1]!Tabla1[[#This Row],[ponderacion_accion]]/5)*AQ58</f>
        <v>#REF!</v>
      </c>
      <c r="AP58" s="359" t="e">
        <f>Tabla1[[#This Row],[ponderacion_meta]]*AO58</f>
        <v>#REF!</v>
      </c>
      <c r="AQ58" s="351"/>
      <c r="AR58" s="380">
        <v>0</v>
      </c>
      <c r="AS58" s="9"/>
      <c r="AT58" s="521">
        <v>0</v>
      </c>
    </row>
    <row r="59" spans="1:46" ht="15" customHeight="1" x14ac:dyDescent="0.35">
      <c r="A59" s="236" t="s">
        <v>1150</v>
      </c>
      <c r="B59" s="237" t="s">
        <v>148</v>
      </c>
      <c r="C59" s="237" t="s">
        <v>1719</v>
      </c>
      <c r="D59" s="237" t="s">
        <v>1154</v>
      </c>
      <c r="E59" s="171" t="s">
        <v>149</v>
      </c>
      <c r="F59" s="156" t="s">
        <v>2592</v>
      </c>
      <c r="G59" s="156" t="s">
        <v>150</v>
      </c>
      <c r="H59" s="156" t="s">
        <v>1736</v>
      </c>
      <c r="I59" s="7" t="s">
        <v>151</v>
      </c>
      <c r="J59" s="265">
        <v>6.4939999999999998E-3</v>
      </c>
      <c r="K59" s="96" t="s">
        <v>152</v>
      </c>
      <c r="L59" s="117">
        <v>2761330174</v>
      </c>
      <c r="M59" s="117">
        <v>0</v>
      </c>
      <c r="N59" s="431"/>
      <c r="O59" s="431" t="s">
        <v>2622</v>
      </c>
      <c r="P59" s="194">
        <v>0</v>
      </c>
      <c r="Q59" s="195">
        <v>1</v>
      </c>
      <c r="R59" s="195">
        <v>2</v>
      </c>
      <c r="S59" s="195">
        <v>2</v>
      </c>
      <c r="T59" s="195" t="s">
        <v>1228</v>
      </c>
      <c r="U59" s="9" t="s">
        <v>157</v>
      </c>
      <c r="V59" s="11">
        <v>0.15</v>
      </c>
      <c r="W59" s="9" t="s">
        <v>158</v>
      </c>
      <c r="X59" s="9"/>
      <c r="Y59" s="7" t="s">
        <v>2587</v>
      </c>
      <c r="Z59" s="9" t="s">
        <v>2406</v>
      </c>
      <c r="AA59" s="239">
        <f t="shared" si="0"/>
        <v>9.7409999999999988E-4</v>
      </c>
      <c r="AB59" s="252">
        <v>0</v>
      </c>
      <c r="AC59" s="262">
        <f>+(Tabla1[[#This Row],[Avance PDI]]*100%)/Tabla1[[#This Row],[ponderacion_meta]]</f>
        <v>0</v>
      </c>
      <c r="AD59" s="257">
        <v>0</v>
      </c>
      <c r="AE59" s="257">
        <v>1.2988000000000001E-3</v>
      </c>
      <c r="AF59" s="257">
        <v>2.5976000000000003E-3</v>
      </c>
      <c r="AG59" s="257">
        <v>2.5976000000000003E-3</v>
      </c>
      <c r="AH59" s="393">
        <f t="shared" ref="AH59:AH122" si="10">$AH$57</f>
        <v>1.9088790000000005E-2</v>
      </c>
      <c r="AI59" s="393">
        <f t="shared" ref="AI59:AI122" si="11">$AI$57</f>
        <v>4.2766666666666675E-2</v>
      </c>
      <c r="AJ59" s="318">
        <f t="shared" si="9"/>
        <v>4.2766666666666675E-2</v>
      </c>
      <c r="AK59" s="386">
        <v>5.7086000000000012E-3</v>
      </c>
      <c r="AL59" s="405">
        <f t="shared" ref="AL59:AL92" si="12">$AL$57</f>
        <v>0.1142857142857143</v>
      </c>
      <c r="AM59" s="327">
        <v>0</v>
      </c>
      <c r="AN59" s="410">
        <f t="shared" ref="AN59:AN71" si="13">$AN$57</f>
        <v>0.30000000000000004</v>
      </c>
      <c r="AO59" s="359" t="e">
        <f>+([1]!Tabla1[[#This Row],[ponderacion_accion]]/5)*AQ59</f>
        <v>#REF!</v>
      </c>
      <c r="AP59" s="359" t="e">
        <f>Tabla1[[#This Row],[ponderacion_meta]]*AO59</f>
        <v>#REF!</v>
      </c>
      <c r="AQ59" s="351"/>
      <c r="AR59" s="380">
        <v>0</v>
      </c>
      <c r="AS59" s="9"/>
      <c r="AT59" s="521">
        <v>0</v>
      </c>
    </row>
    <row r="60" spans="1:46" ht="15" customHeight="1" x14ac:dyDescent="0.35">
      <c r="A60" s="236" t="s">
        <v>1150</v>
      </c>
      <c r="B60" s="237" t="s">
        <v>148</v>
      </c>
      <c r="C60" s="237" t="s">
        <v>1719</v>
      </c>
      <c r="D60" s="237" t="s">
        <v>1154</v>
      </c>
      <c r="E60" s="171" t="s">
        <v>149</v>
      </c>
      <c r="F60" s="156" t="s">
        <v>2592</v>
      </c>
      <c r="G60" s="156" t="s">
        <v>150</v>
      </c>
      <c r="H60" s="156" t="s">
        <v>1736</v>
      </c>
      <c r="I60" s="7" t="s">
        <v>151</v>
      </c>
      <c r="J60" s="265">
        <v>6.4939999999999998E-3</v>
      </c>
      <c r="K60" s="96" t="s">
        <v>152</v>
      </c>
      <c r="L60" s="117">
        <v>2761330174</v>
      </c>
      <c r="M60" s="117">
        <v>0</v>
      </c>
      <c r="N60" s="431"/>
      <c r="O60" s="431" t="s">
        <v>2622</v>
      </c>
      <c r="P60" s="194">
        <v>0</v>
      </c>
      <c r="Q60" s="195">
        <v>1</v>
      </c>
      <c r="R60" s="195">
        <v>2</v>
      </c>
      <c r="S60" s="195">
        <v>2</v>
      </c>
      <c r="T60" s="195" t="s">
        <v>1229</v>
      </c>
      <c r="U60" s="9" t="s">
        <v>159</v>
      </c>
      <c r="V60" s="11">
        <v>0.05</v>
      </c>
      <c r="W60" s="9" t="s">
        <v>160</v>
      </c>
      <c r="X60" s="9"/>
      <c r="Y60" s="7" t="s">
        <v>2587</v>
      </c>
      <c r="Z60" s="9" t="s">
        <v>2406</v>
      </c>
      <c r="AA60" s="239">
        <f t="shared" si="0"/>
        <v>3.2470000000000003E-4</v>
      </c>
      <c r="AB60" s="252">
        <v>0</v>
      </c>
      <c r="AC60" s="262">
        <f>+(Tabla1[[#This Row],[Avance PDI]]*100%)/Tabla1[[#This Row],[ponderacion_meta]]</f>
        <v>0</v>
      </c>
      <c r="AD60" s="257">
        <v>0</v>
      </c>
      <c r="AE60" s="257">
        <v>1.2988000000000001E-3</v>
      </c>
      <c r="AF60" s="257">
        <v>2.5976000000000003E-3</v>
      </c>
      <c r="AG60" s="257">
        <v>2.5976000000000003E-3</v>
      </c>
      <c r="AH60" s="393">
        <f t="shared" si="10"/>
        <v>1.9088790000000005E-2</v>
      </c>
      <c r="AI60" s="393">
        <f t="shared" si="11"/>
        <v>4.2766666666666675E-2</v>
      </c>
      <c r="AJ60" s="318">
        <f t="shared" si="9"/>
        <v>4.2766666666666675E-2</v>
      </c>
      <c r="AK60" s="386">
        <v>5.7086000000000012E-3</v>
      </c>
      <c r="AL60" s="405">
        <f t="shared" si="12"/>
        <v>0.1142857142857143</v>
      </c>
      <c r="AM60" s="327">
        <v>0</v>
      </c>
      <c r="AN60" s="410">
        <f t="shared" si="13"/>
        <v>0.30000000000000004</v>
      </c>
      <c r="AO60" s="359" t="e">
        <f>+([1]!Tabla1[[#This Row],[ponderacion_accion]]/5)*AQ60</f>
        <v>#REF!</v>
      </c>
      <c r="AP60" s="359" t="e">
        <f>Tabla1[[#This Row],[ponderacion_meta]]*AO60</f>
        <v>#REF!</v>
      </c>
      <c r="AQ60" s="351"/>
      <c r="AR60" s="380">
        <v>0</v>
      </c>
      <c r="AS60" s="9"/>
      <c r="AT60" s="521">
        <v>0</v>
      </c>
    </row>
    <row r="61" spans="1:46" ht="15" customHeight="1" x14ac:dyDescent="0.35">
      <c r="A61" s="236" t="s">
        <v>1150</v>
      </c>
      <c r="B61" s="237" t="s">
        <v>148</v>
      </c>
      <c r="C61" s="237" t="s">
        <v>1719</v>
      </c>
      <c r="D61" s="237" t="s">
        <v>1154</v>
      </c>
      <c r="E61" s="171" t="s">
        <v>149</v>
      </c>
      <c r="F61" s="156" t="s">
        <v>2592</v>
      </c>
      <c r="G61" s="156" t="s">
        <v>150</v>
      </c>
      <c r="H61" s="156" t="s">
        <v>1736</v>
      </c>
      <c r="I61" s="7" t="s">
        <v>151</v>
      </c>
      <c r="J61" s="265">
        <v>6.4939999999999998E-3</v>
      </c>
      <c r="K61" s="96" t="s">
        <v>152</v>
      </c>
      <c r="L61" s="117">
        <v>2761330174</v>
      </c>
      <c r="M61" s="117">
        <v>0</v>
      </c>
      <c r="N61" s="431"/>
      <c r="O61" s="431" t="s">
        <v>2622</v>
      </c>
      <c r="P61" s="194">
        <v>0</v>
      </c>
      <c r="Q61" s="195">
        <v>1</v>
      </c>
      <c r="R61" s="195">
        <v>2</v>
      </c>
      <c r="S61" s="195">
        <v>2</v>
      </c>
      <c r="T61" s="195" t="s">
        <v>1230</v>
      </c>
      <c r="U61" s="9" t="s">
        <v>161</v>
      </c>
      <c r="V61" s="11">
        <v>0.05</v>
      </c>
      <c r="W61" s="9" t="s">
        <v>162</v>
      </c>
      <c r="X61" s="9"/>
      <c r="Y61" s="7" t="s">
        <v>2587</v>
      </c>
      <c r="Z61" s="9" t="s">
        <v>2148</v>
      </c>
      <c r="AA61" s="239">
        <f t="shared" si="0"/>
        <v>3.2470000000000003E-4</v>
      </c>
      <c r="AB61" s="252">
        <v>0</v>
      </c>
      <c r="AC61" s="262">
        <f>+(Tabla1[[#This Row],[Avance PDI]]*100%)/Tabla1[[#This Row],[ponderacion_meta]]</f>
        <v>0</v>
      </c>
      <c r="AD61" s="257">
        <v>0</v>
      </c>
      <c r="AE61" s="257">
        <v>1.2988000000000001E-3</v>
      </c>
      <c r="AF61" s="257">
        <v>2.5976000000000003E-3</v>
      </c>
      <c r="AG61" s="257">
        <v>2.5976000000000003E-3</v>
      </c>
      <c r="AH61" s="393">
        <f t="shared" si="10"/>
        <v>1.9088790000000005E-2</v>
      </c>
      <c r="AI61" s="393">
        <f t="shared" si="11"/>
        <v>4.2766666666666675E-2</v>
      </c>
      <c r="AJ61" s="318">
        <f t="shared" si="9"/>
        <v>4.2766666666666675E-2</v>
      </c>
      <c r="AK61" s="386">
        <v>5.7086000000000012E-3</v>
      </c>
      <c r="AL61" s="405">
        <f t="shared" si="12"/>
        <v>0.1142857142857143</v>
      </c>
      <c r="AM61" s="327">
        <v>0</v>
      </c>
      <c r="AN61" s="410">
        <f t="shared" si="13"/>
        <v>0.30000000000000004</v>
      </c>
      <c r="AO61" s="359" t="e">
        <f>+([1]!Tabla1[[#This Row],[ponderacion_accion]]/5)*AQ61</f>
        <v>#REF!</v>
      </c>
      <c r="AP61" s="359" t="e">
        <f>Tabla1[[#This Row],[ponderacion_meta]]*AO61</f>
        <v>#REF!</v>
      </c>
      <c r="AQ61" s="351"/>
      <c r="AR61" s="380">
        <v>0</v>
      </c>
      <c r="AS61" s="9"/>
      <c r="AT61" s="521">
        <v>0</v>
      </c>
    </row>
    <row r="62" spans="1:46" ht="15" customHeight="1" x14ac:dyDescent="0.35">
      <c r="A62" s="236" t="s">
        <v>1150</v>
      </c>
      <c r="B62" s="237" t="s">
        <v>148</v>
      </c>
      <c r="C62" s="237" t="s">
        <v>1719</v>
      </c>
      <c r="D62" s="237" t="s">
        <v>1154</v>
      </c>
      <c r="E62" s="171" t="s">
        <v>149</v>
      </c>
      <c r="F62" s="156" t="s">
        <v>2592</v>
      </c>
      <c r="G62" s="156" t="s">
        <v>150</v>
      </c>
      <c r="H62" s="156" t="s">
        <v>1736</v>
      </c>
      <c r="I62" s="7" t="s">
        <v>151</v>
      </c>
      <c r="J62" s="265">
        <v>6.4939999999999998E-3</v>
      </c>
      <c r="K62" s="96" t="s">
        <v>152</v>
      </c>
      <c r="L62" s="117">
        <v>2761330174</v>
      </c>
      <c r="M62" s="117">
        <v>0</v>
      </c>
      <c r="N62" s="431"/>
      <c r="O62" s="431" t="s">
        <v>2622</v>
      </c>
      <c r="P62" s="194">
        <v>0</v>
      </c>
      <c r="Q62" s="195">
        <v>1</v>
      </c>
      <c r="R62" s="195">
        <v>2</v>
      </c>
      <c r="S62" s="195">
        <v>2</v>
      </c>
      <c r="T62" s="195" t="s">
        <v>1231</v>
      </c>
      <c r="U62" s="9" t="s">
        <v>163</v>
      </c>
      <c r="V62" s="11">
        <v>0.4</v>
      </c>
      <c r="W62" s="9" t="s">
        <v>164</v>
      </c>
      <c r="X62" s="9"/>
      <c r="Y62" s="7" t="s">
        <v>2588</v>
      </c>
      <c r="Z62" s="9" t="s">
        <v>2406</v>
      </c>
      <c r="AA62" s="239">
        <f t="shared" si="0"/>
        <v>2.5976000000000003E-3</v>
      </c>
      <c r="AB62" s="252">
        <v>0</v>
      </c>
      <c r="AC62" s="262">
        <f>+(Tabla1[[#This Row],[Avance PDI]]*100%)/Tabla1[[#This Row],[ponderacion_meta]]</f>
        <v>0</v>
      </c>
      <c r="AD62" s="257">
        <v>0</v>
      </c>
      <c r="AE62" s="257">
        <v>1.2988000000000001E-3</v>
      </c>
      <c r="AF62" s="257">
        <v>2.5976000000000003E-3</v>
      </c>
      <c r="AG62" s="257">
        <v>2.5976000000000003E-3</v>
      </c>
      <c r="AH62" s="393">
        <f t="shared" si="10"/>
        <v>1.9088790000000005E-2</v>
      </c>
      <c r="AI62" s="393">
        <f t="shared" si="11"/>
        <v>4.2766666666666675E-2</v>
      </c>
      <c r="AJ62" s="318">
        <f t="shared" si="9"/>
        <v>4.2766666666666675E-2</v>
      </c>
      <c r="AK62" s="386">
        <v>5.7086000000000012E-3</v>
      </c>
      <c r="AL62" s="405">
        <f t="shared" si="12"/>
        <v>0.1142857142857143</v>
      </c>
      <c r="AM62" s="327">
        <v>0</v>
      </c>
      <c r="AN62" s="410">
        <f t="shared" si="13"/>
        <v>0.30000000000000004</v>
      </c>
      <c r="AO62" s="360" t="e">
        <f>+([1]!Tabla1[[#This Row],[ponderacion_accion]]/5)*AQ62</f>
        <v>#REF!</v>
      </c>
      <c r="AP62" s="360" t="e">
        <f>Tabla1[[#This Row],[ponderacion_meta]]*AO62</f>
        <v>#REF!</v>
      </c>
      <c r="AQ62" s="356"/>
      <c r="AR62" s="380">
        <v>0</v>
      </c>
      <c r="AS62" s="9"/>
      <c r="AT62" s="521">
        <v>0</v>
      </c>
    </row>
    <row r="63" spans="1:46" x14ac:dyDescent="0.35">
      <c r="A63" s="236" t="s">
        <v>1150</v>
      </c>
      <c r="B63" s="237" t="s">
        <v>148</v>
      </c>
      <c r="C63" s="237" t="s">
        <v>1719</v>
      </c>
      <c r="D63" s="237" t="s">
        <v>1154</v>
      </c>
      <c r="E63" s="171" t="s">
        <v>149</v>
      </c>
      <c r="F63" s="156" t="s">
        <v>2592</v>
      </c>
      <c r="G63" s="156" t="s">
        <v>150</v>
      </c>
      <c r="H63" s="156" t="s">
        <v>1736</v>
      </c>
      <c r="I63" s="2" t="s">
        <v>165</v>
      </c>
      <c r="J63" s="264">
        <v>6.4939999999999998E-3</v>
      </c>
      <c r="K63" s="6" t="s">
        <v>166</v>
      </c>
      <c r="L63" s="118">
        <v>627714440</v>
      </c>
      <c r="M63" s="118">
        <v>0</v>
      </c>
      <c r="N63" s="123"/>
      <c r="O63" s="123" t="s">
        <v>1753</v>
      </c>
      <c r="P63" s="183">
        <v>0</v>
      </c>
      <c r="Q63" s="184">
        <v>0.4</v>
      </c>
      <c r="R63" s="184">
        <v>0.4</v>
      </c>
      <c r="S63" s="184">
        <v>0.2</v>
      </c>
      <c r="T63" s="184" t="s">
        <v>1232</v>
      </c>
      <c r="U63" s="6" t="s">
        <v>167</v>
      </c>
      <c r="V63" s="10">
        <v>0.05</v>
      </c>
      <c r="W63" s="6" t="s">
        <v>168</v>
      </c>
      <c r="X63" s="6"/>
      <c r="Y63" s="2" t="s">
        <v>2587</v>
      </c>
      <c r="Z63" s="6" t="s">
        <v>2406</v>
      </c>
      <c r="AA63" s="238">
        <f t="shared" si="0"/>
        <v>3.2470000000000003E-4</v>
      </c>
      <c r="AB63" s="254">
        <f>+(Tabla1[[#This Row],[ponderacion_meta]]*Tabla1[[#This Row],[ponderacion_accion]])*60%</f>
        <v>1.9482000000000001E-4</v>
      </c>
      <c r="AC63" s="278">
        <f>+(Tabla1[[#This Row],[Avance PDI]]*100%)/Tabla1[[#This Row],[ponderacion_meta]]</f>
        <v>3.0000000000000002E-2</v>
      </c>
      <c r="AD63" s="279">
        <f>+Tabla1[[#This Row],[ponderacion_meta]]*Tabla1[[#This Row],[proyeccion_año1]]</f>
        <v>0</v>
      </c>
      <c r="AE63" s="279">
        <f>+Tabla1[[#This Row],[ponderacion_meta]]*Tabla1[[#This Row],[proyeccion_año2]]</f>
        <v>2.5976000000000003E-3</v>
      </c>
      <c r="AF63" s="279">
        <f>+Tabla1[[#This Row],[ponderacion_meta]]*Tabla1[[#This Row],[proyeccion_año3]]</f>
        <v>2.5976000000000003E-3</v>
      </c>
      <c r="AG63" s="279">
        <f>+Tabla1[[#This Row],[ponderacion_meta]]*Tabla1[[#This Row],[proyeccion_año4]]</f>
        <v>1.2988000000000001E-3</v>
      </c>
      <c r="AH63" s="393">
        <f t="shared" si="10"/>
        <v>1.9088790000000005E-2</v>
      </c>
      <c r="AI63" s="393">
        <f t="shared" si="11"/>
        <v>4.2766666666666675E-2</v>
      </c>
      <c r="AJ63" s="318">
        <f t="shared" si="9"/>
        <v>4.2766666666666675E-2</v>
      </c>
      <c r="AK63" s="386">
        <v>5.7086000000000012E-3</v>
      </c>
      <c r="AL63" s="405">
        <f t="shared" si="12"/>
        <v>0.1142857142857143</v>
      </c>
      <c r="AM63" s="327">
        <v>0</v>
      </c>
      <c r="AN63" s="410">
        <f t="shared" si="13"/>
        <v>0.30000000000000004</v>
      </c>
      <c r="AO63" s="343" t="e">
        <f>+([1]!Tabla1[[#This Row],[ponderacion_accion]]/5)*AQ63</f>
        <v>#REF!</v>
      </c>
      <c r="AP63" s="343" t="e">
        <f>Tabla1[[#This Row],[ponderacion_meta]]*AO63</f>
        <v>#REF!</v>
      </c>
      <c r="AQ63" s="353">
        <v>3</v>
      </c>
      <c r="AR63" s="377">
        <v>0</v>
      </c>
      <c r="AS63" s="515" t="e">
        <f>+((SUM(AO63:AO71)*100)/65)</f>
        <v>#REF!</v>
      </c>
      <c r="AT63" s="521">
        <v>0</v>
      </c>
    </row>
    <row r="64" spans="1:46" ht="13.5" customHeight="1" x14ac:dyDescent="0.35">
      <c r="A64" s="236" t="s">
        <v>1150</v>
      </c>
      <c r="B64" s="237" t="s">
        <v>148</v>
      </c>
      <c r="C64" s="237" t="s">
        <v>1719</v>
      </c>
      <c r="D64" s="237" t="s">
        <v>1154</v>
      </c>
      <c r="E64" s="171" t="s">
        <v>149</v>
      </c>
      <c r="F64" s="156" t="s">
        <v>2592</v>
      </c>
      <c r="G64" s="156" t="s">
        <v>150</v>
      </c>
      <c r="H64" s="156" t="s">
        <v>1736</v>
      </c>
      <c r="I64" s="2" t="s">
        <v>165</v>
      </c>
      <c r="J64" s="264">
        <v>6.4939999999999998E-3</v>
      </c>
      <c r="K64" s="6" t="s">
        <v>166</v>
      </c>
      <c r="L64" s="118">
        <v>627714440</v>
      </c>
      <c r="M64" s="118">
        <v>0</v>
      </c>
      <c r="N64" s="123"/>
      <c r="O64" s="123" t="s">
        <v>1753</v>
      </c>
      <c r="P64" s="183">
        <v>0</v>
      </c>
      <c r="Q64" s="184">
        <v>0.4</v>
      </c>
      <c r="R64" s="184">
        <v>0.4</v>
      </c>
      <c r="S64" s="184">
        <v>0.2</v>
      </c>
      <c r="T64" s="184" t="s">
        <v>1233</v>
      </c>
      <c r="U64" s="6" t="s">
        <v>169</v>
      </c>
      <c r="V64" s="10">
        <v>0.1</v>
      </c>
      <c r="W64" s="6" t="s">
        <v>170</v>
      </c>
      <c r="X64" s="6"/>
      <c r="Y64" s="2" t="s">
        <v>2587</v>
      </c>
      <c r="Z64" s="6" t="s">
        <v>2406</v>
      </c>
      <c r="AA64" s="238">
        <f t="shared" si="0"/>
        <v>6.4940000000000006E-4</v>
      </c>
      <c r="AB64" s="254">
        <f>+(Tabla1[[#This Row],[ponderacion_meta]]*Tabla1[[#This Row],[ponderacion_accion]])*60%</f>
        <v>3.8964000000000002E-4</v>
      </c>
      <c r="AC64" s="278">
        <f>+(Tabla1[[#This Row],[Avance PDI]]*100%)/Tabla1[[#This Row],[ponderacion_meta]]</f>
        <v>6.0000000000000005E-2</v>
      </c>
      <c r="AD64" s="279">
        <v>0</v>
      </c>
      <c r="AE64" s="279">
        <v>2.5976000000000003E-3</v>
      </c>
      <c r="AF64" s="279">
        <v>2.5976000000000003E-3</v>
      </c>
      <c r="AG64" s="279">
        <v>1.2988000000000001E-3</v>
      </c>
      <c r="AH64" s="393">
        <f t="shared" si="10"/>
        <v>1.9088790000000005E-2</v>
      </c>
      <c r="AI64" s="393">
        <f t="shared" si="11"/>
        <v>4.2766666666666675E-2</v>
      </c>
      <c r="AJ64" s="318">
        <f t="shared" si="9"/>
        <v>4.2766666666666675E-2</v>
      </c>
      <c r="AK64" s="386">
        <v>5.7086000000000012E-3</v>
      </c>
      <c r="AL64" s="405">
        <f t="shared" si="12"/>
        <v>0.1142857142857143</v>
      </c>
      <c r="AM64" s="327">
        <v>0</v>
      </c>
      <c r="AN64" s="410">
        <f t="shared" si="13"/>
        <v>0.30000000000000004</v>
      </c>
      <c r="AO64" s="344" t="e">
        <f>+([1]!Tabla1[[#This Row],[ponderacion_accion]]/5)*AQ64</f>
        <v>#REF!</v>
      </c>
      <c r="AP64" s="344" t="e">
        <f>Tabla1[[#This Row],[ponderacion_meta]]*AO64</f>
        <v>#REF!</v>
      </c>
      <c r="AQ64" s="354">
        <v>3</v>
      </c>
      <c r="AR64" s="378">
        <v>0</v>
      </c>
      <c r="AS64" s="9"/>
      <c r="AT64" s="521">
        <v>0</v>
      </c>
    </row>
    <row r="65" spans="1:46" ht="13.5" customHeight="1" x14ac:dyDescent="0.35">
      <c r="A65" s="236" t="s">
        <v>1150</v>
      </c>
      <c r="B65" s="237" t="s">
        <v>148</v>
      </c>
      <c r="C65" s="237" t="s">
        <v>1719</v>
      </c>
      <c r="D65" s="237" t="s">
        <v>1154</v>
      </c>
      <c r="E65" s="171" t="s">
        <v>149</v>
      </c>
      <c r="F65" s="156" t="s">
        <v>2592</v>
      </c>
      <c r="G65" s="156" t="s">
        <v>150</v>
      </c>
      <c r="H65" s="156" t="s">
        <v>1736</v>
      </c>
      <c r="I65" s="2" t="s">
        <v>165</v>
      </c>
      <c r="J65" s="264">
        <v>6.4939999999999998E-3</v>
      </c>
      <c r="K65" s="6" t="s">
        <v>166</v>
      </c>
      <c r="L65" s="118">
        <v>627714440</v>
      </c>
      <c r="M65" s="118">
        <v>0</v>
      </c>
      <c r="N65" s="123"/>
      <c r="O65" s="123" t="s">
        <v>1753</v>
      </c>
      <c r="P65" s="183">
        <v>0</v>
      </c>
      <c r="Q65" s="184">
        <v>0.4</v>
      </c>
      <c r="R65" s="184">
        <v>0.4</v>
      </c>
      <c r="S65" s="184">
        <v>0.2</v>
      </c>
      <c r="T65" s="184" t="s">
        <v>1234</v>
      </c>
      <c r="U65" s="6" t="s">
        <v>163</v>
      </c>
      <c r="V65" s="10">
        <v>0.1</v>
      </c>
      <c r="W65" s="6" t="s">
        <v>171</v>
      </c>
      <c r="X65" s="6"/>
      <c r="Y65" s="2" t="s">
        <v>2587</v>
      </c>
      <c r="Z65" s="6" t="s">
        <v>2406</v>
      </c>
      <c r="AA65" s="238">
        <f t="shared" si="0"/>
        <v>6.4940000000000006E-4</v>
      </c>
      <c r="AB65" s="254">
        <f>+(Tabla1[[#This Row],[ponderacion_meta]]*Tabla1[[#This Row],[ponderacion_accion]])*60%</f>
        <v>3.8964000000000002E-4</v>
      </c>
      <c r="AC65" s="278">
        <f>+(Tabla1[[#This Row],[Avance PDI]]*100%)/Tabla1[[#This Row],[ponderacion_meta]]</f>
        <v>6.0000000000000005E-2</v>
      </c>
      <c r="AD65" s="279">
        <v>0</v>
      </c>
      <c r="AE65" s="279">
        <v>2.5976000000000003E-3</v>
      </c>
      <c r="AF65" s="279">
        <v>2.5976000000000003E-3</v>
      </c>
      <c r="AG65" s="279">
        <v>1.2988000000000001E-3</v>
      </c>
      <c r="AH65" s="393">
        <f t="shared" si="10"/>
        <v>1.9088790000000005E-2</v>
      </c>
      <c r="AI65" s="393">
        <f t="shared" si="11"/>
        <v>4.2766666666666675E-2</v>
      </c>
      <c r="AJ65" s="318">
        <f t="shared" si="9"/>
        <v>4.2766666666666675E-2</v>
      </c>
      <c r="AK65" s="386">
        <v>5.7086000000000012E-3</v>
      </c>
      <c r="AL65" s="405">
        <f t="shared" si="12"/>
        <v>0.1142857142857143</v>
      </c>
      <c r="AM65" s="327">
        <v>0</v>
      </c>
      <c r="AN65" s="410">
        <f t="shared" si="13"/>
        <v>0.30000000000000004</v>
      </c>
      <c r="AO65" s="344" t="e">
        <f>+([1]!Tabla1[[#This Row],[ponderacion_accion]]/5)*AQ65</f>
        <v>#REF!</v>
      </c>
      <c r="AP65" s="344" t="e">
        <f>Tabla1[[#This Row],[ponderacion_meta]]*AO65</f>
        <v>#REF!</v>
      </c>
      <c r="AQ65" s="354">
        <v>3</v>
      </c>
      <c r="AR65" s="378">
        <v>0</v>
      </c>
      <c r="AS65" s="9"/>
      <c r="AT65" s="521">
        <v>0</v>
      </c>
    </row>
    <row r="66" spans="1:46" ht="13.5" customHeight="1" x14ac:dyDescent="0.35">
      <c r="A66" s="236" t="s">
        <v>1150</v>
      </c>
      <c r="B66" s="237" t="s">
        <v>148</v>
      </c>
      <c r="C66" s="237" t="s">
        <v>1719</v>
      </c>
      <c r="D66" s="237" t="s">
        <v>1154</v>
      </c>
      <c r="E66" s="171" t="s">
        <v>149</v>
      </c>
      <c r="F66" s="156" t="s">
        <v>2592</v>
      </c>
      <c r="G66" s="156" t="s">
        <v>150</v>
      </c>
      <c r="H66" s="156" t="s">
        <v>1736</v>
      </c>
      <c r="I66" s="2" t="s">
        <v>165</v>
      </c>
      <c r="J66" s="264">
        <v>6.4939999999999998E-3</v>
      </c>
      <c r="K66" s="6" t="s">
        <v>166</v>
      </c>
      <c r="L66" s="118">
        <v>627714440</v>
      </c>
      <c r="M66" s="118">
        <v>0</v>
      </c>
      <c r="N66" s="123"/>
      <c r="O66" s="123" t="s">
        <v>1753</v>
      </c>
      <c r="P66" s="183">
        <v>0</v>
      </c>
      <c r="Q66" s="184">
        <v>0.4</v>
      </c>
      <c r="R66" s="184">
        <v>0.4</v>
      </c>
      <c r="S66" s="184">
        <v>0.2</v>
      </c>
      <c r="T66" s="184" t="s">
        <v>1235</v>
      </c>
      <c r="U66" s="6" t="s">
        <v>172</v>
      </c>
      <c r="V66" s="10">
        <v>0.1</v>
      </c>
      <c r="W66" s="6" t="s">
        <v>173</v>
      </c>
      <c r="X66" s="6"/>
      <c r="Y66" s="2" t="s">
        <v>2587</v>
      </c>
      <c r="Z66" s="6" t="s">
        <v>2406</v>
      </c>
      <c r="AA66" s="238">
        <f t="shared" ref="AA66:AA129" si="14">+J66*V66</f>
        <v>6.4940000000000006E-4</v>
      </c>
      <c r="AB66" s="254">
        <f>+(Tabla1[[#This Row],[ponderacion_meta]]*Tabla1[[#This Row],[ponderacion_accion]])*60%</f>
        <v>3.8964000000000002E-4</v>
      </c>
      <c r="AC66" s="278">
        <f>+(Tabla1[[#This Row],[Avance PDI]]*100%)/Tabla1[[#This Row],[ponderacion_meta]]</f>
        <v>6.0000000000000005E-2</v>
      </c>
      <c r="AD66" s="279">
        <v>0</v>
      </c>
      <c r="AE66" s="279">
        <v>2.5976000000000003E-3</v>
      </c>
      <c r="AF66" s="279">
        <v>2.5976000000000003E-3</v>
      </c>
      <c r="AG66" s="279">
        <v>1.2988000000000001E-3</v>
      </c>
      <c r="AH66" s="393">
        <f t="shared" si="10"/>
        <v>1.9088790000000005E-2</v>
      </c>
      <c r="AI66" s="393">
        <f t="shared" si="11"/>
        <v>4.2766666666666675E-2</v>
      </c>
      <c r="AJ66" s="318">
        <f t="shared" si="9"/>
        <v>4.2766666666666675E-2</v>
      </c>
      <c r="AK66" s="386">
        <v>5.7086000000000012E-3</v>
      </c>
      <c r="AL66" s="405">
        <f t="shared" si="12"/>
        <v>0.1142857142857143</v>
      </c>
      <c r="AM66" s="327">
        <v>0</v>
      </c>
      <c r="AN66" s="410">
        <f t="shared" si="13"/>
        <v>0.30000000000000004</v>
      </c>
      <c r="AO66" s="344" t="e">
        <f>+([1]!Tabla1[[#This Row],[ponderacion_accion]]/5)*AQ66</f>
        <v>#REF!</v>
      </c>
      <c r="AP66" s="344" t="e">
        <f>Tabla1[[#This Row],[ponderacion_meta]]*AO66</f>
        <v>#REF!</v>
      </c>
      <c r="AQ66" s="354">
        <v>3</v>
      </c>
      <c r="AR66" s="378">
        <v>0</v>
      </c>
      <c r="AS66" s="9"/>
      <c r="AT66" s="521">
        <v>0</v>
      </c>
    </row>
    <row r="67" spans="1:46" ht="13.5" customHeight="1" x14ac:dyDescent="0.35">
      <c r="A67" s="236" t="s">
        <v>1150</v>
      </c>
      <c r="B67" s="237" t="s">
        <v>148</v>
      </c>
      <c r="C67" s="237" t="s">
        <v>1719</v>
      </c>
      <c r="D67" s="237" t="s">
        <v>1154</v>
      </c>
      <c r="E67" s="171" t="s">
        <v>149</v>
      </c>
      <c r="F67" s="156" t="s">
        <v>2592</v>
      </c>
      <c r="G67" s="156" t="s">
        <v>150</v>
      </c>
      <c r="H67" s="156" t="s">
        <v>1736</v>
      </c>
      <c r="I67" s="2" t="s">
        <v>165</v>
      </c>
      <c r="J67" s="264">
        <v>6.4939999999999998E-3</v>
      </c>
      <c r="K67" s="6" t="s">
        <v>166</v>
      </c>
      <c r="L67" s="118">
        <v>627714440</v>
      </c>
      <c r="M67" s="118">
        <v>0</v>
      </c>
      <c r="N67" s="123"/>
      <c r="O67" s="123" t="s">
        <v>1753</v>
      </c>
      <c r="P67" s="183">
        <v>0</v>
      </c>
      <c r="Q67" s="184">
        <v>0.4</v>
      </c>
      <c r="R67" s="184">
        <v>0.4</v>
      </c>
      <c r="S67" s="184">
        <v>0.2</v>
      </c>
      <c r="T67" s="184" t="s">
        <v>1236</v>
      </c>
      <c r="U67" s="6" t="s">
        <v>174</v>
      </c>
      <c r="V67" s="10">
        <v>0.1</v>
      </c>
      <c r="W67" s="6" t="s">
        <v>175</v>
      </c>
      <c r="X67" s="6"/>
      <c r="Y67" s="2" t="s">
        <v>2587</v>
      </c>
      <c r="Z67" s="6" t="s">
        <v>2406</v>
      </c>
      <c r="AA67" s="238">
        <f t="shared" si="14"/>
        <v>6.4940000000000006E-4</v>
      </c>
      <c r="AB67" s="254">
        <f>+(Tabla1[[#This Row],[ponderacion_meta]]*Tabla1[[#This Row],[ponderacion_accion]])*60%</f>
        <v>3.8964000000000002E-4</v>
      </c>
      <c r="AC67" s="278">
        <f>+(Tabla1[[#This Row],[Avance PDI]]*100%)/Tabla1[[#This Row],[ponderacion_meta]]</f>
        <v>6.0000000000000005E-2</v>
      </c>
      <c r="AD67" s="279">
        <v>0</v>
      </c>
      <c r="AE67" s="279">
        <v>2.5976000000000003E-3</v>
      </c>
      <c r="AF67" s="279">
        <v>2.5976000000000003E-3</v>
      </c>
      <c r="AG67" s="279">
        <v>1.2988000000000001E-3</v>
      </c>
      <c r="AH67" s="393">
        <f t="shared" si="10"/>
        <v>1.9088790000000005E-2</v>
      </c>
      <c r="AI67" s="393">
        <f t="shared" si="11"/>
        <v>4.2766666666666675E-2</v>
      </c>
      <c r="AJ67" s="318">
        <f t="shared" si="9"/>
        <v>4.2766666666666675E-2</v>
      </c>
      <c r="AK67" s="386">
        <v>5.7086000000000012E-3</v>
      </c>
      <c r="AL67" s="405">
        <f t="shared" si="12"/>
        <v>0.1142857142857143</v>
      </c>
      <c r="AM67" s="327">
        <v>0</v>
      </c>
      <c r="AN67" s="410">
        <f t="shared" si="13"/>
        <v>0.30000000000000004</v>
      </c>
      <c r="AO67" s="344" t="e">
        <f>+([1]!Tabla1[[#This Row],[ponderacion_accion]]/5)*AQ67</f>
        <v>#REF!</v>
      </c>
      <c r="AP67" s="344" t="e">
        <f>Tabla1[[#This Row],[ponderacion_meta]]*AO67</f>
        <v>#REF!</v>
      </c>
      <c r="AQ67" s="354">
        <v>3</v>
      </c>
      <c r="AR67" s="378">
        <v>0</v>
      </c>
      <c r="AS67" s="9"/>
      <c r="AT67" s="521">
        <v>0</v>
      </c>
    </row>
    <row r="68" spans="1:46" ht="13.5" customHeight="1" x14ac:dyDescent="0.35">
      <c r="A68" s="236" t="s">
        <v>1150</v>
      </c>
      <c r="B68" s="237" t="s">
        <v>148</v>
      </c>
      <c r="C68" s="237" t="s">
        <v>1719</v>
      </c>
      <c r="D68" s="237" t="s">
        <v>1154</v>
      </c>
      <c r="E68" s="171" t="s">
        <v>149</v>
      </c>
      <c r="F68" s="156" t="s">
        <v>2592</v>
      </c>
      <c r="G68" s="156" t="s">
        <v>150</v>
      </c>
      <c r="H68" s="156" t="s">
        <v>1736</v>
      </c>
      <c r="I68" s="2" t="s">
        <v>165</v>
      </c>
      <c r="J68" s="264">
        <v>6.4939999999999998E-3</v>
      </c>
      <c r="K68" s="6" t="s">
        <v>166</v>
      </c>
      <c r="L68" s="118">
        <v>627714440</v>
      </c>
      <c r="M68" s="118">
        <v>0</v>
      </c>
      <c r="N68" s="123"/>
      <c r="O68" s="123" t="s">
        <v>1753</v>
      </c>
      <c r="P68" s="183">
        <v>0</v>
      </c>
      <c r="Q68" s="184">
        <v>0.4</v>
      </c>
      <c r="R68" s="184">
        <v>0.4</v>
      </c>
      <c r="S68" s="184">
        <v>0.2</v>
      </c>
      <c r="T68" s="184" t="s">
        <v>1237</v>
      </c>
      <c r="U68" s="6" t="s">
        <v>176</v>
      </c>
      <c r="V68" s="10">
        <v>0.1</v>
      </c>
      <c r="W68" s="6" t="s">
        <v>177</v>
      </c>
      <c r="X68" s="6"/>
      <c r="Y68" s="2" t="s">
        <v>2587</v>
      </c>
      <c r="Z68" s="6" t="s">
        <v>2406</v>
      </c>
      <c r="AA68" s="238">
        <f t="shared" si="14"/>
        <v>6.4940000000000006E-4</v>
      </c>
      <c r="AB68" s="254">
        <f>+(Tabla1[[#This Row],[ponderacion_meta]]*Tabla1[[#This Row],[ponderacion_accion]])*60%</f>
        <v>3.8964000000000002E-4</v>
      </c>
      <c r="AC68" s="278">
        <f>+(Tabla1[[#This Row],[Avance PDI]]*100%)/Tabla1[[#This Row],[ponderacion_meta]]</f>
        <v>6.0000000000000005E-2</v>
      </c>
      <c r="AD68" s="279">
        <v>0</v>
      </c>
      <c r="AE68" s="279">
        <v>2.5976000000000003E-3</v>
      </c>
      <c r="AF68" s="279">
        <v>2.5976000000000003E-3</v>
      </c>
      <c r="AG68" s="279">
        <v>1.2988000000000001E-3</v>
      </c>
      <c r="AH68" s="393">
        <f t="shared" si="10"/>
        <v>1.9088790000000005E-2</v>
      </c>
      <c r="AI68" s="393">
        <f t="shared" si="11"/>
        <v>4.2766666666666675E-2</v>
      </c>
      <c r="AJ68" s="318">
        <f t="shared" si="9"/>
        <v>4.2766666666666675E-2</v>
      </c>
      <c r="AK68" s="386">
        <v>5.7086000000000012E-3</v>
      </c>
      <c r="AL68" s="405">
        <f t="shared" si="12"/>
        <v>0.1142857142857143</v>
      </c>
      <c r="AM68" s="327">
        <v>0</v>
      </c>
      <c r="AN68" s="410">
        <f t="shared" si="13"/>
        <v>0.30000000000000004</v>
      </c>
      <c r="AO68" s="344" t="e">
        <f>+([1]!Tabla1[[#This Row],[ponderacion_accion]]/5)*AQ68</f>
        <v>#REF!</v>
      </c>
      <c r="AP68" s="344" t="e">
        <f>Tabla1[[#This Row],[ponderacion_meta]]*AO68</f>
        <v>#REF!</v>
      </c>
      <c r="AQ68" s="354">
        <v>3</v>
      </c>
      <c r="AR68" s="378">
        <v>0</v>
      </c>
      <c r="AS68" s="9"/>
      <c r="AT68" s="521">
        <v>0</v>
      </c>
    </row>
    <row r="69" spans="1:46" ht="13.5" customHeight="1" x14ac:dyDescent="0.35">
      <c r="A69" s="236" t="s">
        <v>1150</v>
      </c>
      <c r="B69" s="237" t="s">
        <v>148</v>
      </c>
      <c r="C69" s="237" t="s">
        <v>1719</v>
      </c>
      <c r="D69" s="237" t="s">
        <v>1154</v>
      </c>
      <c r="E69" s="171" t="s">
        <v>149</v>
      </c>
      <c r="F69" s="156" t="s">
        <v>2592</v>
      </c>
      <c r="G69" s="156" t="s">
        <v>150</v>
      </c>
      <c r="H69" s="156" t="s">
        <v>1736</v>
      </c>
      <c r="I69" s="2" t="s">
        <v>165</v>
      </c>
      <c r="J69" s="264">
        <v>6.4939999999999998E-3</v>
      </c>
      <c r="K69" s="6" t="s">
        <v>166</v>
      </c>
      <c r="L69" s="118">
        <v>627714440</v>
      </c>
      <c r="M69" s="118">
        <v>0</v>
      </c>
      <c r="N69" s="123"/>
      <c r="O69" s="123" t="s">
        <v>1753</v>
      </c>
      <c r="P69" s="183">
        <v>0</v>
      </c>
      <c r="Q69" s="184">
        <v>0.4</v>
      </c>
      <c r="R69" s="184">
        <v>0.4</v>
      </c>
      <c r="S69" s="184">
        <v>0.2</v>
      </c>
      <c r="T69" s="184" t="s">
        <v>1238</v>
      </c>
      <c r="U69" s="6" t="s">
        <v>178</v>
      </c>
      <c r="V69" s="10">
        <v>0.05</v>
      </c>
      <c r="W69" s="6" t="s">
        <v>179</v>
      </c>
      <c r="X69" s="6"/>
      <c r="Y69" s="2" t="s">
        <v>2587</v>
      </c>
      <c r="Z69" s="6" t="s">
        <v>2406</v>
      </c>
      <c r="AA69" s="238">
        <f t="shared" si="14"/>
        <v>3.2470000000000003E-4</v>
      </c>
      <c r="AB69" s="254">
        <f>+(Tabla1[[#This Row],[ponderacion_meta]]*Tabla1[[#This Row],[ponderacion_accion]])*60%</f>
        <v>1.9482000000000001E-4</v>
      </c>
      <c r="AC69" s="278">
        <f>+(Tabla1[[#This Row],[Avance PDI]]*100%)/Tabla1[[#This Row],[ponderacion_meta]]</f>
        <v>3.0000000000000002E-2</v>
      </c>
      <c r="AD69" s="279">
        <v>0</v>
      </c>
      <c r="AE69" s="279">
        <v>2.5976000000000003E-3</v>
      </c>
      <c r="AF69" s="279">
        <v>2.5976000000000003E-3</v>
      </c>
      <c r="AG69" s="279">
        <v>1.2988000000000001E-3</v>
      </c>
      <c r="AH69" s="393">
        <f t="shared" si="10"/>
        <v>1.9088790000000005E-2</v>
      </c>
      <c r="AI69" s="393">
        <f t="shared" si="11"/>
        <v>4.2766666666666675E-2</v>
      </c>
      <c r="AJ69" s="318">
        <f t="shared" si="9"/>
        <v>4.2766666666666675E-2</v>
      </c>
      <c r="AK69" s="386">
        <v>5.7086000000000012E-3</v>
      </c>
      <c r="AL69" s="405">
        <f t="shared" si="12"/>
        <v>0.1142857142857143</v>
      </c>
      <c r="AM69" s="327">
        <v>0</v>
      </c>
      <c r="AN69" s="410">
        <f t="shared" si="13"/>
        <v>0.30000000000000004</v>
      </c>
      <c r="AO69" s="344" t="e">
        <f>+([1]!Tabla1[[#This Row],[ponderacion_accion]]/5)*AQ69</f>
        <v>#REF!</v>
      </c>
      <c r="AP69" s="344" t="e">
        <f>Tabla1[[#This Row],[ponderacion_meta]]*AO69</f>
        <v>#REF!</v>
      </c>
      <c r="AQ69" s="354">
        <v>3</v>
      </c>
      <c r="AR69" s="378">
        <v>0</v>
      </c>
      <c r="AS69" s="9"/>
      <c r="AT69" s="521">
        <v>0</v>
      </c>
    </row>
    <row r="70" spans="1:46" ht="13.5" customHeight="1" x14ac:dyDescent="0.35">
      <c r="A70" s="236" t="s">
        <v>1150</v>
      </c>
      <c r="B70" s="237" t="s">
        <v>148</v>
      </c>
      <c r="C70" s="237" t="s">
        <v>1719</v>
      </c>
      <c r="D70" s="237" t="s">
        <v>1154</v>
      </c>
      <c r="E70" s="171" t="s">
        <v>149</v>
      </c>
      <c r="F70" s="156" t="s">
        <v>2592</v>
      </c>
      <c r="G70" s="156" t="s">
        <v>150</v>
      </c>
      <c r="H70" s="156" t="s">
        <v>1736</v>
      </c>
      <c r="I70" s="2" t="s">
        <v>165</v>
      </c>
      <c r="J70" s="264">
        <v>6.4939999999999998E-3</v>
      </c>
      <c r="K70" s="6" t="s">
        <v>166</v>
      </c>
      <c r="L70" s="118">
        <v>627714440</v>
      </c>
      <c r="M70" s="118">
        <v>0</v>
      </c>
      <c r="N70" s="123"/>
      <c r="O70" s="123" t="s">
        <v>1753</v>
      </c>
      <c r="P70" s="183">
        <v>0</v>
      </c>
      <c r="Q70" s="184">
        <v>0.4</v>
      </c>
      <c r="R70" s="184">
        <v>0.4</v>
      </c>
      <c r="S70" s="184">
        <v>0.2</v>
      </c>
      <c r="T70" s="184" t="s">
        <v>1239</v>
      </c>
      <c r="U70" s="6" t="s">
        <v>180</v>
      </c>
      <c r="V70" s="10">
        <v>0.05</v>
      </c>
      <c r="W70" s="6" t="s">
        <v>181</v>
      </c>
      <c r="X70" s="6"/>
      <c r="Y70" s="2" t="s">
        <v>2587</v>
      </c>
      <c r="Z70" s="6" t="s">
        <v>2406</v>
      </c>
      <c r="AA70" s="238">
        <f t="shared" si="14"/>
        <v>3.2470000000000003E-4</v>
      </c>
      <c r="AB70" s="254">
        <f>+(Tabla1[[#This Row],[ponderacion_meta]]*Tabla1[[#This Row],[ponderacion_accion]])*60%</f>
        <v>1.9482000000000001E-4</v>
      </c>
      <c r="AC70" s="278">
        <f>+(Tabla1[[#This Row],[Avance PDI]]*100%)/Tabla1[[#This Row],[ponderacion_meta]]</f>
        <v>3.0000000000000002E-2</v>
      </c>
      <c r="AD70" s="279">
        <v>0</v>
      </c>
      <c r="AE70" s="279">
        <v>2.5976000000000003E-3</v>
      </c>
      <c r="AF70" s="279">
        <v>2.5976000000000003E-3</v>
      </c>
      <c r="AG70" s="279">
        <v>1.2988000000000001E-3</v>
      </c>
      <c r="AH70" s="393">
        <f t="shared" si="10"/>
        <v>1.9088790000000005E-2</v>
      </c>
      <c r="AI70" s="393">
        <f t="shared" si="11"/>
        <v>4.2766666666666675E-2</v>
      </c>
      <c r="AJ70" s="318">
        <f t="shared" si="9"/>
        <v>4.2766666666666675E-2</v>
      </c>
      <c r="AK70" s="386">
        <v>5.7086000000000012E-3</v>
      </c>
      <c r="AL70" s="405">
        <f t="shared" si="12"/>
        <v>0.1142857142857143</v>
      </c>
      <c r="AM70" s="327">
        <v>0</v>
      </c>
      <c r="AN70" s="410">
        <f t="shared" si="13"/>
        <v>0.30000000000000004</v>
      </c>
      <c r="AO70" s="344" t="e">
        <f>+([1]!Tabla1[[#This Row],[ponderacion_accion]]/5)*AQ70</f>
        <v>#REF!</v>
      </c>
      <c r="AP70" s="344" t="e">
        <f>Tabla1[[#This Row],[ponderacion_meta]]*AO70</f>
        <v>#REF!</v>
      </c>
      <c r="AQ70" s="354">
        <v>3</v>
      </c>
      <c r="AR70" s="378">
        <v>0</v>
      </c>
      <c r="AS70" s="9"/>
      <c r="AT70" s="521">
        <v>0</v>
      </c>
    </row>
    <row r="71" spans="1:46" ht="14.25" customHeight="1" x14ac:dyDescent="0.35">
      <c r="A71" s="236" t="s">
        <v>1150</v>
      </c>
      <c r="B71" s="237" t="s">
        <v>148</v>
      </c>
      <c r="C71" s="237" t="s">
        <v>1719</v>
      </c>
      <c r="D71" s="237" t="s">
        <v>1154</v>
      </c>
      <c r="E71" s="171" t="s">
        <v>149</v>
      </c>
      <c r="F71" s="156" t="s">
        <v>2592</v>
      </c>
      <c r="G71" s="156" t="s">
        <v>150</v>
      </c>
      <c r="H71" s="156" t="s">
        <v>1736</v>
      </c>
      <c r="I71" s="2" t="s">
        <v>165</v>
      </c>
      <c r="J71" s="264">
        <v>6.4939999999999998E-3</v>
      </c>
      <c r="K71" s="6" t="s">
        <v>166</v>
      </c>
      <c r="L71" s="118">
        <v>627714440</v>
      </c>
      <c r="M71" s="118">
        <v>0</v>
      </c>
      <c r="N71" s="123"/>
      <c r="O71" s="123" t="s">
        <v>1753</v>
      </c>
      <c r="P71" s="183">
        <v>0</v>
      </c>
      <c r="Q71" s="184">
        <v>0.4</v>
      </c>
      <c r="R71" s="184">
        <v>0.4</v>
      </c>
      <c r="S71" s="184">
        <v>0.2</v>
      </c>
      <c r="T71" s="184" t="s">
        <v>1240</v>
      </c>
      <c r="U71" s="6" t="s">
        <v>163</v>
      </c>
      <c r="V71" s="10">
        <v>0.35</v>
      </c>
      <c r="W71" s="6" t="s">
        <v>182</v>
      </c>
      <c r="X71" s="6"/>
      <c r="Y71" s="2" t="s">
        <v>2588</v>
      </c>
      <c r="Z71" s="6" t="s">
        <v>2406</v>
      </c>
      <c r="AA71" s="238">
        <f t="shared" si="14"/>
        <v>2.2728999999999996E-3</v>
      </c>
      <c r="AB71" s="254">
        <f>+(Tabla1[[#This Row],[ponderacion_meta]]*Tabla1[[#This Row],[ponderacion_accion]])*60%</f>
        <v>1.3637399999999998E-3</v>
      </c>
      <c r="AC71" s="278">
        <f>+(Tabla1[[#This Row],[Avance PDI]]*100%)/Tabla1[[#This Row],[ponderacion_meta]]</f>
        <v>0.20999999999999996</v>
      </c>
      <c r="AD71" s="279">
        <v>0</v>
      </c>
      <c r="AE71" s="279">
        <v>2.5976000000000003E-3</v>
      </c>
      <c r="AF71" s="279">
        <v>2.5976000000000003E-3</v>
      </c>
      <c r="AG71" s="279">
        <v>1.2988000000000001E-3</v>
      </c>
      <c r="AH71" s="393">
        <f t="shared" si="10"/>
        <v>1.9088790000000005E-2</v>
      </c>
      <c r="AI71" s="393">
        <f t="shared" si="11"/>
        <v>4.2766666666666675E-2</v>
      </c>
      <c r="AJ71" s="318">
        <f t="shared" si="9"/>
        <v>4.2766666666666675E-2</v>
      </c>
      <c r="AK71" s="386">
        <v>5.7086000000000012E-3</v>
      </c>
      <c r="AL71" s="405">
        <f t="shared" si="12"/>
        <v>0.1142857142857143</v>
      </c>
      <c r="AM71" s="327">
        <v>0</v>
      </c>
      <c r="AN71" s="410">
        <f t="shared" si="13"/>
        <v>0.30000000000000004</v>
      </c>
      <c r="AO71" s="345" t="e">
        <f>+([1]!Tabla1[[#This Row],[ponderacion_accion]]/5)*AQ71</f>
        <v>#REF!</v>
      </c>
      <c r="AP71" s="345" t="e">
        <f>Tabla1[[#This Row],[ponderacion_meta]]*AO71</f>
        <v>#REF!</v>
      </c>
      <c r="AQ71" s="357">
        <v>3</v>
      </c>
      <c r="AR71" s="379">
        <v>0</v>
      </c>
      <c r="AS71" s="9"/>
      <c r="AT71" s="521">
        <v>0</v>
      </c>
    </row>
    <row r="72" spans="1:46" x14ac:dyDescent="0.35">
      <c r="A72" s="236" t="s">
        <v>1150</v>
      </c>
      <c r="B72" s="237" t="s">
        <v>148</v>
      </c>
      <c r="C72" s="237" t="s">
        <v>1719</v>
      </c>
      <c r="D72" s="237" t="s">
        <v>1154</v>
      </c>
      <c r="E72" s="171" t="s">
        <v>149</v>
      </c>
      <c r="F72" s="155" t="s">
        <v>2593</v>
      </c>
      <c r="G72" s="155" t="s">
        <v>183</v>
      </c>
      <c r="H72" s="155" t="s">
        <v>1735</v>
      </c>
      <c r="I72" s="7" t="s">
        <v>184</v>
      </c>
      <c r="J72" s="265">
        <v>1.1627999999999999E-2</v>
      </c>
      <c r="K72" s="9" t="s">
        <v>185</v>
      </c>
      <c r="L72" s="119">
        <v>70000000</v>
      </c>
      <c r="M72" s="119">
        <v>0</v>
      </c>
      <c r="N72" s="119"/>
      <c r="O72" s="119" t="s">
        <v>1753</v>
      </c>
      <c r="P72" s="195">
        <v>0</v>
      </c>
      <c r="Q72" s="195">
        <v>0</v>
      </c>
      <c r="R72" s="186">
        <v>1</v>
      </c>
      <c r="S72" s="195">
        <v>0</v>
      </c>
      <c r="T72" s="195" t="s">
        <v>1241</v>
      </c>
      <c r="U72" s="9" t="s">
        <v>186</v>
      </c>
      <c r="V72" s="11">
        <v>0.1</v>
      </c>
      <c r="W72" s="9" t="s">
        <v>187</v>
      </c>
      <c r="X72" s="9"/>
      <c r="Y72" s="7" t="s">
        <v>2587</v>
      </c>
      <c r="Z72" s="9" t="s">
        <v>2406</v>
      </c>
      <c r="AA72" s="239">
        <f t="shared" si="14"/>
        <v>1.1628000000000001E-3</v>
      </c>
      <c r="AB72" s="254">
        <f>+Tabla1[[#This Row],[ponderacion_meta]]*Tabla1[[#This Row],[ponderacion_accion]]</f>
        <v>1.1628000000000001E-3</v>
      </c>
      <c r="AC72" s="262">
        <f>+(Tabla1[[#This Row],[Avance PDI]]*100%)/Tabla1[[#This Row],[ponderacion_meta]]</f>
        <v>0.1</v>
      </c>
      <c r="AD72" s="257">
        <f>+Tabla1[[#This Row],[ponderacion_meta]]*Tabla1[[#This Row],[proyeccion_año1]]</f>
        <v>0</v>
      </c>
      <c r="AE72" s="257">
        <f>+Tabla1[[#This Row],[ponderacion_meta]]*Tabla1[[#This Row],[proyeccion_año2]]</f>
        <v>0</v>
      </c>
      <c r="AF72" s="257">
        <f>+Tabla1[[#This Row],[ponderacion_meta]]*Tabla1[[#This Row],[proyeccion_año3]]</f>
        <v>1.1627999999999999E-2</v>
      </c>
      <c r="AG72" s="257">
        <f>+Tabla1[[#This Row],[ponderacion_meta]]*Tabla1[[#This Row],[proyeccion_año4]]</f>
        <v>0</v>
      </c>
      <c r="AH72" s="393">
        <f t="shared" si="10"/>
        <v>1.9088790000000005E-2</v>
      </c>
      <c r="AI72" s="393">
        <f t="shared" si="11"/>
        <v>4.2766666666666675E-2</v>
      </c>
      <c r="AJ72" s="318">
        <f t="shared" si="9"/>
        <v>4.2766666666666675E-2</v>
      </c>
      <c r="AK72" s="386">
        <v>5.7086000000000012E-3</v>
      </c>
      <c r="AL72" s="405">
        <f t="shared" si="12"/>
        <v>0.1142857142857143</v>
      </c>
      <c r="AM72" s="324">
        <f>+SUM(AB72:AB92)</f>
        <v>1.8122000000000001E-3</v>
      </c>
      <c r="AN72" s="411">
        <f>+SUM(AC72:AC92)/5</f>
        <v>0.04</v>
      </c>
      <c r="AO72" s="358" t="e">
        <f>+([1]!Tabla1[[#This Row],[ponderacion_accion]]/10%)*AQ72</f>
        <v>#REF!</v>
      </c>
      <c r="AP72" s="358" t="e">
        <f>Tabla1[[#This Row],[ponderacion_meta]]*AO72</f>
        <v>#REF!</v>
      </c>
      <c r="AQ72" s="349">
        <v>0.1</v>
      </c>
      <c r="AR72" s="380">
        <v>0</v>
      </c>
      <c r="AS72" s="7" t="e">
        <f>+((SUM(AO72:AO76)*100)/100)</f>
        <v>#REF!</v>
      </c>
      <c r="AT72" s="521">
        <v>0</v>
      </c>
    </row>
    <row r="73" spans="1:46" x14ac:dyDescent="0.35">
      <c r="A73" s="236" t="s">
        <v>1150</v>
      </c>
      <c r="B73" s="237" t="s">
        <v>148</v>
      </c>
      <c r="C73" s="237" t="s">
        <v>1719</v>
      </c>
      <c r="D73" s="237" t="s">
        <v>1154</v>
      </c>
      <c r="E73" s="171" t="s">
        <v>149</v>
      </c>
      <c r="F73" s="155" t="s">
        <v>2593</v>
      </c>
      <c r="G73" s="155" t="s">
        <v>183</v>
      </c>
      <c r="H73" s="155" t="s">
        <v>1735</v>
      </c>
      <c r="I73" s="7" t="s">
        <v>184</v>
      </c>
      <c r="J73" s="265">
        <v>1.1627999999999999E-2</v>
      </c>
      <c r="K73" s="9" t="s">
        <v>185</v>
      </c>
      <c r="L73" s="119">
        <v>70000000</v>
      </c>
      <c r="M73" s="119">
        <v>0</v>
      </c>
      <c r="N73" s="119"/>
      <c r="O73" s="119" t="s">
        <v>1753</v>
      </c>
      <c r="P73" s="186">
        <v>0</v>
      </c>
      <c r="Q73" s="186">
        <v>0</v>
      </c>
      <c r="R73" s="186">
        <v>1</v>
      </c>
      <c r="S73" s="186">
        <v>0</v>
      </c>
      <c r="T73" s="186" t="s">
        <v>1242</v>
      </c>
      <c r="U73" s="9" t="s">
        <v>188</v>
      </c>
      <c r="V73" s="11">
        <v>0.1</v>
      </c>
      <c r="W73" s="9" t="s">
        <v>189</v>
      </c>
      <c r="X73" s="9"/>
      <c r="Y73" s="7" t="s">
        <v>2587</v>
      </c>
      <c r="Z73" s="9" t="s">
        <v>2406</v>
      </c>
      <c r="AA73" s="239">
        <f t="shared" si="14"/>
        <v>1.1628000000000001E-3</v>
      </c>
      <c r="AB73" s="252">
        <v>0</v>
      </c>
      <c r="AC73" s="262">
        <f>+(Tabla1[[#This Row],[Avance PDI]]*100%)/Tabla1[[#This Row],[ponderacion_meta]]</f>
        <v>0</v>
      </c>
      <c r="AD73" s="257">
        <v>0</v>
      </c>
      <c r="AE73" s="257">
        <v>0</v>
      </c>
      <c r="AF73" s="257">
        <v>1.1627999999999999E-2</v>
      </c>
      <c r="AG73" s="257">
        <v>0</v>
      </c>
      <c r="AH73" s="393">
        <f t="shared" si="10"/>
        <v>1.9088790000000005E-2</v>
      </c>
      <c r="AI73" s="393">
        <f t="shared" si="11"/>
        <v>4.2766666666666675E-2</v>
      </c>
      <c r="AJ73" s="318">
        <f t="shared" si="9"/>
        <v>4.2766666666666675E-2</v>
      </c>
      <c r="AK73" s="386">
        <v>5.7086000000000012E-3</v>
      </c>
      <c r="AL73" s="405">
        <f t="shared" si="12"/>
        <v>0.1142857142857143</v>
      </c>
      <c r="AM73" s="325">
        <v>0</v>
      </c>
      <c r="AN73" s="411">
        <f>$AN$72</f>
        <v>0.04</v>
      </c>
      <c r="AO73" s="359" t="e">
        <f>+([1]!Tabla1[[#This Row],[ponderacion_accion]]/10%)*AQ73</f>
        <v>#REF!</v>
      </c>
      <c r="AP73" s="359" t="e">
        <f>Tabla1[[#This Row],[ponderacion_meta]]*AO73</f>
        <v>#REF!</v>
      </c>
      <c r="AQ73" s="351"/>
      <c r="AR73" s="380">
        <v>0</v>
      </c>
      <c r="AS73" s="9"/>
      <c r="AT73" s="521">
        <v>0</v>
      </c>
    </row>
    <row r="74" spans="1:46" x14ac:dyDescent="0.35">
      <c r="A74" s="236" t="s">
        <v>1150</v>
      </c>
      <c r="B74" s="237" t="s">
        <v>148</v>
      </c>
      <c r="C74" s="237" t="s">
        <v>1719</v>
      </c>
      <c r="D74" s="237" t="s">
        <v>1154</v>
      </c>
      <c r="E74" s="171" t="s">
        <v>149</v>
      </c>
      <c r="F74" s="155" t="s">
        <v>2593</v>
      </c>
      <c r="G74" s="155" t="s">
        <v>183</v>
      </c>
      <c r="H74" s="155" t="s">
        <v>1735</v>
      </c>
      <c r="I74" s="7" t="s">
        <v>184</v>
      </c>
      <c r="J74" s="265">
        <v>1.1627999999999999E-2</v>
      </c>
      <c r="K74" s="9" t="s">
        <v>185</v>
      </c>
      <c r="L74" s="119">
        <v>70000000</v>
      </c>
      <c r="M74" s="119">
        <v>0</v>
      </c>
      <c r="N74" s="119"/>
      <c r="O74" s="119" t="s">
        <v>1753</v>
      </c>
      <c r="P74" s="186">
        <v>0</v>
      </c>
      <c r="Q74" s="186">
        <v>0</v>
      </c>
      <c r="R74" s="186">
        <v>1</v>
      </c>
      <c r="S74" s="186">
        <v>0</v>
      </c>
      <c r="T74" s="186" t="s">
        <v>1243</v>
      </c>
      <c r="U74" s="9" t="s">
        <v>190</v>
      </c>
      <c r="V74" s="11">
        <v>0.3</v>
      </c>
      <c r="W74" s="9" t="s">
        <v>191</v>
      </c>
      <c r="X74" s="9"/>
      <c r="Y74" s="7" t="s">
        <v>2587</v>
      </c>
      <c r="Z74" s="9" t="s">
        <v>2406</v>
      </c>
      <c r="AA74" s="239">
        <f t="shared" si="14"/>
        <v>3.4883999999999996E-3</v>
      </c>
      <c r="AB74" s="252">
        <v>0</v>
      </c>
      <c r="AC74" s="262">
        <f>+(Tabla1[[#This Row],[Avance PDI]]*100%)/Tabla1[[#This Row],[ponderacion_meta]]</f>
        <v>0</v>
      </c>
      <c r="AD74" s="257">
        <v>0</v>
      </c>
      <c r="AE74" s="257">
        <v>0</v>
      </c>
      <c r="AF74" s="257">
        <v>1.1627999999999999E-2</v>
      </c>
      <c r="AG74" s="257">
        <v>0</v>
      </c>
      <c r="AH74" s="393">
        <f t="shared" si="10"/>
        <v>1.9088790000000005E-2</v>
      </c>
      <c r="AI74" s="393">
        <f t="shared" si="11"/>
        <v>4.2766666666666675E-2</v>
      </c>
      <c r="AJ74" s="318">
        <f t="shared" si="9"/>
        <v>4.2766666666666675E-2</v>
      </c>
      <c r="AK74" s="386">
        <v>5.7086000000000012E-3</v>
      </c>
      <c r="AL74" s="405">
        <f t="shared" si="12"/>
        <v>0.1142857142857143</v>
      </c>
      <c r="AM74" s="325">
        <v>0</v>
      </c>
      <c r="AN74" s="411">
        <f t="shared" ref="AN74:AN92" si="15">$AN$72</f>
        <v>0.04</v>
      </c>
      <c r="AO74" s="359" t="e">
        <f>+([1]!Tabla1[[#This Row],[ponderacion_accion]]/30%)*AQ74</f>
        <v>#REF!</v>
      </c>
      <c r="AP74" s="359" t="e">
        <f>Tabla1[[#This Row],[ponderacion_meta]]*AO74</f>
        <v>#REF!</v>
      </c>
      <c r="AQ74" s="351"/>
      <c r="AR74" s="380">
        <v>0</v>
      </c>
      <c r="AS74" s="9"/>
      <c r="AT74" s="521">
        <v>0</v>
      </c>
    </row>
    <row r="75" spans="1:46" x14ac:dyDescent="0.35">
      <c r="A75" s="236" t="s">
        <v>1150</v>
      </c>
      <c r="B75" s="237" t="s">
        <v>148</v>
      </c>
      <c r="C75" s="237" t="s">
        <v>1719</v>
      </c>
      <c r="D75" s="237" t="s">
        <v>1154</v>
      </c>
      <c r="E75" s="171" t="s">
        <v>149</v>
      </c>
      <c r="F75" s="155" t="s">
        <v>2593</v>
      </c>
      <c r="G75" s="155" t="s">
        <v>183</v>
      </c>
      <c r="H75" s="155" t="s">
        <v>1735</v>
      </c>
      <c r="I75" s="7" t="s">
        <v>184</v>
      </c>
      <c r="J75" s="265">
        <v>1.1627999999999999E-2</v>
      </c>
      <c r="K75" s="9" t="s">
        <v>185</v>
      </c>
      <c r="L75" s="119">
        <v>70000000</v>
      </c>
      <c r="M75" s="119">
        <v>0</v>
      </c>
      <c r="N75" s="119"/>
      <c r="O75" s="119" t="s">
        <v>1753</v>
      </c>
      <c r="P75" s="186">
        <v>0</v>
      </c>
      <c r="Q75" s="186">
        <v>0</v>
      </c>
      <c r="R75" s="186">
        <v>1</v>
      </c>
      <c r="S75" s="186">
        <v>0</v>
      </c>
      <c r="T75" s="186" t="s">
        <v>1244</v>
      </c>
      <c r="U75" s="9" t="s">
        <v>192</v>
      </c>
      <c r="V75" s="11">
        <v>0.1</v>
      </c>
      <c r="W75" s="9" t="s">
        <v>193</v>
      </c>
      <c r="X75" s="9"/>
      <c r="Y75" s="7" t="s">
        <v>2587</v>
      </c>
      <c r="Z75" s="9" t="s">
        <v>2531</v>
      </c>
      <c r="AA75" s="239">
        <f t="shared" si="14"/>
        <v>1.1628000000000001E-3</v>
      </c>
      <c r="AB75" s="252">
        <v>0</v>
      </c>
      <c r="AC75" s="262">
        <f>+(Tabla1[[#This Row],[Avance PDI]]*100%)/Tabla1[[#This Row],[ponderacion_meta]]</f>
        <v>0</v>
      </c>
      <c r="AD75" s="257">
        <v>0</v>
      </c>
      <c r="AE75" s="257">
        <v>0</v>
      </c>
      <c r="AF75" s="257">
        <v>1.1627999999999999E-2</v>
      </c>
      <c r="AG75" s="257">
        <v>0</v>
      </c>
      <c r="AH75" s="393">
        <f t="shared" si="10"/>
        <v>1.9088790000000005E-2</v>
      </c>
      <c r="AI75" s="393">
        <f t="shared" si="11"/>
        <v>4.2766666666666675E-2</v>
      </c>
      <c r="AJ75" s="318">
        <f t="shared" si="9"/>
        <v>4.2766666666666675E-2</v>
      </c>
      <c r="AK75" s="386">
        <v>5.7086000000000012E-3</v>
      </c>
      <c r="AL75" s="405">
        <f t="shared" si="12"/>
        <v>0.1142857142857143</v>
      </c>
      <c r="AM75" s="325">
        <v>0</v>
      </c>
      <c r="AN75" s="411">
        <f t="shared" si="15"/>
        <v>0.04</v>
      </c>
      <c r="AO75" s="359" t="e">
        <f>+([1]!Tabla1[[#This Row],[ponderacion_accion]]/10%)*AQ75</f>
        <v>#REF!</v>
      </c>
      <c r="AP75" s="359" t="e">
        <f>Tabla1[[#This Row],[ponderacion_meta]]*AO75</f>
        <v>#REF!</v>
      </c>
      <c r="AQ75" s="351"/>
      <c r="AR75" s="380">
        <v>0</v>
      </c>
      <c r="AS75" s="9"/>
      <c r="AT75" s="521">
        <v>0</v>
      </c>
    </row>
    <row r="76" spans="1:46" x14ac:dyDescent="0.35">
      <c r="A76" s="236" t="s">
        <v>1150</v>
      </c>
      <c r="B76" s="237" t="s">
        <v>148</v>
      </c>
      <c r="C76" s="237" t="s">
        <v>1719</v>
      </c>
      <c r="D76" s="237" t="s">
        <v>1154</v>
      </c>
      <c r="E76" s="171" t="s">
        <v>149</v>
      </c>
      <c r="F76" s="155" t="s">
        <v>2593</v>
      </c>
      <c r="G76" s="155" t="s">
        <v>183</v>
      </c>
      <c r="H76" s="155" t="s">
        <v>1735</v>
      </c>
      <c r="I76" s="7" t="s">
        <v>184</v>
      </c>
      <c r="J76" s="265">
        <v>1.1627999999999999E-2</v>
      </c>
      <c r="K76" s="9" t="s">
        <v>185</v>
      </c>
      <c r="L76" s="119">
        <v>70000000</v>
      </c>
      <c r="M76" s="119">
        <v>0</v>
      </c>
      <c r="N76" s="119"/>
      <c r="O76" s="119" t="s">
        <v>1753</v>
      </c>
      <c r="P76" s="186">
        <v>0</v>
      </c>
      <c r="Q76" s="186">
        <v>0</v>
      </c>
      <c r="R76" s="186">
        <v>1</v>
      </c>
      <c r="S76" s="186">
        <v>0</v>
      </c>
      <c r="T76" s="186" t="s">
        <v>1245</v>
      </c>
      <c r="U76" s="9" t="s">
        <v>195</v>
      </c>
      <c r="V76" s="11">
        <v>0.4</v>
      </c>
      <c r="W76" s="9" t="s">
        <v>136</v>
      </c>
      <c r="X76" s="9"/>
      <c r="Y76" s="7" t="s">
        <v>2587</v>
      </c>
      <c r="Z76" s="9" t="s">
        <v>2533</v>
      </c>
      <c r="AA76" s="239">
        <f t="shared" si="14"/>
        <v>4.6512000000000003E-3</v>
      </c>
      <c r="AB76" s="252">
        <v>0</v>
      </c>
      <c r="AC76" s="262">
        <f>+(Tabla1[[#This Row],[Avance PDI]]*100%)/Tabla1[[#This Row],[ponderacion_meta]]</f>
        <v>0</v>
      </c>
      <c r="AD76" s="257">
        <v>0</v>
      </c>
      <c r="AE76" s="257">
        <v>0</v>
      </c>
      <c r="AF76" s="257">
        <v>1.1627999999999999E-2</v>
      </c>
      <c r="AG76" s="257">
        <v>0</v>
      </c>
      <c r="AH76" s="393">
        <f t="shared" si="10"/>
        <v>1.9088790000000005E-2</v>
      </c>
      <c r="AI76" s="393">
        <f t="shared" si="11"/>
        <v>4.2766666666666675E-2</v>
      </c>
      <c r="AJ76" s="318">
        <f t="shared" si="9"/>
        <v>4.2766666666666675E-2</v>
      </c>
      <c r="AK76" s="386">
        <v>5.7086000000000012E-3</v>
      </c>
      <c r="AL76" s="405">
        <f t="shared" si="12"/>
        <v>0.1142857142857143</v>
      </c>
      <c r="AM76" s="325">
        <v>0</v>
      </c>
      <c r="AN76" s="411">
        <f t="shared" si="15"/>
        <v>0.04</v>
      </c>
      <c r="AO76" s="360" t="e">
        <f>+([1]!Tabla1[[#This Row],[ponderacion_accion]]/40%)*AQ76</f>
        <v>#REF!</v>
      </c>
      <c r="AP76" s="360" t="e">
        <f>Tabla1[[#This Row],[ponderacion_meta]]*AO76</f>
        <v>#REF!</v>
      </c>
      <c r="AQ76" s="356"/>
      <c r="AR76" s="380">
        <v>0</v>
      </c>
      <c r="AS76" s="9"/>
      <c r="AT76" s="521">
        <v>0</v>
      </c>
    </row>
    <row r="77" spans="1:46" x14ac:dyDescent="0.35">
      <c r="A77" s="236" t="s">
        <v>1150</v>
      </c>
      <c r="B77" s="237" t="s">
        <v>148</v>
      </c>
      <c r="C77" s="237" t="s">
        <v>1719</v>
      </c>
      <c r="D77" s="237" t="s">
        <v>1154</v>
      </c>
      <c r="E77" s="171" t="s">
        <v>149</v>
      </c>
      <c r="F77" s="155" t="s">
        <v>2593</v>
      </c>
      <c r="G77" s="155" t="s">
        <v>183</v>
      </c>
      <c r="H77" s="155" t="s">
        <v>1735</v>
      </c>
      <c r="I77" s="2" t="s">
        <v>197</v>
      </c>
      <c r="J77" s="264">
        <v>1.1627999999999999E-2</v>
      </c>
      <c r="K77" s="6" t="s">
        <v>198</v>
      </c>
      <c r="L77" s="118">
        <v>0</v>
      </c>
      <c r="M77" s="118">
        <v>0</v>
      </c>
      <c r="N77" s="123"/>
      <c r="O77" s="123" t="s">
        <v>1753</v>
      </c>
      <c r="P77" s="183">
        <v>0</v>
      </c>
      <c r="Q77" s="184">
        <v>0</v>
      </c>
      <c r="R77" s="184">
        <v>1</v>
      </c>
      <c r="S77" s="184">
        <v>0</v>
      </c>
      <c r="T77" s="184" t="s">
        <v>1246</v>
      </c>
      <c r="U77" s="6" t="s">
        <v>199</v>
      </c>
      <c r="V77" s="10">
        <v>0.1</v>
      </c>
      <c r="W77" s="6" t="s">
        <v>200</v>
      </c>
      <c r="X77" s="6"/>
      <c r="Y77" s="2" t="s">
        <v>2588</v>
      </c>
      <c r="Z77" s="6" t="s">
        <v>2406</v>
      </c>
      <c r="AA77" s="238">
        <f t="shared" si="14"/>
        <v>1.1628000000000001E-3</v>
      </c>
      <c r="AB77" s="252">
        <v>0</v>
      </c>
      <c r="AC77" s="278">
        <f>+(Tabla1[[#This Row],[Avance PDI]]*100%)/Tabla1[[#This Row],[ponderacion_meta]]</f>
        <v>0</v>
      </c>
      <c r="AD77" s="279">
        <f>+Tabla1[[#This Row],[ponderacion_meta]]*Tabla1[[#This Row],[proyeccion_año1]]</f>
        <v>0</v>
      </c>
      <c r="AE77" s="279">
        <f>+Tabla1[[#This Row],[ponderacion_meta]]*Tabla1[[#This Row],[proyeccion_año2]]</f>
        <v>0</v>
      </c>
      <c r="AF77" s="279">
        <f>+Tabla1[[#This Row],[ponderacion_meta]]*Tabla1[[#This Row],[proyeccion_año3]]</f>
        <v>1.1627999999999999E-2</v>
      </c>
      <c r="AG77" s="279">
        <f>+Tabla1[[#This Row],[ponderacion_meta]]*Tabla1[[#This Row],[proyeccion_año4]]</f>
        <v>0</v>
      </c>
      <c r="AH77" s="393">
        <f t="shared" si="10"/>
        <v>1.9088790000000005E-2</v>
      </c>
      <c r="AI77" s="393">
        <f t="shared" si="11"/>
        <v>4.2766666666666675E-2</v>
      </c>
      <c r="AJ77" s="318">
        <f t="shared" si="9"/>
        <v>4.2766666666666675E-2</v>
      </c>
      <c r="AK77" s="386">
        <v>5.7086000000000012E-3</v>
      </c>
      <c r="AL77" s="405">
        <f t="shared" si="12"/>
        <v>0.1142857142857143</v>
      </c>
      <c r="AM77" s="325">
        <v>0</v>
      </c>
      <c r="AN77" s="411">
        <f t="shared" si="15"/>
        <v>0.04</v>
      </c>
      <c r="AO77" s="343" t="e">
        <f>+([1]!Tabla1[[#This Row],[ponderacion_accion]]/10%)*AQ77</f>
        <v>#REF!</v>
      </c>
      <c r="AP77" s="343" t="e">
        <f>Tabla1[[#This Row],[ponderacion_meta]]*AO77</f>
        <v>#REF!</v>
      </c>
      <c r="AQ77" s="353"/>
      <c r="AR77" s="377">
        <v>0</v>
      </c>
      <c r="AS77" s="7" t="e">
        <f>+((SUM(AO77:AO80)*100)/0)</f>
        <v>#REF!</v>
      </c>
      <c r="AT77" s="521">
        <v>0</v>
      </c>
    </row>
    <row r="78" spans="1:46" x14ac:dyDescent="0.35">
      <c r="A78" s="236" t="s">
        <v>1150</v>
      </c>
      <c r="B78" s="237" t="s">
        <v>148</v>
      </c>
      <c r="C78" s="237" t="s">
        <v>1719</v>
      </c>
      <c r="D78" s="237" t="s">
        <v>1154</v>
      </c>
      <c r="E78" s="171" t="s">
        <v>149</v>
      </c>
      <c r="F78" s="155" t="s">
        <v>2593</v>
      </c>
      <c r="G78" s="155" t="s">
        <v>183</v>
      </c>
      <c r="H78" s="155" t="s">
        <v>1735</v>
      </c>
      <c r="I78" s="2" t="s">
        <v>197</v>
      </c>
      <c r="J78" s="264">
        <v>1.1627999999999999E-2</v>
      </c>
      <c r="K78" s="6" t="s">
        <v>198</v>
      </c>
      <c r="L78" s="118">
        <v>0</v>
      </c>
      <c r="M78" s="118">
        <v>0</v>
      </c>
      <c r="N78" s="123"/>
      <c r="O78" s="123" t="s">
        <v>1753</v>
      </c>
      <c r="P78" s="183">
        <v>0</v>
      </c>
      <c r="Q78" s="184">
        <v>0</v>
      </c>
      <c r="R78" s="184">
        <v>1</v>
      </c>
      <c r="S78" s="184">
        <v>0</v>
      </c>
      <c r="T78" s="184" t="s">
        <v>1247</v>
      </c>
      <c r="U78" s="6" t="s">
        <v>201</v>
      </c>
      <c r="V78" s="10">
        <v>0.2</v>
      </c>
      <c r="W78" s="6" t="s">
        <v>202</v>
      </c>
      <c r="X78" s="6"/>
      <c r="Y78" s="2" t="s">
        <v>2588</v>
      </c>
      <c r="Z78" s="6" t="s">
        <v>2406</v>
      </c>
      <c r="AA78" s="238">
        <f t="shared" si="14"/>
        <v>2.3256000000000001E-3</v>
      </c>
      <c r="AB78" s="252">
        <v>0</v>
      </c>
      <c r="AC78" s="278">
        <f>+(Tabla1[[#This Row],[Avance PDI]]*100%)/Tabla1[[#This Row],[ponderacion_meta]]</f>
        <v>0</v>
      </c>
      <c r="AD78" s="279">
        <v>0</v>
      </c>
      <c r="AE78" s="279">
        <v>0</v>
      </c>
      <c r="AF78" s="279">
        <v>1.1627999999999999E-2</v>
      </c>
      <c r="AG78" s="279">
        <v>0</v>
      </c>
      <c r="AH78" s="393">
        <f t="shared" si="10"/>
        <v>1.9088790000000005E-2</v>
      </c>
      <c r="AI78" s="393">
        <f t="shared" si="11"/>
        <v>4.2766666666666675E-2</v>
      </c>
      <c r="AJ78" s="318">
        <f t="shared" si="9"/>
        <v>4.2766666666666675E-2</v>
      </c>
      <c r="AK78" s="386">
        <v>5.7086000000000012E-3</v>
      </c>
      <c r="AL78" s="405">
        <f t="shared" si="12"/>
        <v>0.1142857142857143</v>
      </c>
      <c r="AM78" s="325">
        <v>0</v>
      </c>
      <c r="AN78" s="411">
        <f t="shared" si="15"/>
        <v>0.04</v>
      </c>
      <c r="AO78" s="344" t="e">
        <f>+([1]!Tabla1[[#This Row],[ponderacion_accion]]/20%)*AQ78</f>
        <v>#REF!</v>
      </c>
      <c r="AP78" s="344" t="e">
        <f>Tabla1[[#This Row],[ponderacion_meta]]*AO78</f>
        <v>#REF!</v>
      </c>
      <c r="AQ78" s="354"/>
      <c r="AR78" s="378">
        <v>0</v>
      </c>
      <c r="AS78" s="9"/>
      <c r="AT78" s="521">
        <v>0</v>
      </c>
    </row>
    <row r="79" spans="1:46" x14ac:dyDescent="0.35">
      <c r="A79" s="236" t="s">
        <v>1150</v>
      </c>
      <c r="B79" s="237" t="s">
        <v>148</v>
      </c>
      <c r="C79" s="237" t="s">
        <v>1719</v>
      </c>
      <c r="D79" s="237" t="s">
        <v>1154</v>
      </c>
      <c r="E79" s="171" t="s">
        <v>149</v>
      </c>
      <c r="F79" s="155" t="s">
        <v>2593</v>
      </c>
      <c r="G79" s="155" t="s">
        <v>183</v>
      </c>
      <c r="H79" s="155" t="s">
        <v>1735</v>
      </c>
      <c r="I79" s="2" t="s">
        <v>197</v>
      </c>
      <c r="J79" s="264">
        <v>1.1627999999999999E-2</v>
      </c>
      <c r="K79" s="6" t="s">
        <v>198</v>
      </c>
      <c r="L79" s="118">
        <v>0</v>
      </c>
      <c r="M79" s="118">
        <v>0</v>
      </c>
      <c r="N79" s="123"/>
      <c r="O79" s="123" t="s">
        <v>1753</v>
      </c>
      <c r="P79" s="183">
        <v>0</v>
      </c>
      <c r="Q79" s="184">
        <v>0</v>
      </c>
      <c r="R79" s="184">
        <v>1</v>
      </c>
      <c r="S79" s="184">
        <v>0</v>
      </c>
      <c r="T79" s="184" t="s">
        <v>1248</v>
      </c>
      <c r="U79" s="6" t="s">
        <v>203</v>
      </c>
      <c r="V79" s="10">
        <v>0.2</v>
      </c>
      <c r="W79" s="6" t="s">
        <v>204</v>
      </c>
      <c r="X79" s="6"/>
      <c r="Y79" s="2" t="s">
        <v>2588</v>
      </c>
      <c r="Z79" s="6" t="s">
        <v>2406</v>
      </c>
      <c r="AA79" s="238">
        <f t="shared" si="14"/>
        <v>2.3256000000000001E-3</v>
      </c>
      <c r="AB79" s="252">
        <v>0</v>
      </c>
      <c r="AC79" s="278">
        <f>+(Tabla1[[#This Row],[Avance PDI]]*100%)/Tabla1[[#This Row],[ponderacion_meta]]</f>
        <v>0</v>
      </c>
      <c r="AD79" s="279">
        <v>0</v>
      </c>
      <c r="AE79" s="279">
        <v>0</v>
      </c>
      <c r="AF79" s="279">
        <v>1.1627999999999999E-2</v>
      </c>
      <c r="AG79" s="279">
        <v>0</v>
      </c>
      <c r="AH79" s="393">
        <f t="shared" si="10"/>
        <v>1.9088790000000005E-2</v>
      </c>
      <c r="AI79" s="393">
        <f t="shared" si="11"/>
        <v>4.2766666666666675E-2</v>
      </c>
      <c r="AJ79" s="318">
        <f t="shared" si="9"/>
        <v>4.2766666666666675E-2</v>
      </c>
      <c r="AK79" s="386">
        <v>5.7086000000000012E-3</v>
      </c>
      <c r="AL79" s="405">
        <f t="shared" si="12"/>
        <v>0.1142857142857143</v>
      </c>
      <c r="AM79" s="325">
        <v>0</v>
      </c>
      <c r="AN79" s="411">
        <f t="shared" si="15"/>
        <v>0.04</v>
      </c>
      <c r="AO79" s="344" t="e">
        <f>+([1]!Tabla1[[#This Row],[ponderacion_accion]]/20%)*AQ79</f>
        <v>#REF!</v>
      </c>
      <c r="AP79" s="344" t="e">
        <f>Tabla1[[#This Row],[ponderacion_meta]]*AO79</f>
        <v>#REF!</v>
      </c>
      <c r="AQ79" s="354"/>
      <c r="AR79" s="378">
        <v>0</v>
      </c>
      <c r="AS79" s="9"/>
      <c r="AT79" s="521">
        <v>0</v>
      </c>
    </row>
    <row r="80" spans="1:46" x14ac:dyDescent="0.35">
      <c r="A80" s="236" t="s">
        <v>1150</v>
      </c>
      <c r="B80" s="237" t="s">
        <v>148</v>
      </c>
      <c r="C80" s="237" t="s">
        <v>1719</v>
      </c>
      <c r="D80" s="237" t="s">
        <v>1154</v>
      </c>
      <c r="E80" s="171" t="s">
        <v>149</v>
      </c>
      <c r="F80" s="155" t="s">
        <v>2593</v>
      </c>
      <c r="G80" s="155" t="s">
        <v>183</v>
      </c>
      <c r="H80" s="155" t="s">
        <v>1735</v>
      </c>
      <c r="I80" s="2" t="s">
        <v>197</v>
      </c>
      <c r="J80" s="264">
        <v>1.1627999999999999E-2</v>
      </c>
      <c r="K80" s="6" t="s">
        <v>198</v>
      </c>
      <c r="L80" s="118">
        <v>0</v>
      </c>
      <c r="M80" s="118">
        <v>0</v>
      </c>
      <c r="N80" s="123"/>
      <c r="O80" s="123" t="s">
        <v>1753</v>
      </c>
      <c r="P80" s="183">
        <v>0</v>
      </c>
      <c r="Q80" s="184">
        <v>0</v>
      </c>
      <c r="R80" s="184">
        <v>1</v>
      </c>
      <c r="S80" s="184">
        <v>0</v>
      </c>
      <c r="T80" s="184" t="s">
        <v>1249</v>
      </c>
      <c r="U80" s="6" t="s">
        <v>205</v>
      </c>
      <c r="V80" s="10">
        <v>0.5</v>
      </c>
      <c r="W80" s="6" t="s">
        <v>206</v>
      </c>
      <c r="X80" s="6"/>
      <c r="Y80" s="2" t="s">
        <v>2588</v>
      </c>
      <c r="Z80" s="6" t="s">
        <v>2406</v>
      </c>
      <c r="AA80" s="238">
        <f t="shared" si="14"/>
        <v>5.8139999999999997E-3</v>
      </c>
      <c r="AB80" s="252">
        <v>0</v>
      </c>
      <c r="AC80" s="278">
        <f>+(Tabla1[[#This Row],[Avance PDI]]*100%)/Tabla1[[#This Row],[ponderacion_meta]]</f>
        <v>0</v>
      </c>
      <c r="AD80" s="279">
        <v>0</v>
      </c>
      <c r="AE80" s="279">
        <v>0</v>
      </c>
      <c r="AF80" s="279">
        <v>1.1627999999999999E-2</v>
      </c>
      <c r="AG80" s="279">
        <v>0</v>
      </c>
      <c r="AH80" s="393">
        <f t="shared" si="10"/>
        <v>1.9088790000000005E-2</v>
      </c>
      <c r="AI80" s="393">
        <f t="shared" si="11"/>
        <v>4.2766666666666675E-2</v>
      </c>
      <c r="AJ80" s="318">
        <f t="shared" si="9"/>
        <v>4.2766666666666675E-2</v>
      </c>
      <c r="AK80" s="386">
        <v>5.7086000000000012E-3</v>
      </c>
      <c r="AL80" s="405">
        <f t="shared" si="12"/>
        <v>0.1142857142857143</v>
      </c>
      <c r="AM80" s="325">
        <v>0</v>
      </c>
      <c r="AN80" s="411">
        <f t="shared" si="15"/>
        <v>0.04</v>
      </c>
      <c r="AO80" s="345" t="e">
        <f>+([1]!Tabla1[[#This Row],[ponderacion_accion]]/50%)*AQ80</f>
        <v>#REF!</v>
      </c>
      <c r="AP80" s="345" t="e">
        <f>Tabla1[[#This Row],[ponderacion_meta]]*AO80</f>
        <v>#REF!</v>
      </c>
      <c r="AQ80" s="357"/>
      <c r="AR80" s="379">
        <v>0</v>
      </c>
      <c r="AS80" s="9"/>
      <c r="AT80" s="521">
        <v>0</v>
      </c>
    </row>
    <row r="81" spans="1:46" ht="14.25" customHeight="1" x14ac:dyDescent="0.35">
      <c r="A81" s="236" t="s">
        <v>1150</v>
      </c>
      <c r="B81" s="237" t="s">
        <v>148</v>
      </c>
      <c r="C81" s="237" t="s">
        <v>1719</v>
      </c>
      <c r="D81" s="237" t="s">
        <v>1154</v>
      </c>
      <c r="E81" s="171" t="s">
        <v>149</v>
      </c>
      <c r="F81" s="155" t="s">
        <v>2593</v>
      </c>
      <c r="G81" s="155" t="s">
        <v>183</v>
      </c>
      <c r="H81" s="155" t="s">
        <v>1735</v>
      </c>
      <c r="I81" s="7" t="s">
        <v>207</v>
      </c>
      <c r="J81" s="265">
        <v>1.1627999999999999E-2</v>
      </c>
      <c r="K81" s="9" t="s">
        <v>1128</v>
      </c>
      <c r="L81" s="120">
        <v>25000000</v>
      </c>
      <c r="M81" s="120">
        <v>0</v>
      </c>
      <c r="N81" s="122"/>
      <c r="O81" s="122" t="s">
        <v>1753</v>
      </c>
      <c r="P81" s="185">
        <v>0</v>
      </c>
      <c r="Q81" s="186">
        <v>0.3</v>
      </c>
      <c r="R81" s="186">
        <v>0.5</v>
      </c>
      <c r="S81" s="186">
        <v>0.2</v>
      </c>
      <c r="T81" s="186" t="s">
        <v>1250</v>
      </c>
      <c r="U81" s="383" t="s">
        <v>1129</v>
      </c>
      <c r="V81" s="11">
        <v>0.2</v>
      </c>
      <c r="W81" s="9" t="s">
        <v>208</v>
      </c>
      <c r="X81" s="9"/>
      <c r="Y81" s="7" t="s">
        <v>2587</v>
      </c>
      <c r="Z81" s="9" t="s">
        <v>2406</v>
      </c>
      <c r="AA81" s="239">
        <f t="shared" si="14"/>
        <v>2.3256000000000001E-3</v>
      </c>
      <c r="AB81" s="252">
        <v>0</v>
      </c>
      <c r="AC81" s="262">
        <f>+(Tabla1[[#This Row],[Avance PDI]]*100%)/Tabla1[[#This Row],[ponderacion_meta]]</f>
        <v>0</v>
      </c>
      <c r="AD81" s="257">
        <f>+Tabla1[[#This Row],[ponderacion_meta]]*Tabla1[[#This Row],[proyeccion_año1]]</f>
        <v>0</v>
      </c>
      <c r="AE81" s="257">
        <f>+Tabla1[[#This Row],[ponderacion_meta]]*Tabla1[[#This Row],[proyeccion_año2]]</f>
        <v>3.4883999999999996E-3</v>
      </c>
      <c r="AF81" s="257">
        <f>+Tabla1[[#This Row],[ponderacion_meta]]*Tabla1[[#This Row],[proyeccion_año3]]</f>
        <v>5.8139999999999997E-3</v>
      </c>
      <c r="AG81" s="257">
        <f>+Tabla1[[#This Row],[ponderacion_meta]]*Tabla1[[#This Row],[proyeccion_año4]]</f>
        <v>2.3256000000000001E-3</v>
      </c>
      <c r="AH81" s="393">
        <f t="shared" si="10"/>
        <v>1.9088790000000005E-2</v>
      </c>
      <c r="AI81" s="393">
        <f t="shared" si="11"/>
        <v>4.2766666666666675E-2</v>
      </c>
      <c r="AJ81" s="318">
        <f t="shared" si="9"/>
        <v>4.2766666666666675E-2</v>
      </c>
      <c r="AK81" s="386">
        <v>5.7086000000000012E-3</v>
      </c>
      <c r="AL81" s="405">
        <f t="shared" si="12"/>
        <v>0.1142857142857143</v>
      </c>
      <c r="AM81" s="325">
        <v>0</v>
      </c>
      <c r="AN81" s="411">
        <f t="shared" si="15"/>
        <v>0.04</v>
      </c>
      <c r="AO81" s="358" t="e">
        <f>+([1]!Tabla1[[#This Row],[ponderacion_accion]]/20%)*AQ81</f>
        <v>#REF!</v>
      </c>
      <c r="AP81" s="358" t="e">
        <f>Tabla1[[#This Row],[ponderacion_meta]]*AO81</f>
        <v>#REF!</v>
      </c>
      <c r="AQ81" s="361"/>
      <c r="AR81" s="380">
        <v>0</v>
      </c>
      <c r="AS81" s="7" t="e">
        <f>+((SUM(AO81:AO84)*100)/60)</f>
        <v>#REF!</v>
      </c>
      <c r="AT81" s="521">
        <v>0</v>
      </c>
    </row>
    <row r="82" spans="1:46" ht="13.5" customHeight="1" x14ac:dyDescent="0.35">
      <c r="A82" s="236" t="s">
        <v>1150</v>
      </c>
      <c r="B82" s="237" t="s">
        <v>148</v>
      </c>
      <c r="C82" s="237" t="s">
        <v>1719</v>
      </c>
      <c r="D82" s="237" t="s">
        <v>1154</v>
      </c>
      <c r="E82" s="171" t="s">
        <v>149</v>
      </c>
      <c r="F82" s="155" t="s">
        <v>2593</v>
      </c>
      <c r="G82" s="155" t="s">
        <v>183</v>
      </c>
      <c r="H82" s="155" t="s">
        <v>1735</v>
      </c>
      <c r="I82" s="7" t="s">
        <v>207</v>
      </c>
      <c r="J82" s="265">
        <v>1.1627999999999999E-2</v>
      </c>
      <c r="K82" s="9" t="s">
        <v>1128</v>
      </c>
      <c r="L82" s="120">
        <v>25000000</v>
      </c>
      <c r="M82" s="120">
        <v>0</v>
      </c>
      <c r="N82" s="122"/>
      <c r="O82" s="122" t="s">
        <v>1753</v>
      </c>
      <c r="P82" s="185">
        <v>0</v>
      </c>
      <c r="Q82" s="186">
        <v>0.3</v>
      </c>
      <c r="R82" s="186">
        <v>0.5</v>
      </c>
      <c r="S82" s="186">
        <v>0.2</v>
      </c>
      <c r="T82" s="186" t="s">
        <v>1251</v>
      </c>
      <c r="U82" s="9" t="s">
        <v>209</v>
      </c>
      <c r="V82" s="11">
        <v>0.2</v>
      </c>
      <c r="W82" s="9" t="s">
        <v>210</v>
      </c>
      <c r="X82" s="9"/>
      <c r="Y82" s="7" t="s">
        <v>2587</v>
      </c>
      <c r="Z82" s="9" t="s">
        <v>2406</v>
      </c>
      <c r="AA82" s="239">
        <f t="shared" si="14"/>
        <v>2.3256000000000001E-3</v>
      </c>
      <c r="AB82" s="252">
        <v>0</v>
      </c>
      <c r="AC82" s="262">
        <f>+(Tabla1[[#This Row],[Avance PDI]]*100%)/Tabla1[[#This Row],[ponderacion_meta]]</f>
        <v>0</v>
      </c>
      <c r="AD82" s="257">
        <v>0</v>
      </c>
      <c r="AE82" s="257">
        <v>3.4883999999999996E-3</v>
      </c>
      <c r="AF82" s="257">
        <v>5.8139999999999997E-3</v>
      </c>
      <c r="AG82" s="257">
        <v>2.3256000000000001E-3</v>
      </c>
      <c r="AH82" s="393">
        <f t="shared" si="10"/>
        <v>1.9088790000000005E-2</v>
      </c>
      <c r="AI82" s="393">
        <f t="shared" si="11"/>
        <v>4.2766666666666675E-2</v>
      </c>
      <c r="AJ82" s="318">
        <f t="shared" si="9"/>
        <v>4.2766666666666675E-2</v>
      </c>
      <c r="AK82" s="386">
        <v>5.7086000000000012E-3</v>
      </c>
      <c r="AL82" s="405">
        <f t="shared" si="12"/>
        <v>0.1142857142857143</v>
      </c>
      <c r="AM82" s="325">
        <v>0</v>
      </c>
      <c r="AN82" s="411">
        <f t="shared" si="15"/>
        <v>0.04</v>
      </c>
      <c r="AO82" s="359" t="e">
        <f>+([1]!Tabla1[[#This Row],[ponderacion_accion]]/20%)*AQ82</f>
        <v>#REF!</v>
      </c>
      <c r="AP82" s="359" t="e">
        <f>Tabla1[[#This Row],[ponderacion_meta]]*AO82</f>
        <v>#REF!</v>
      </c>
      <c r="AQ82" s="351"/>
      <c r="AR82" s="380">
        <v>0</v>
      </c>
      <c r="AS82" s="9"/>
      <c r="AT82" s="521">
        <v>0</v>
      </c>
    </row>
    <row r="83" spans="1:46" ht="13.5" customHeight="1" x14ac:dyDescent="0.35">
      <c r="A83" s="236" t="s">
        <v>1150</v>
      </c>
      <c r="B83" s="237" t="s">
        <v>148</v>
      </c>
      <c r="C83" s="237" t="s">
        <v>1719</v>
      </c>
      <c r="D83" s="237" t="s">
        <v>1154</v>
      </c>
      <c r="E83" s="171" t="s">
        <v>149</v>
      </c>
      <c r="F83" s="155" t="s">
        <v>2593</v>
      </c>
      <c r="G83" s="155" t="s">
        <v>183</v>
      </c>
      <c r="H83" s="155" t="s">
        <v>1735</v>
      </c>
      <c r="I83" s="7" t="s">
        <v>207</v>
      </c>
      <c r="J83" s="265">
        <v>1.1627999999999999E-2</v>
      </c>
      <c r="K83" s="9" t="s">
        <v>1128</v>
      </c>
      <c r="L83" s="120">
        <v>25000000</v>
      </c>
      <c r="M83" s="120">
        <v>0</v>
      </c>
      <c r="N83" s="122"/>
      <c r="O83" s="122" t="s">
        <v>1753</v>
      </c>
      <c r="P83" s="185">
        <v>0</v>
      </c>
      <c r="Q83" s="186">
        <v>0.3</v>
      </c>
      <c r="R83" s="186">
        <v>0.5</v>
      </c>
      <c r="S83" s="186">
        <v>0.2</v>
      </c>
      <c r="T83" s="186" t="s">
        <v>1252</v>
      </c>
      <c r="U83" s="9" t="s">
        <v>211</v>
      </c>
      <c r="V83" s="11">
        <v>0.2</v>
      </c>
      <c r="W83" s="9" t="s">
        <v>212</v>
      </c>
      <c r="X83" s="9"/>
      <c r="Y83" s="7" t="s">
        <v>2587</v>
      </c>
      <c r="Z83" s="9" t="s">
        <v>2406</v>
      </c>
      <c r="AA83" s="239">
        <f t="shared" si="14"/>
        <v>2.3256000000000001E-3</v>
      </c>
      <c r="AB83" s="252">
        <v>0</v>
      </c>
      <c r="AC83" s="262">
        <f>+(Tabla1[[#This Row],[Avance PDI]]*100%)/Tabla1[[#This Row],[ponderacion_meta]]</f>
        <v>0</v>
      </c>
      <c r="AD83" s="257">
        <v>0</v>
      </c>
      <c r="AE83" s="257">
        <v>3.4883999999999996E-3</v>
      </c>
      <c r="AF83" s="257">
        <v>5.8139999999999997E-3</v>
      </c>
      <c r="AG83" s="257">
        <v>2.3256000000000001E-3</v>
      </c>
      <c r="AH83" s="393">
        <f t="shared" si="10"/>
        <v>1.9088790000000005E-2</v>
      </c>
      <c r="AI83" s="393">
        <f t="shared" si="11"/>
        <v>4.2766666666666675E-2</v>
      </c>
      <c r="AJ83" s="318">
        <f t="shared" si="9"/>
        <v>4.2766666666666675E-2</v>
      </c>
      <c r="AK83" s="386">
        <v>5.7086000000000012E-3</v>
      </c>
      <c r="AL83" s="405">
        <f t="shared" si="12"/>
        <v>0.1142857142857143</v>
      </c>
      <c r="AM83" s="325">
        <v>0</v>
      </c>
      <c r="AN83" s="411">
        <f t="shared" si="15"/>
        <v>0.04</v>
      </c>
      <c r="AO83" s="359" t="e">
        <f>+([1]!Tabla1[[#This Row],[ponderacion_accion]]/20%)*AQ83</f>
        <v>#REF!</v>
      </c>
      <c r="AP83" s="359" t="e">
        <f>Tabla1[[#This Row],[ponderacion_meta]]*AO83</f>
        <v>#REF!</v>
      </c>
      <c r="AQ83" s="351"/>
      <c r="AR83" s="380">
        <v>0</v>
      </c>
      <c r="AS83" s="9"/>
      <c r="AT83" s="521">
        <v>0</v>
      </c>
    </row>
    <row r="84" spans="1:46" ht="14.25" customHeight="1" x14ac:dyDescent="0.35">
      <c r="A84" s="236" t="s">
        <v>1150</v>
      </c>
      <c r="B84" s="237" t="s">
        <v>148</v>
      </c>
      <c r="C84" s="237" t="s">
        <v>1719</v>
      </c>
      <c r="D84" s="237" t="s">
        <v>1154</v>
      </c>
      <c r="E84" s="171" t="s">
        <v>149</v>
      </c>
      <c r="F84" s="155" t="s">
        <v>2593</v>
      </c>
      <c r="G84" s="155" t="s">
        <v>183</v>
      </c>
      <c r="H84" s="155" t="s">
        <v>1735</v>
      </c>
      <c r="I84" s="7" t="s">
        <v>207</v>
      </c>
      <c r="J84" s="265">
        <v>1.1627999999999999E-2</v>
      </c>
      <c r="K84" s="9" t="s">
        <v>1128</v>
      </c>
      <c r="L84" s="120">
        <v>25000000</v>
      </c>
      <c r="M84" s="120">
        <v>0</v>
      </c>
      <c r="N84" s="122"/>
      <c r="O84" s="122" t="s">
        <v>1753</v>
      </c>
      <c r="P84" s="185">
        <v>0</v>
      </c>
      <c r="Q84" s="186">
        <v>0.3</v>
      </c>
      <c r="R84" s="186">
        <v>0.5</v>
      </c>
      <c r="S84" s="186">
        <v>0.2</v>
      </c>
      <c r="T84" s="186" t="s">
        <v>1253</v>
      </c>
      <c r="U84" s="9" t="s">
        <v>1130</v>
      </c>
      <c r="V84" s="11">
        <v>0.4</v>
      </c>
      <c r="W84" s="9" t="s">
        <v>88</v>
      </c>
      <c r="X84" s="9"/>
      <c r="Y84" s="7" t="s">
        <v>2588</v>
      </c>
      <c r="Z84" s="9" t="s">
        <v>2406</v>
      </c>
      <c r="AA84" s="239">
        <f t="shared" si="14"/>
        <v>4.6512000000000003E-3</v>
      </c>
      <c r="AB84" s="252">
        <v>0</v>
      </c>
      <c r="AC84" s="262">
        <f>+(Tabla1[[#This Row],[Avance PDI]]*100%)/Tabla1[[#This Row],[ponderacion_meta]]</f>
        <v>0</v>
      </c>
      <c r="AD84" s="257">
        <v>0</v>
      </c>
      <c r="AE84" s="257">
        <v>3.4883999999999996E-3</v>
      </c>
      <c r="AF84" s="257">
        <v>5.8139999999999997E-3</v>
      </c>
      <c r="AG84" s="257">
        <v>2.3256000000000001E-3</v>
      </c>
      <c r="AH84" s="393">
        <f t="shared" si="10"/>
        <v>1.9088790000000005E-2</v>
      </c>
      <c r="AI84" s="393">
        <f t="shared" si="11"/>
        <v>4.2766666666666675E-2</v>
      </c>
      <c r="AJ84" s="318">
        <f t="shared" si="9"/>
        <v>4.2766666666666675E-2</v>
      </c>
      <c r="AK84" s="386">
        <v>5.7086000000000012E-3</v>
      </c>
      <c r="AL84" s="405">
        <f t="shared" si="12"/>
        <v>0.1142857142857143</v>
      </c>
      <c r="AM84" s="325">
        <v>0</v>
      </c>
      <c r="AN84" s="411">
        <f t="shared" si="15"/>
        <v>0.04</v>
      </c>
      <c r="AO84" s="360" t="e">
        <f>+([1]!Tabla1[[#This Row],[ponderacion_accion]]/40%)*AQ84</f>
        <v>#REF!</v>
      </c>
      <c r="AP84" s="360" t="e">
        <f>Tabla1[[#This Row],[ponderacion_meta]]*AO84</f>
        <v>#REF!</v>
      </c>
      <c r="AQ84" s="356"/>
      <c r="AR84" s="380">
        <v>0</v>
      </c>
      <c r="AS84" s="9"/>
      <c r="AT84" s="521">
        <v>0</v>
      </c>
    </row>
    <row r="85" spans="1:46" x14ac:dyDescent="0.35">
      <c r="A85" s="236" t="s">
        <v>1150</v>
      </c>
      <c r="B85" s="237" t="s">
        <v>148</v>
      </c>
      <c r="C85" s="237" t="s">
        <v>1719</v>
      </c>
      <c r="D85" s="237" t="s">
        <v>1154</v>
      </c>
      <c r="E85" s="171" t="s">
        <v>149</v>
      </c>
      <c r="F85" s="155" t="s">
        <v>2593</v>
      </c>
      <c r="G85" s="155" t="s">
        <v>183</v>
      </c>
      <c r="H85" s="155" t="s">
        <v>1735</v>
      </c>
      <c r="I85" s="2" t="s">
        <v>213</v>
      </c>
      <c r="J85" s="264">
        <v>1.1627999999999999E-2</v>
      </c>
      <c r="K85" s="6" t="s">
        <v>214</v>
      </c>
      <c r="L85" s="118">
        <v>225000000</v>
      </c>
      <c r="M85" s="118">
        <v>0</v>
      </c>
      <c r="N85" s="123"/>
      <c r="O85" s="123" t="s">
        <v>1753</v>
      </c>
      <c r="P85" s="183">
        <v>0</v>
      </c>
      <c r="Q85" s="184">
        <v>0.2</v>
      </c>
      <c r="R85" s="184">
        <v>0.6</v>
      </c>
      <c r="S85" s="184">
        <v>0.2</v>
      </c>
      <c r="T85" s="184" t="s">
        <v>1254</v>
      </c>
      <c r="U85" s="6" t="s">
        <v>215</v>
      </c>
      <c r="V85" s="10">
        <v>0.2</v>
      </c>
      <c r="W85" s="6" t="s">
        <v>216</v>
      </c>
      <c r="X85" s="6"/>
      <c r="Y85" s="2" t="s">
        <v>2587</v>
      </c>
      <c r="Z85" s="6" t="s">
        <v>2406</v>
      </c>
      <c r="AA85" s="238">
        <f t="shared" si="14"/>
        <v>2.3256000000000001E-3</v>
      </c>
      <c r="AB85" s="252">
        <v>0</v>
      </c>
      <c r="AC85" s="278">
        <f>+(Tabla1[[#This Row],[Avance PDI]]*100%)/Tabla1[[#This Row],[ponderacion_meta]]</f>
        <v>0</v>
      </c>
      <c r="AD85" s="279">
        <f>+Tabla1[[#This Row],[ponderacion_meta]]*Tabla1[[#This Row],[proyeccion_año1]]</f>
        <v>0</v>
      </c>
      <c r="AE85" s="279">
        <f>+Tabla1[[#This Row],[ponderacion_meta]]*Tabla1[[#This Row],[proyeccion_año2]]</f>
        <v>2.3256000000000001E-3</v>
      </c>
      <c r="AF85" s="279">
        <f>+Tabla1[[#This Row],[ponderacion_meta]]*Tabla1[[#This Row],[proyeccion_año3]]</f>
        <v>6.9767999999999991E-3</v>
      </c>
      <c r="AG85" s="279">
        <f>+Tabla1[[#This Row],[ponderacion_meta]]*Tabla1[[#This Row],[proyeccion_año4]]</f>
        <v>2.3256000000000001E-3</v>
      </c>
      <c r="AH85" s="393">
        <f t="shared" si="10"/>
        <v>1.9088790000000005E-2</v>
      </c>
      <c r="AI85" s="393">
        <f t="shared" si="11"/>
        <v>4.2766666666666675E-2</v>
      </c>
      <c r="AJ85" s="318">
        <f t="shared" si="9"/>
        <v>4.2766666666666675E-2</v>
      </c>
      <c r="AK85" s="386">
        <v>5.7086000000000012E-3</v>
      </c>
      <c r="AL85" s="405">
        <f t="shared" si="12"/>
        <v>0.1142857142857143</v>
      </c>
      <c r="AM85" s="325">
        <v>0</v>
      </c>
      <c r="AN85" s="411">
        <f t="shared" si="15"/>
        <v>0.04</v>
      </c>
      <c r="AO85" s="343" t="e">
        <f>+([1]!Tabla1[[#This Row],[ponderacion_accion]]/20%)*AQ85</f>
        <v>#REF!</v>
      </c>
      <c r="AP85" s="343" t="e">
        <f>Tabla1[[#This Row],[ponderacion_meta]]*AO85</f>
        <v>#REF!</v>
      </c>
      <c r="AQ85" s="353"/>
      <c r="AR85" s="377">
        <v>0</v>
      </c>
      <c r="AS85" s="7" t="e">
        <f>+((SUM(AO85:AO88)*100)/40)</f>
        <v>#REF!</v>
      </c>
      <c r="AT85" s="521">
        <v>0</v>
      </c>
    </row>
    <row r="86" spans="1:46" x14ac:dyDescent="0.35">
      <c r="A86" s="236" t="s">
        <v>1150</v>
      </c>
      <c r="B86" s="237" t="s">
        <v>148</v>
      </c>
      <c r="C86" s="237" t="s">
        <v>1719</v>
      </c>
      <c r="D86" s="237" t="s">
        <v>1154</v>
      </c>
      <c r="E86" s="171" t="s">
        <v>149</v>
      </c>
      <c r="F86" s="155" t="s">
        <v>2593</v>
      </c>
      <c r="G86" s="155" t="s">
        <v>183</v>
      </c>
      <c r="H86" s="155" t="s">
        <v>1735</v>
      </c>
      <c r="I86" s="2" t="s">
        <v>213</v>
      </c>
      <c r="J86" s="264">
        <v>1.1627999999999999E-2</v>
      </c>
      <c r="K86" s="6" t="s">
        <v>214</v>
      </c>
      <c r="L86" s="118">
        <v>225000000</v>
      </c>
      <c r="M86" s="118">
        <v>0</v>
      </c>
      <c r="N86" s="123"/>
      <c r="O86" s="123" t="s">
        <v>1753</v>
      </c>
      <c r="P86" s="183">
        <v>0</v>
      </c>
      <c r="Q86" s="184">
        <v>0.2</v>
      </c>
      <c r="R86" s="184">
        <v>0.6</v>
      </c>
      <c r="S86" s="184">
        <v>0.2</v>
      </c>
      <c r="T86" s="184" t="s">
        <v>1255</v>
      </c>
      <c r="U86" s="6" t="s">
        <v>217</v>
      </c>
      <c r="V86" s="10">
        <v>0.2</v>
      </c>
      <c r="W86" s="6" t="s">
        <v>218</v>
      </c>
      <c r="X86" s="6"/>
      <c r="Y86" s="2" t="s">
        <v>2587</v>
      </c>
      <c r="Z86" s="6" t="s">
        <v>2406</v>
      </c>
      <c r="AA86" s="238">
        <f t="shared" si="14"/>
        <v>2.3256000000000001E-3</v>
      </c>
      <c r="AB86" s="252">
        <v>0</v>
      </c>
      <c r="AC86" s="278">
        <f>+(Tabla1[[#This Row],[Avance PDI]]*100%)/Tabla1[[#This Row],[ponderacion_meta]]</f>
        <v>0</v>
      </c>
      <c r="AD86" s="279">
        <v>0</v>
      </c>
      <c r="AE86" s="279">
        <v>2.3256000000000001E-3</v>
      </c>
      <c r="AF86" s="279">
        <v>6.9767999999999991E-3</v>
      </c>
      <c r="AG86" s="279">
        <v>2.3256000000000001E-3</v>
      </c>
      <c r="AH86" s="393">
        <f t="shared" si="10"/>
        <v>1.9088790000000005E-2</v>
      </c>
      <c r="AI86" s="393">
        <f t="shared" si="11"/>
        <v>4.2766666666666675E-2</v>
      </c>
      <c r="AJ86" s="318">
        <f t="shared" si="9"/>
        <v>4.2766666666666675E-2</v>
      </c>
      <c r="AK86" s="386">
        <v>5.7086000000000012E-3</v>
      </c>
      <c r="AL86" s="405">
        <f t="shared" si="12"/>
        <v>0.1142857142857143</v>
      </c>
      <c r="AM86" s="325">
        <v>0</v>
      </c>
      <c r="AN86" s="411">
        <f t="shared" si="15"/>
        <v>0.04</v>
      </c>
      <c r="AO86" s="344" t="e">
        <f>+([1]!Tabla1[[#This Row],[ponderacion_accion]]/20%)*AQ86</f>
        <v>#REF!</v>
      </c>
      <c r="AP86" s="344" t="e">
        <f>Tabla1[[#This Row],[ponderacion_meta]]*AO86</f>
        <v>#REF!</v>
      </c>
      <c r="AQ86" s="354"/>
      <c r="AR86" s="378">
        <v>0</v>
      </c>
      <c r="AS86" s="9"/>
      <c r="AT86" s="521">
        <v>0</v>
      </c>
    </row>
    <row r="87" spans="1:46" x14ac:dyDescent="0.35">
      <c r="A87" s="236" t="s">
        <v>1150</v>
      </c>
      <c r="B87" s="237" t="s">
        <v>148</v>
      </c>
      <c r="C87" s="237" t="s">
        <v>1719</v>
      </c>
      <c r="D87" s="237" t="s">
        <v>1154</v>
      </c>
      <c r="E87" s="171" t="s">
        <v>149</v>
      </c>
      <c r="F87" s="155" t="s">
        <v>2593</v>
      </c>
      <c r="G87" s="155" t="s">
        <v>183</v>
      </c>
      <c r="H87" s="155" t="s">
        <v>1735</v>
      </c>
      <c r="I87" s="2" t="s">
        <v>213</v>
      </c>
      <c r="J87" s="264">
        <v>1.1627999999999999E-2</v>
      </c>
      <c r="K87" s="6" t="s">
        <v>214</v>
      </c>
      <c r="L87" s="118">
        <v>225000000</v>
      </c>
      <c r="M87" s="118">
        <v>0</v>
      </c>
      <c r="N87" s="123"/>
      <c r="O87" s="123" t="s">
        <v>1753</v>
      </c>
      <c r="P87" s="183">
        <v>0</v>
      </c>
      <c r="Q87" s="184">
        <v>0.2</v>
      </c>
      <c r="R87" s="184">
        <v>0.6</v>
      </c>
      <c r="S87" s="184">
        <v>0.2</v>
      </c>
      <c r="T87" s="184" t="s">
        <v>1256</v>
      </c>
      <c r="U87" s="6" t="s">
        <v>219</v>
      </c>
      <c r="V87" s="10">
        <v>0.4</v>
      </c>
      <c r="W87" s="6" t="s">
        <v>220</v>
      </c>
      <c r="X87" s="6"/>
      <c r="Y87" s="2" t="s">
        <v>2588</v>
      </c>
      <c r="Z87" s="6" t="s">
        <v>2406</v>
      </c>
      <c r="AA87" s="238">
        <f t="shared" si="14"/>
        <v>4.6512000000000003E-3</v>
      </c>
      <c r="AB87" s="252">
        <v>0</v>
      </c>
      <c r="AC87" s="278">
        <f>+(Tabla1[[#This Row],[Avance PDI]]*100%)/Tabla1[[#This Row],[ponderacion_meta]]</f>
        <v>0</v>
      </c>
      <c r="AD87" s="279">
        <v>0</v>
      </c>
      <c r="AE87" s="279">
        <v>2.3256000000000001E-3</v>
      </c>
      <c r="AF87" s="279">
        <v>6.9767999999999991E-3</v>
      </c>
      <c r="AG87" s="279">
        <v>2.3256000000000001E-3</v>
      </c>
      <c r="AH87" s="393">
        <f t="shared" si="10"/>
        <v>1.9088790000000005E-2</v>
      </c>
      <c r="AI87" s="393">
        <f t="shared" si="11"/>
        <v>4.2766666666666675E-2</v>
      </c>
      <c r="AJ87" s="318">
        <f t="shared" si="9"/>
        <v>4.2766666666666675E-2</v>
      </c>
      <c r="AK87" s="386">
        <v>5.7086000000000012E-3</v>
      </c>
      <c r="AL87" s="405">
        <f t="shared" si="12"/>
        <v>0.1142857142857143</v>
      </c>
      <c r="AM87" s="325">
        <v>0</v>
      </c>
      <c r="AN87" s="411">
        <f t="shared" si="15"/>
        <v>0.04</v>
      </c>
      <c r="AO87" s="344" t="e">
        <f>+([1]!Tabla1[[#This Row],[ponderacion_accion]]/40%)*AQ87</f>
        <v>#REF!</v>
      </c>
      <c r="AP87" s="344" t="e">
        <f>Tabla1[[#This Row],[ponderacion_meta]]*AO87</f>
        <v>#REF!</v>
      </c>
      <c r="AQ87" s="354"/>
      <c r="AR87" s="378">
        <v>0</v>
      </c>
      <c r="AS87" s="9"/>
      <c r="AT87" s="521">
        <v>0</v>
      </c>
    </row>
    <row r="88" spans="1:46" x14ac:dyDescent="0.35">
      <c r="A88" s="236" t="s">
        <v>1150</v>
      </c>
      <c r="B88" s="237" t="s">
        <v>148</v>
      </c>
      <c r="C88" s="237" t="s">
        <v>1719</v>
      </c>
      <c r="D88" s="237" t="s">
        <v>1154</v>
      </c>
      <c r="E88" s="171" t="s">
        <v>149</v>
      </c>
      <c r="F88" s="155" t="s">
        <v>2593</v>
      </c>
      <c r="G88" s="155" t="s">
        <v>183</v>
      </c>
      <c r="H88" s="155" t="s">
        <v>1735</v>
      </c>
      <c r="I88" s="2" t="s">
        <v>213</v>
      </c>
      <c r="J88" s="264">
        <v>1.1627999999999999E-2</v>
      </c>
      <c r="K88" s="6" t="s">
        <v>214</v>
      </c>
      <c r="L88" s="121">
        <v>225000000</v>
      </c>
      <c r="M88" s="121">
        <v>0</v>
      </c>
      <c r="N88" s="124"/>
      <c r="O88" s="124" t="s">
        <v>1753</v>
      </c>
      <c r="P88" s="196">
        <v>0</v>
      </c>
      <c r="Q88" s="197">
        <v>0.2</v>
      </c>
      <c r="R88" s="197">
        <v>0.6</v>
      </c>
      <c r="S88" s="197">
        <v>0.2</v>
      </c>
      <c r="T88" s="197" t="s">
        <v>1257</v>
      </c>
      <c r="U88" s="6" t="s">
        <v>221</v>
      </c>
      <c r="V88" s="10">
        <v>0.2</v>
      </c>
      <c r="W88" s="6" t="s">
        <v>222</v>
      </c>
      <c r="X88" s="6"/>
      <c r="Y88" s="2" t="s">
        <v>2588</v>
      </c>
      <c r="Z88" s="6" t="s">
        <v>2406</v>
      </c>
      <c r="AA88" s="238">
        <f t="shared" si="14"/>
        <v>2.3256000000000001E-3</v>
      </c>
      <c r="AB88" s="252">
        <v>0</v>
      </c>
      <c r="AC88" s="278">
        <f>+(Tabla1[[#This Row],[Avance PDI]]*100%)/Tabla1[[#This Row],[ponderacion_meta]]</f>
        <v>0</v>
      </c>
      <c r="AD88" s="279">
        <v>0</v>
      </c>
      <c r="AE88" s="279">
        <v>2.3256000000000001E-3</v>
      </c>
      <c r="AF88" s="279">
        <v>6.9767999999999991E-3</v>
      </c>
      <c r="AG88" s="279">
        <v>2.3256000000000001E-3</v>
      </c>
      <c r="AH88" s="393">
        <f t="shared" si="10"/>
        <v>1.9088790000000005E-2</v>
      </c>
      <c r="AI88" s="393">
        <f t="shared" si="11"/>
        <v>4.2766666666666675E-2</v>
      </c>
      <c r="AJ88" s="318">
        <f t="shared" si="9"/>
        <v>4.2766666666666675E-2</v>
      </c>
      <c r="AK88" s="386">
        <v>5.7086000000000012E-3</v>
      </c>
      <c r="AL88" s="405">
        <f t="shared" si="12"/>
        <v>0.1142857142857143</v>
      </c>
      <c r="AM88" s="325">
        <v>0</v>
      </c>
      <c r="AN88" s="411">
        <f t="shared" si="15"/>
        <v>0.04</v>
      </c>
      <c r="AO88" s="345" t="e">
        <f>+([1]!Tabla1[[#This Row],[ponderacion_accion]]/20%)*AQ88</f>
        <v>#REF!</v>
      </c>
      <c r="AP88" s="345" t="e">
        <f>Tabla1[[#This Row],[ponderacion_meta]]*AO88</f>
        <v>#REF!</v>
      </c>
      <c r="AQ88" s="357"/>
      <c r="AR88" s="379">
        <v>0</v>
      </c>
      <c r="AS88" s="9"/>
      <c r="AT88" s="521">
        <v>0</v>
      </c>
    </row>
    <row r="89" spans="1:46" ht="13.5" customHeight="1" x14ac:dyDescent="0.35">
      <c r="A89" s="236" t="s">
        <v>1150</v>
      </c>
      <c r="B89" s="237" t="s">
        <v>148</v>
      </c>
      <c r="C89" s="237" t="s">
        <v>1719</v>
      </c>
      <c r="D89" s="237" t="s">
        <v>1154</v>
      </c>
      <c r="E89" s="171" t="s">
        <v>149</v>
      </c>
      <c r="F89" s="155" t="s">
        <v>2593</v>
      </c>
      <c r="G89" s="155" t="s">
        <v>183</v>
      </c>
      <c r="H89" s="155" t="s">
        <v>1735</v>
      </c>
      <c r="I89" s="7" t="s">
        <v>223</v>
      </c>
      <c r="J89" s="265">
        <v>6.4939999999999998E-3</v>
      </c>
      <c r="K89" s="96" t="s">
        <v>1131</v>
      </c>
      <c r="L89" s="117">
        <v>300000000</v>
      </c>
      <c r="M89" s="117">
        <v>0</v>
      </c>
      <c r="N89" s="117"/>
      <c r="O89" s="117" t="s">
        <v>1753</v>
      </c>
      <c r="P89" s="198">
        <v>0</v>
      </c>
      <c r="Q89" s="199">
        <v>0.5</v>
      </c>
      <c r="R89" s="199">
        <v>0.3</v>
      </c>
      <c r="S89" s="199">
        <v>0.2</v>
      </c>
      <c r="T89" s="199" t="s">
        <v>1258</v>
      </c>
      <c r="U89" s="9" t="s">
        <v>224</v>
      </c>
      <c r="V89" s="11">
        <v>0.1</v>
      </c>
      <c r="W89" s="9" t="s">
        <v>225</v>
      </c>
      <c r="X89" s="9"/>
      <c r="Y89" s="7" t="s">
        <v>2587</v>
      </c>
      <c r="Z89" s="9" t="s">
        <v>2406</v>
      </c>
      <c r="AA89" s="239">
        <f t="shared" si="14"/>
        <v>6.4940000000000006E-4</v>
      </c>
      <c r="AB89" s="254">
        <f>+Tabla1[[#This Row],[ponderacion_meta]]*Tabla1[[#This Row],[ponderacion_accion]]</f>
        <v>6.4940000000000006E-4</v>
      </c>
      <c r="AC89" s="262">
        <f>+(Tabla1[[#This Row],[Avance PDI]]*100%)/Tabla1[[#This Row],[ponderacion_meta]]</f>
        <v>0.10000000000000002</v>
      </c>
      <c r="AD89" s="257">
        <f>+Tabla1[[#This Row],[ponderacion_meta]]*Tabla1[[#This Row],[proyeccion_año1]]</f>
        <v>0</v>
      </c>
      <c r="AE89" s="257">
        <f>+Tabla1[[#This Row],[ponderacion_meta]]*Tabla1[[#This Row],[proyeccion_año2]]</f>
        <v>3.2469999999999999E-3</v>
      </c>
      <c r="AF89" s="257">
        <f>+Tabla1[[#This Row],[ponderacion_meta]]*Tabla1[[#This Row],[proyeccion_año3]]</f>
        <v>1.9481999999999998E-3</v>
      </c>
      <c r="AG89" s="257">
        <f>+Tabla1[[#This Row],[ponderacion_meta]]*Tabla1[[#This Row],[proyeccion_año4]]</f>
        <v>1.2988000000000001E-3</v>
      </c>
      <c r="AH89" s="393">
        <f t="shared" si="10"/>
        <v>1.9088790000000005E-2</v>
      </c>
      <c r="AI89" s="393">
        <f t="shared" si="11"/>
        <v>4.2766666666666675E-2</v>
      </c>
      <c r="AJ89" s="318">
        <f t="shared" si="9"/>
        <v>4.2766666666666675E-2</v>
      </c>
      <c r="AK89" s="386">
        <v>5.7086000000000012E-3</v>
      </c>
      <c r="AL89" s="405">
        <f t="shared" si="12"/>
        <v>0.1142857142857143</v>
      </c>
      <c r="AM89" s="325">
        <v>0</v>
      </c>
      <c r="AN89" s="411">
        <f t="shared" si="15"/>
        <v>0.04</v>
      </c>
      <c r="AO89" s="358" t="e">
        <f>+([1]!Tabla1[[#This Row],[ponderacion_accion]]/10%)*AQ89</f>
        <v>#REF!</v>
      </c>
      <c r="AP89" s="358" t="e">
        <f>Tabla1[[#This Row],[ponderacion_meta]]*AO89</f>
        <v>#REF!</v>
      </c>
      <c r="AQ89" s="349">
        <v>0.1</v>
      </c>
      <c r="AR89" s="380">
        <v>0</v>
      </c>
      <c r="AS89" s="7" t="e">
        <f>+((SUM(AO89:AO92)*100)/50)</f>
        <v>#REF!</v>
      </c>
      <c r="AT89" s="521">
        <v>0</v>
      </c>
    </row>
    <row r="90" spans="1:46" ht="13.5" customHeight="1" x14ac:dyDescent="0.35">
      <c r="A90" s="236" t="s">
        <v>1150</v>
      </c>
      <c r="B90" s="237" t="s">
        <v>148</v>
      </c>
      <c r="C90" s="237" t="s">
        <v>1719</v>
      </c>
      <c r="D90" s="237" t="s">
        <v>1154</v>
      </c>
      <c r="E90" s="171" t="s">
        <v>149</v>
      </c>
      <c r="F90" s="155" t="s">
        <v>2593</v>
      </c>
      <c r="G90" s="155" t="s">
        <v>183</v>
      </c>
      <c r="H90" s="155" t="s">
        <v>1735</v>
      </c>
      <c r="I90" s="7" t="s">
        <v>223</v>
      </c>
      <c r="J90" s="265">
        <v>6.4939999999999998E-3</v>
      </c>
      <c r="K90" s="96" t="s">
        <v>1131</v>
      </c>
      <c r="L90" s="117">
        <v>300000000</v>
      </c>
      <c r="M90" s="117">
        <v>0</v>
      </c>
      <c r="N90" s="431"/>
      <c r="O90" s="431" t="s">
        <v>1753</v>
      </c>
      <c r="P90" s="194">
        <v>0</v>
      </c>
      <c r="Q90" s="186">
        <v>0.5</v>
      </c>
      <c r="R90" s="186">
        <v>0.3</v>
      </c>
      <c r="S90" s="186">
        <v>0.2</v>
      </c>
      <c r="T90" s="186" t="s">
        <v>1259</v>
      </c>
      <c r="U90" s="383" t="s">
        <v>1132</v>
      </c>
      <c r="V90" s="11">
        <v>0.2</v>
      </c>
      <c r="W90" s="9" t="s">
        <v>226</v>
      </c>
      <c r="X90" s="9"/>
      <c r="Y90" s="7" t="s">
        <v>2587</v>
      </c>
      <c r="Z90" s="9" t="s">
        <v>2406</v>
      </c>
      <c r="AA90" s="239">
        <f t="shared" si="14"/>
        <v>1.2988000000000001E-3</v>
      </c>
      <c r="AB90" s="252">
        <v>0</v>
      </c>
      <c r="AC90" s="262">
        <f>+(Tabla1[[#This Row],[Avance PDI]]*100%)/Tabla1[[#This Row],[ponderacion_meta]]</f>
        <v>0</v>
      </c>
      <c r="AD90" s="257">
        <v>0</v>
      </c>
      <c r="AE90" s="257">
        <v>3.2469999999999999E-3</v>
      </c>
      <c r="AF90" s="257">
        <v>1.9481999999999998E-3</v>
      </c>
      <c r="AG90" s="257">
        <v>1.2988000000000001E-3</v>
      </c>
      <c r="AH90" s="393">
        <f t="shared" si="10"/>
        <v>1.9088790000000005E-2</v>
      </c>
      <c r="AI90" s="393">
        <f t="shared" si="11"/>
        <v>4.2766666666666675E-2</v>
      </c>
      <c r="AJ90" s="318">
        <f t="shared" si="9"/>
        <v>4.2766666666666675E-2</v>
      </c>
      <c r="AK90" s="386">
        <v>5.7086000000000012E-3</v>
      </c>
      <c r="AL90" s="405">
        <f t="shared" si="12"/>
        <v>0.1142857142857143</v>
      </c>
      <c r="AM90" s="325">
        <v>0</v>
      </c>
      <c r="AN90" s="411">
        <f t="shared" si="15"/>
        <v>0.04</v>
      </c>
      <c r="AO90" s="359" t="e">
        <f>+([1]!Tabla1[[#This Row],[ponderacion_accion]]/20%)*AQ90</f>
        <v>#REF!</v>
      </c>
      <c r="AP90" s="359" t="e">
        <f>Tabla1[[#This Row],[ponderacion_meta]]*AO90</f>
        <v>#REF!</v>
      </c>
      <c r="AQ90" s="351"/>
      <c r="AR90" s="380">
        <v>0</v>
      </c>
      <c r="AS90" s="9"/>
      <c r="AT90" s="521">
        <v>0</v>
      </c>
    </row>
    <row r="91" spans="1:46" ht="13.5" customHeight="1" x14ac:dyDescent="0.35">
      <c r="A91" s="236" t="s">
        <v>1150</v>
      </c>
      <c r="B91" s="237" t="s">
        <v>148</v>
      </c>
      <c r="C91" s="237" t="s">
        <v>1719</v>
      </c>
      <c r="D91" s="237" t="s">
        <v>1154</v>
      </c>
      <c r="E91" s="171" t="s">
        <v>149</v>
      </c>
      <c r="F91" s="155" t="s">
        <v>2593</v>
      </c>
      <c r="G91" s="155" t="s">
        <v>183</v>
      </c>
      <c r="H91" s="155" t="s">
        <v>1735</v>
      </c>
      <c r="I91" s="7" t="s">
        <v>223</v>
      </c>
      <c r="J91" s="265">
        <v>6.4939999999999998E-3</v>
      </c>
      <c r="K91" s="96" t="s">
        <v>1131</v>
      </c>
      <c r="L91" s="117">
        <v>300000000</v>
      </c>
      <c r="M91" s="117">
        <v>0</v>
      </c>
      <c r="N91" s="431"/>
      <c r="O91" s="431" t="s">
        <v>1753</v>
      </c>
      <c r="P91" s="194">
        <v>0</v>
      </c>
      <c r="Q91" s="186">
        <v>0.5</v>
      </c>
      <c r="R91" s="186">
        <v>0.3</v>
      </c>
      <c r="S91" s="186">
        <v>0.2</v>
      </c>
      <c r="T91" s="186" t="s">
        <v>1260</v>
      </c>
      <c r="U91" s="383" t="s">
        <v>1133</v>
      </c>
      <c r="V91" s="11">
        <v>0.2</v>
      </c>
      <c r="W91" s="9" t="s">
        <v>227</v>
      </c>
      <c r="X91" s="9"/>
      <c r="Y91" s="7" t="s">
        <v>2587</v>
      </c>
      <c r="Z91" s="9" t="s">
        <v>2406</v>
      </c>
      <c r="AA91" s="239">
        <f t="shared" si="14"/>
        <v>1.2988000000000001E-3</v>
      </c>
      <c r="AB91" s="252">
        <v>0</v>
      </c>
      <c r="AC91" s="262">
        <f>+(Tabla1[[#This Row],[Avance PDI]]*100%)/Tabla1[[#This Row],[ponderacion_meta]]</f>
        <v>0</v>
      </c>
      <c r="AD91" s="257">
        <v>0</v>
      </c>
      <c r="AE91" s="257">
        <v>3.2469999999999999E-3</v>
      </c>
      <c r="AF91" s="257">
        <v>1.9481999999999998E-3</v>
      </c>
      <c r="AG91" s="257">
        <v>1.2988000000000001E-3</v>
      </c>
      <c r="AH91" s="393">
        <f t="shared" si="10"/>
        <v>1.9088790000000005E-2</v>
      </c>
      <c r="AI91" s="393">
        <f t="shared" si="11"/>
        <v>4.2766666666666675E-2</v>
      </c>
      <c r="AJ91" s="318">
        <f t="shared" si="9"/>
        <v>4.2766666666666675E-2</v>
      </c>
      <c r="AK91" s="386">
        <v>5.7086000000000012E-3</v>
      </c>
      <c r="AL91" s="405">
        <f t="shared" si="12"/>
        <v>0.1142857142857143</v>
      </c>
      <c r="AM91" s="325">
        <v>0</v>
      </c>
      <c r="AN91" s="411">
        <f t="shared" si="15"/>
        <v>0.04</v>
      </c>
      <c r="AO91" s="359" t="e">
        <f>+([1]!Tabla1[[#This Row],[ponderacion_accion]]/20%)*AQ91</f>
        <v>#REF!</v>
      </c>
      <c r="AP91" s="359" t="e">
        <f>Tabla1[[#This Row],[ponderacion_meta]]*AO91</f>
        <v>#REF!</v>
      </c>
      <c r="AQ91" s="351"/>
      <c r="AR91" s="380">
        <v>0</v>
      </c>
      <c r="AS91" s="9"/>
      <c r="AT91" s="521">
        <v>0</v>
      </c>
    </row>
    <row r="92" spans="1:46" ht="13.5" customHeight="1" x14ac:dyDescent="0.35">
      <c r="A92" s="236" t="s">
        <v>1150</v>
      </c>
      <c r="B92" s="237" t="s">
        <v>148</v>
      </c>
      <c r="C92" s="237" t="s">
        <v>1719</v>
      </c>
      <c r="D92" s="237" t="s">
        <v>1154</v>
      </c>
      <c r="E92" s="171" t="s">
        <v>149</v>
      </c>
      <c r="F92" s="155" t="s">
        <v>2593</v>
      </c>
      <c r="G92" s="155" t="s">
        <v>183</v>
      </c>
      <c r="H92" s="155" t="s">
        <v>1735</v>
      </c>
      <c r="I92" s="7" t="s">
        <v>223</v>
      </c>
      <c r="J92" s="265">
        <v>6.4939999999999998E-3</v>
      </c>
      <c r="K92" s="96" t="s">
        <v>1131</v>
      </c>
      <c r="L92" s="117">
        <v>300000000</v>
      </c>
      <c r="M92" s="117">
        <v>0</v>
      </c>
      <c r="N92" s="431"/>
      <c r="O92" s="431" t="s">
        <v>1753</v>
      </c>
      <c r="P92" s="194">
        <v>0</v>
      </c>
      <c r="Q92" s="186">
        <v>0.5</v>
      </c>
      <c r="R92" s="186">
        <v>0.3</v>
      </c>
      <c r="S92" s="186">
        <v>0.2</v>
      </c>
      <c r="T92" s="186" t="s">
        <v>1261</v>
      </c>
      <c r="U92" s="383" t="s">
        <v>1134</v>
      </c>
      <c r="V92" s="11">
        <v>0.5</v>
      </c>
      <c r="W92" s="9" t="s">
        <v>88</v>
      </c>
      <c r="X92" s="9"/>
      <c r="Y92" s="7" t="s">
        <v>2588</v>
      </c>
      <c r="Z92" s="9" t="s">
        <v>2406</v>
      </c>
      <c r="AA92" s="239">
        <f t="shared" si="14"/>
        <v>3.2469999999999999E-3</v>
      </c>
      <c r="AB92" s="252">
        <v>0</v>
      </c>
      <c r="AC92" s="262">
        <f>+(Tabla1[[#This Row],[Avance PDI]]*100%)/Tabla1[[#This Row],[ponderacion_meta]]</f>
        <v>0</v>
      </c>
      <c r="AD92" s="257">
        <v>0</v>
      </c>
      <c r="AE92" s="257">
        <v>3.2469999999999999E-3</v>
      </c>
      <c r="AF92" s="257">
        <v>1.9481999999999998E-3</v>
      </c>
      <c r="AG92" s="257">
        <v>1.2988000000000001E-3</v>
      </c>
      <c r="AH92" s="393">
        <f t="shared" si="10"/>
        <v>1.9088790000000005E-2</v>
      </c>
      <c r="AI92" s="393">
        <f t="shared" si="11"/>
        <v>4.2766666666666675E-2</v>
      </c>
      <c r="AJ92" s="318">
        <f t="shared" si="9"/>
        <v>4.2766666666666675E-2</v>
      </c>
      <c r="AK92" s="386">
        <v>5.7086000000000012E-3</v>
      </c>
      <c r="AL92" s="405">
        <f t="shared" si="12"/>
        <v>0.1142857142857143</v>
      </c>
      <c r="AM92" s="325">
        <v>0</v>
      </c>
      <c r="AN92" s="411">
        <f t="shared" si="15"/>
        <v>0.04</v>
      </c>
      <c r="AO92" s="360" t="e">
        <f>+([1]!Tabla1[[#This Row],[ponderacion_accion]]/50%)*AQ92</f>
        <v>#REF!</v>
      </c>
      <c r="AP92" s="360" t="e">
        <f>Tabla1[[#This Row],[ponderacion_meta]]*AO92</f>
        <v>#REF!</v>
      </c>
      <c r="AQ92" s="356"/>
      <c r="AR92" s="380">
        <v>0</v>
      </c>
      <c r="AS92" s="9"/>
      <c r="AT92" s="521">
        <v>0</v>
      </c>
    </row>
    <row r="93" spans="1:46" x14ac:dyDescent="0.35">
      <c r="A93" s="236" t="s">
        <v>1150</v>
      </c>
      <c r="B93" s="237" t="s">
        <v>148</v>
      </c>
      <c r="C93" s="237" t="s">
        <v>1719</v>
      </c>
      <c r="D93" s="237" t="s">
        <v>1155</v>
      </c>
      <c r="E93" s="176" t="s">
        <v>228</v>
      </c>
      <c r="F93" s="156" t="s">
        <v>2594</v>
      </c>
      <c r="G93" s="156" t="s">
        <v>229</v>
      </c>
      <c r="H93" s="156" t="s">
        <v>1734</v>
      </c>
      <c r="I93" s="2" t="s">
        <v>230</v>
      </c>
      <c r="J93" s="264">
        <v>6.4939999999999998E-3</v>
      </c>
      <c r="K93" s="6" t="s">
        <v>231</v>
      </c>
      <c r="L93" s="151">
        <v>0</v>
      </c>
      <c r="M93" s="151">
        <v>0</v>
      </c>
      <c r="N93" s="432"/>
      <c r="O93" s="432" t="s">
        <v>1753</v>
      </c>
      <c r="P93" s="183">
        <v>0</v>
      </c>
      <c r="Q93" s="184">
        <v>0.4</v>
      </c>
      <c r="R93" s="184">
        <v>0.4</v>
      </c>
      <c r="S93" s="184">
        <v>0.2</v>
      </c>
      <c r="T93" s="184" t="s">
        <v>1262</v>
      </c>
      <c r="U93" s="6" t="s">
        <v>232</v>
      </c>
      <c r="V93" s="10">
        <v>0.3</v>
      </c>
      <c r="W93" s="6" t="s">
        <v>233</v>
      </c>
      <c r="X93" s="6"/>
      <c r="Y93" s="2" t="s">
        <v>2587</v>
      </c>
      <c r="Z93" s="6" t="s">
        <v>2537</v>
      </c>
      <c r="AA93" s="238">
        <f t="shared" si="14"/>
        <v>1.9481999999999998E-3</v>
      </c>
      <c r="AB93" s="252">
        <v>0</v>
      </c>
      <c r="AC93" s="278">
        <f>+(Tabla1[[#This Row],[Avance PDI]]*100%)/Tabla1[[#This Row],[ponderacion_meta]]</f>
        <v>0</v>
      </c>
      <c r="AD93" s="279">
        <f>+Tabla1[[#This Row],[ponderacion_meta]]*Tabla1[[#This Row],[proyeccion_año1]]</f>
        <v>0</v>
      </c>
      <c r="AE93" s="279">
        <f>+Tabla1[[#This Row],[ponderacion_meta]]*Tabla1[[#This Row],[proyeccion_año2]]</f>
        <v>2.5976000000000003E-3</v>
      </c>
      <c r="AF93" s="279">
        <f>+Tabla1[[#This Row],[ponderacion_meta]]*Tabla1[[#This Row],[proyeccion_año3]]</f>
        <v>2.5976000000000003E-3</v>
      </c>
      <c r="AG93" s="279">
        <f>+Tabla1[[#This Row],[ponderacion_meta]]*Tabla1[[#This Row],[proyeccion_año4]]</f>
        <v>1.2988000000000001E-3</v>
      </c>
      <c r="AH93" s="393">
        <f t="shared" si="10"/>
        <v>1.9088790000000005E-2</v>
      </c>
      <c r="AI93" s="393">
        <f t="shared" si="11"/>
        <v>4.2766666666666675E-2</v>
      </c>
      <c r="AJ93" s="318">
        <f t="shared" si="9"/>
        <v>4.2766666666666675E-2</v>
      </c>
      <c r="AK93" s="384">
        <f>+SUM(AB93:AB99)</f>
        <v>1.5504E-3</v>
      </c>
      <c r="AL93" s="314">
        <f>+SUM(AC93:AC99)/2</f>
        <v>6.6666666666666666E-2</v>
      </c>
      <c r="AM93" s="326">
        <f>+SUM(AB93:AB99)</f>
        <v>1.5504E-3</v>
      </c>
      <c r="AN93" s="410">
        <f>+SUM(AC93:AC99)/2</f>
        <v>6.6666666666666666E-2</v>
      </c>
      <c r="AO93" s="343" t="e">
        <f>+([1]!Tabla1[[#This Row],[ponderacion_accion]]/30%)*AQ93</f>
        <v>#REF!</v>
      </c>
      <c r="AP93" s="343" t="e">
        <f>Tabla1[[#This Row],[ponderacion_meta]]*AO93</f>
        <v>#REF!</v>
      </c>
      <c r="AQ93" s="353"/>
      <c r="AR93" s="377">
        <v>0</v>
      </c>
      <c r="AS93" s="7" t="e">
        <f>+((SUM(AO93:AO96)*100)/40)</f>
        <v>#REF!</v>
      </c>
      <c r="AT93" s="521">
        <v>0</v>
      </c>
    </row>
    <row r="94" spans="1:46" x14ac:dyDescent="0.35">
      <c r="A94" s="236" t="s">
        <v>1150</v>
      </c>
      <c r="B94" s="237" t="s">
        <v>148</v>
      </c>
      <c r="C94" s="237" t="s">
        <v>1719</v>
      </c>
      <c r="D94" s="237" t="s">
        <v>1155</v>
      </c>
      <c r="E94" s="176" t="s">
        <v>228</v>
      </c>
      <c r="F94" s="156" t="s">
        <v>2594</v>
      </c>
      <c r="G94" s="156" t="s">
        <v>229</v>
      </c>
      <c r="H94" s="156" t="s">
        <v>1734</v>
      </c>
      <c r="I94" s="2" t="s">
        <v>230</v>
      </c>
      <c r="J94" s="264">
        <v>6.4939999999999998E-3</v>
      </c>
      <c r="K94" s="6" t="s">
        <v>231</v>
      </c>
      <c r="L94" s="151">
        <v>0</v>
      </c>
      <c r="M94" s="151">
        <v>0</v>
      </c>
      <c r="N94" s="432"/>
      <c r="O94" s="432" t="s">
        <v>1753</v>
      </c>
      <c r="P94" s="183">
        <v>0</v>
      </c>
      <c r="Q94" s="184">
        <v>0.4</v>
      </c>
      <c r="R94" s="184">
        <v>0.4</v>
      </c>
      <c r="S94" s="184">
        <v>0.2</v>
      </c>
      <c r="T94" s="184" t="s">
        <v>1263</v>
      </c>
      <c r="U94" s="6" t="s">
        <v>234</v>
      </c>
      <c r="V94" s="10">
        <v>0.1</v>
      </c>
      <c r="W94" s="6" t="s">
        <v>235</v>
      </c>
      <c r="X94" s="6"/>
      <c r="Y94" s="2" t="s">
        <v>2587</v>
      </c>
      <c r="Z94" s="6" t="s">
        <v>2538</v>
      </c>
      <c r="AA94" s="238">
        <f t="shared" si="14"/>
        <v>6.4940000000000006E-4</v>
      </c>
      <c r="AB94" s="252">
        <v>0</v>
      </c>
      <c r="AC94" s="278">
        <f>+(Tabla1[[#This Row],[Avance PDI]]*100%)/Tabla1[[#This Row],[ponderacion_meta]]</f>
        <v>0</v>
      </c>
      <c r="AD94" s="279">
        <v>0</v>
      </c>
      <c r="AE94" s="279">
        <v>2.5976000000000003E-3</v>
      </c>
      <c r="AF94" s="279">
        <v>2.5976000000000003E-3</v>
      </c>
      <c r="AG94" s="279">
        <v>1.2988000000000001E-3</v>
      </c>
      <c r="AH94" s="393">
        <f t="shared" si="10"/>
        <v>1.9088790000000005E-2</v>
      </c>
      <c r="AI94" s="393">
        <f t="shared" si="11"/>
        <v>4.2766666666666675E-2</v>
      </c>
      <c r="AJ94" s="318">
        <f t="shared" si="9"/>
        <v>4.2766666666666675E-2</v>
      </c>
      <c r="AK94" s="385">
        <v>1.5504E-3</v>
      </c>
      <c r="AL94" s="407">
        <f t="shared" ref="AL94:AL99" si="16">$AL$93</f>
        <v>6.6666666666666666E-2</v>
      </c>
      <c r="AM94" s="327">
        <v>0</v>
      </c>
      <c r="AN94" s="410">
        <f t="shared" ref="AN94:AN99" si="17">$AN$93</f>
        <v>6.6666666666666666E-2</v>
      </c>
      <c r="AO94" s="344" t="e">
        <f>+([1]!Tabla1[[#This Row],[ponderacion_accion]]/10%)*AQ94</f>
        <v>#REF!</v>
      </c>
      <c r="AP94" s="344" t="e">
        <f>Tabla1[[#This Row],[ponderacion_meta]]*AO94</f>
        <v>#REF!</v>
      </c>
      <c r="AQ94" s="354"/>
      <c r="AR94" s="378">
        <v>0</v>
      </c>
      <c r="AS94" s="9"/>
      <c r="AT94" s="521">
        <v>0</v>
      </c>
    </row>
    <row r="95" spans="1:46" x14ac:dyDescent="0.35">
      <c r="A95" s="236" t="s">
        <v>1150</v>
      </c>
      <c r="B95" s="237" t="s">
        <v>148</v>
      </c>
      <c r="C95" s="237" t="s">
        <v>1719</v>
      </c>
      <c r="D95" s="237" t="s">
        <v>1155</v>
      </c>
      <c r="E95" s="176" t="s">
        <v>228</v>
      </c>
      <c r="F95" s="156" t="s">
        <v>2594</v>
      </c>
      <c r="G95" s="156" t="s">
        <v>229</v>
      </c>
      <c r="H95" s="156" t="s">
        <v>1734</v>
      </c>
      <c r="I95" s="2" t="s">
        <v>230</v>
      </c>
      <c r="J95" s="264">
        <v>6.4939999999999998E-3</v>
      </c>
      <c r="K95" s="6" t="s">
        <v>231</v>
      </c>
      <c r="L95" s="151">
        <v>0</v>
      </c>
      <c r="M95" s="151">
        <v>0</v>
      </c>
      <c r="N95" s="432"/>
      <c r="O95" s="432" t="s">
        <v>1753</v>
      </c>
      <c r="P95" s="183">
        <v>0</v>
      </c>
      <c r="Q95" s="184">
        <v>0.4</v>
      </c>
      <c r="R95" s="184">
        <v>0.4</v>
      </c>
      <c r="S95" s="184">
        <v>0.2</v>
      </c>
      <c r="T95" s="184" t="s">
        <v>1264</v>
      </c>
      <c r="U95" s="6" t="s">
        <v>236</v>
      </c>
      <c r="V95" s="10">
        <v>0.4</v>
      </c>
      <c r="W95" s="6" t="s">
        <v>237</v>
      </c>
      <c r="X95" s="6"/>
      <c r="Y95" s="2" t="s">
        <v>2588</v>
      </c>
      <c r="Z95" s="6" t="s">
        <v>2538</v>
      </c>
      <c r="AA95" s="238">
        <f t="shared" si="14"/>
        <v>2.5976000000000003E-3</v>
      </c>
      <c r="AB95" s="252">
        <v>0</v>
      </c>
      <c r="AC95" s="278">
        <f>+(Tabla1[[#This Row],[Avance PDI]]*100%)/Tabla1[[#This Row],[ponderacion_meta]]</f>
        <v>0</v>
      </c>
      <c r="AD95" s="279">
        <v>0</v>
      </c>
      <c r="AE95" s="279">
        <v>2.5976000000000003E-3</v>
      </c>
      <c r="AF95" s="279">
        <v>2.5976000000000003E-3</v>
      </c>
      <c r="AG95" s="279">
        <v>1.2988000000000001E-3</v>
      </c>
      <c r="AH95" s="393">
        <f t="shared" si="10"/>
        <v>1.9088790000000005E-2</v>
      </c>
      <c r="AI95" s="393">
        <f t="shared" si="11"/>
        <v>4.2766666666666675E-2</v>
      </c>
      <c r="AJ95" s="318">
        <f t="shared" si="9"/>
        <v>4.2766666666666675E-2</v>
      </c>
      <c r="AK95" s="385">
        <v>1.5504E-3</v>
      </c>
      <c r="AL95" s="407">
        <f t="shared" si="16"/>
        <v>6.6666666666666666E-2</v>
      </c>
      <c r="AM95" s="327">
        <v>0</v>
      </c>
      <c r="AN95" s="410">
        <f t="shared" si="17"/>
        <v>6.6666666666666666E-2</v>
      </c>
      <c r="AO95" s="344" t="e">
        <f>+([1]!Tabla1[[#This Row],[ponderacion_accion]]/40%)*AQ95</f>
        <v>#REF!</v>
      </c>
      <c r="AP95" s="344" t="e">
        <f>Tabla1[[#This Row],[ponderacion_meta]]*AO95</f>
        <v>#REF!</v>
      </c>
      <c r="AQ95" s="354"/>
      <c r="AR95" s="378">
        <v>0</v>
      </c>
      <c r="AS95" s="9"/>
      <c r="AT95" s="521">
        <v>0</v>
      </c>
    </row>
    <row r="96" spans="1:46" x14ac:dyDescent="0.35">
      <c r="A96" s="236" t="s">
        <v>1150</v>
      </c>
      <c r="B96" s="237" t="s">
        <v>148</v>
      </c>
      <c r="C96" s="237" t="s">
        <v>1719</v>
      </c>
      <c r="D96" s="237" t="s">
        <v>1155</v>
      </c>
      <c r="E96" s="176" t="s">
        <v>228</v>
      </c>
      <c r="F96" s="156" t="s">
        <v>2594</v>
      </c>
      <c r="G96" s="156" t="s">
        <v>229</v>
      </c>
      <c r="H96" s="156" t="s">
        <v>1734</v>
      </c>
      <c r="I96" s="2" t="s">
        <v>230</v>
      </c>
      <c r="J96" s="264">
        <v>6.4939999999999998E-3</v>
      </c>
      <c r="K96" s="6" t="s">
        <v>231</v>
      </c>
      <c r="L96" s="151">
        <v>0</v>
      </c>
      <c r="M96" s="151">
        <v>0</v>
      </c>
      <c r="N96" s="432"/>
      <c r="O96" s="432" t="s">
        <v>1753</v>
      </c>
      <c r="P96" s="183">
        <v>0</v>
      </c>
      <c r="Q96" s="184">
        <v>0.4</v>
      </c>
      <c r="R96" s="184">
        <v>0.4</v>
      </c>
      <c r="S96" s="184">
        <v>0.2</v>
      </c>
      <c r="T96" s="184" t="s">
        <v>1265</v>
      </c>
      <c r="U96" s="6" t="s">
        <v>238</v>
      </c>
      <c r="V96" s="10">
        <v>0.2</v>
      </c>
      <c r="W96" s="6" t="s">
        <v>239</v>
      </c>
      <c r="X96" s="6"/>
      <c r="Y96" s="2" t="s">
        <v>2588</v>
      </c>
      <c r="Z96" s="6" t="s">
        <v>2538</v>
      </c>
      <c r="AA96" s="238">
        <f t="shared" si="14"/>
        <v>1.2988000000000001E-3</v>
      </c>
      <c r="AB96" s="252">
        <v>0</v>
      </c>
      <c r="AC96" s="278">
        <f>+(Tabla1[[#This Row],[Avance PDI]]*100%)/Tabla1[[#This Row],[ponderacion_meta]]</f>
        <v>0</v>
      </c>
      <c r="AD96" s="279">
        <v>0</v>
      </c>
      <c r="AE96" s="279">
        <v>2.5976000000000003E-3</v>
      </c>
      <c r="AF96" s="279">
        <v>2.5976000000000003E-3</v>
      </c>
      <c r="AG96" s="279">
        <v>1.2988000000000001E-3</v>
      </c>
      <c r="AH96" s="393">
        <f t="shared" si="10"/>
        <v>1.9088790000000005E-2</v>
      </c>
      <c r="AI96" s="393">
        <f t="shared" si="11"/>
        <v>4.2766666666666675E-2</v>
      </c>
      <c r="AJ96" s="318">
        <f t="shared" si="9"/>
        <v>4.2766666666666675E-2</v>
      </c>
      <c r="AK96" s="385">
        <v>1.5504E-3</v>
      </c>
      <c r="AL96" s="407">
        <f t="shared" si="16"/>
        <v>6.6666666666666666E-2</v>
      </c>
      <c r="AM96" s="327">
        <v>0</v>
      </c>
      <c r="AN96" s="410">
        <f t="shared" si="17"/>
        <v>6.6666666666666666E-2</v>
      </c>
      <c r="AO96" s="345" t="e">
        <f>+([1]!Tabla1[[#This Row],[ponderacion_accion]]/20%)*AQ96</f>
        <v>#REF!</v>
      </c>
      <c r="AP96" s="345" t="e">
        <f>Tabla1[[#This Row],[ponderacion_meta]]*AO96</f>
        <v>#REF!</v>
      </c>
      <c r="AQ96" s="357"/>
      <c r="AR96" s="379">
        <v>0</v>
      </c>
      <c r="AS96" s="9"/>
      <c r="AT96" s="521">
        <v>0</v>
      </c>
    </row>
    <row r="97" spans="1:46" x14ac:dyDescent="0.35">
      <c r="A97" s="236" t="s">
        <v>1150</v>
      </c>
      <c r="B97" s="237" t="s">
        <v>148</v>
      </c>
      <c r="C97" s="237" t="s">
        <v>1719</v>
      </c>
      <c r="D97" s="237" t="s">
        <v>1155</v>
      </c>
      <c r="E97" s="176" t="s">
        <v>228</v>
      </c>
      <c r="F97" s="156" t="s">
        <v>2594</v>
      </c>
      <c r="G97" s="156" t="s">
        <v>229</v>
      </c>
      <c r="H97" s="156" t="s">
        <v>1734</v>
      </c>
      <c r="I97" s="7" t="s">
        <v>240</v>
      </c>
      <c r="J97" s="265">
        <v>1.1627999999999999E-2</v>
      </c>
      <c r="K97" s="9" t="s">
        <v>241</v>
      </c>
      <c r="L97" s="120">
        <v>800000000</v>
      </c>
      <c r="M97" s="120">
        <v>0</v>
      </c>
      <c r="N97" s="122"/>
      <c r="O97" s="122" t="s">
        <v>2622</v>
      </c>
      <c r="P97" s="200">
        <v>0</v>
      </c>
      <c r="Q97" s="195">
        <v>1</v>
      </c>
      <c r="R97" s="195">
        <v>1</v>
      </c>
      <c r="S97" s="195">
        <v>1</v>
      </c>
      <c r="T97" s="195" t="s">
        <v>1266</v>
      </c>
      <c r="U97" s="9" t="s">
        <v>242</v>
      </c>
      <c r="V97" s="11">
        <v>0.3</v>
      </c>
      <c r="W97" s="9" t="s">
        <v>243</v>
      </c>
      <c r="X97" s="9"/>
      <c r="Y97" s="7" t="s">
        <v>2587</v>
      </c>
      <c r="Z97" s="383" t="s">
        <v>2540</v>
      </c>
      <c r="AA97" s="239">
        <f t="shared" si="14"/>
        <v>3.4883999999999996E-3</v>
      </c>
      <c r="AB97" s="254">
        <f>+(Tabla1[[#This Row],[ponderacion_meta]]*Tabla1[[#This Row],[ponderacion_accion]])/3*1</f>
        <v>1.1627999999999999E-3</v>
      </c>
      <c r="AC97" s="262">
        <f>+(Tabla1[[#This Row],[Avance PDI]]*100%)/Tabla1[[#This Row],[ponderacion_meta]]</f>
        <v>9.9999999999999992E-2</v>
      </c>
      <c r="AD97" s="257">
        <f>+Tabla1[[#This Row],[ponderacion_meta]]*Tabla1[[#This Row],[proyeccion_año1]]</f>
        <v>0</v>
      </c>
      <c r="AE97" s="257">
        <f>+Tabla1[[#This Row],[ponderacion_meta]]*33.33%</f>
        <v>3.8756123999999998E-3</v>
      </c>
      <c r="AF97" s="257">
        <f>+Tabla1[[#This Row],[ponderacion_meta]]*33.33%</f>
        <v>3.8756123999999998E-3</v>
      </c>
      <c r="AG97" s="257">
        <f>+Tabla1[[#This Row],[ponderacion_meta]]*33.33%</f>
        <v>3.8756123999999998E-3</v>
      </c>
      <c r="AH97" s="393">
        <f t="shared" si="10"/>
        <v>1.9088790000000005E-2</v>
      </c>
      <c r="AI97" s="393">
        <f t="shared" si="11"/>
        <v>4.2766666666666675E-2</v>
      </c>
      <c r="AJ97" s="318">
        <f t="shared" si="9"/>
        <v>4.2766666666666675E-2</v>
      </c>
      <c r="AK97" s="385">
        <v>1.5504E-3</v>
      </c>
      <c r="AL97" s="407">
        <f t="shared" si="16"/>
        <v>6.6666666666666666E-2</v>
      </c>
      <c r="AM97" s="327">
        <v>0</v>
      </c>
      <c r="AN97" s="410">
        <f t="shared" si="17"/>
        <v>6.6666666666666666E-2</v>
      </c>
      <c r="AO97" s="358" t="e">
        <f>+([1]!Tabla1[[#This Row],[ponderacion_accion]]/3)*AQ97</f>
        <v>#REF!</v>
      </c>
      <c r="AP97" s="358" t="e">
        <f>Tabla1[[#This Row],[ponderacion_meta]]*AO97</f>
        <v>#REF!</v>
      </c>
      <c r="AQ97" s="361">
        <v>1</v>
      </c>
      <c r="AR97" s="380">
        <v>9741000</v>
      </c>
      <c r="AS97" s="515" t="e">
        <f>+((SUM(AO97:AO99)*100)/33.33)</f>
        <v>#REF!</v>
      </c>
      <c r="AT97" s="521">
        <v>0</v>
      </c>
    </row>
    <row r="98" spans="1:46" ht="13.5" customHeight="1" x14ac:dyDescent="0.35">
      <c r="A98" s="236" t="s">
        <v>1150</v>
      </c>
      <c r="B98" s="237" t="s">
        <v>148</v>
      </c>
      <c r="C98" s="237" t="s">
        <v>1719</v>
      </c>
      <c r="D98" s="237" t="s">
        <v>1155</v>
      </c>
      <c r="E98" s="176" t="s">
        <v>228</v>
      </c>
      <c r="F98" s="156" t="s">
        <v>2594</v>
      </c>
      <c r="G98" s="156" t="s">
        <v>229</v>
      </c>
      <c r="H98" s="156" t="s">
        <v>1734</v>
      </c>
      <c r="I98" s="7" t="s">
        <v>240</v>
      </c>
      <c r="J98" s="265">
        <v>1.1627999999999999E-2</v>
      </c>
      <c r="K98" s="9" t="s">
        <v>241</v>
      </c>
      <c r="L98" s="120">
        <v>800000000</v>
      </c>
      <c r="M98" s="120">
        <v>0</v>
      </c>
      <c r="N98" s="122"/>
      <c r="O98" s="122" t="s">
        <v>2622</v>
      </c>
      <c r="P98" s="200">
        <v>0</v>
      </c>
      <c r="Q98" s="195">
        <v>1</v>
      </c>
      <c r="R98" s="195">
        <v>1</v>
      </c>
      <c r="S98" s="195">
        <v>1</v>
      </c>
      <c r="T98" s="195" t="s">
        <v>1267</v>
      </c>
      <c r="U98" s="9" t="s">
        <v>244</v>
      </c>
      <c r="V98" s="11">
        <v>0.1</v>
      </c>
      <c r="W98" s="9" t="s">
        <v>235</v>
      </c>
      <c r="X98" s="9"/>
      <c r="Y98" s="7" t="s">
        <v>2587</v>
      </c>
      <c r="Z98" s="383" t="s">
        <v>2541</v>
      </c>
      <c r="AA98" s="239">
        <f t="shared" si="14"/>
        <v>1.1628000000000001E-3</v>
      </c>
      <c r="AB98" s="254">
        <f>+(Tabla1[[#This Row],[ponderacion_meta]]*Tabla1[[#This Row],[ponderacion_accion]])/3*1</f>
        <v>3.8760000000000004E-4</v>
      </c>
      <c r="AC98" s="262">
        <f>+(Tabla1[[#This Row],[Avance PDI]]*100%)/Tabla1[[#This Row],[ponderacion_meta]]</f>
        <v>3.333333333333334E-2</v>
      </c>
      <c r="AD98" s="257">
        <v>0</v>
      </c>
      <c r="AE98" s="257">
        <v>3.8756123999999998E-3</v>
      </c>
      <c r="AF98" s="257">
        <v>3.8756123999999998E-3</v>
      </c>
      <c r="AG98" s="257">
        <v>3.8756123999999998E-3</v>
      </c>
      <c r="AH98" s="393">
        <f t="shared" si="10"/>
        <v>1.9088790000000005E-2</v>
      </c>
      <c r="AI98" s="393">
        <f t="shared" si="11"/>
        <v>4.2766666666666675E-2</v>
      </c>
      <c r="AJ98" s="318">
        <f t="shared" si="9"/>
        <v>4.2766666666666675E-2</v>
      </c>
      <c r="AK98" s="385">
        <v>1.5504E-3</v>
      </c>
      <c r="AL98" s="407">
        <f t="shared" si="16"/>
        <v>6.6666666666666666E-2</v>
      </c>
      <c r="AM98" s="327">
        <v>0</v>
      </c>
      <c r="AN98" s="410">
        <f t="shared" si="17"/>
        <v>6.6666666666666666E-2</v>
      </c>
      <c r="AO98" s="359" t="e">
        <f>+([1]!Tabla1[[#This Row],[ponderacion_accion]]/3)*AQ98</f>
        <v>#REF!</v>
      </c>
      <c r="AP98" s="359" t="e">
        <f>Tabla1[[#This Row],[ponderacion_meta]]*AO98</f>
        <v>#REF!</v>
      </c>
      <c r="AQ98" s="351">
        <v>1</v>
      </c>
      <c r="AR98" s="380">
        <v>0</v>
      </c>
      <c r="AS98" s="9"/>
      <c r="AT98" s="521">
        <v>0</v>
      </c>
    </row>
    <row r="99" spans="1:46" ht="13.5" customHeight="1" x14ac:dyDescent="0.35">
      <c r="A99" s="236" t="s">
        <v>1150</v>
      </c>
      <c r="B99" s="237" t="s">
        <v>148</v>
      </c>
      <c r="C99" s="237" t="s">
        <v>1719</v>
      </c>
      <c r="D99" s="237" t="s">
        <v>1155</v>
      </c>
      <c r="E99" s="176" t="s">
        <v>228</v>
      </c>
      <c r="F99" s="156" t="s">
        <v>2594</v>
      </c>
      <c r="G99" s="156" t="s">
        <v>229</v>
      </c>
      <c r="H99" s="156" t="s">
        <v>1734</v>
      </c>
      <c r="I99" s="7" t="s">
        <v>240</v>
      </c>
      <c r="J99" s="265">
        <v>1.1627999999999999E-2</v>
      </c>
      <c r="K99" s="9" t="s">
        <v>241</v>
      </c>
      <c r="L99" s="120">
        <v>800000000</v>
      </c>
      <c r="M99" s="120">
        <v>0</v>
      </c>
      <c r="N99" s="122"/>
      <c r="O99" s="122" t="s">
        <v>2622</v>
      </c>
      <c r="P99" s="200">
        <v>0</v>
      </c>
      <c r="Q99" s="195">
        <v>1</v>
      </c>
      <c r="R99" s="195">
        <v>1</v>
      </c>
      <c r="S99" s="195">
        <v>1</v>
      </c>
      <c r="T99" s="195" t="s">
        <v>1268</v>
      </c>
      <c r="U99" s="9" t="s">
        <v>245</v>
      </c>
      <c r="V99" s="11">
        <v>0.6</v>
      </c>
      <c r="W99" s="9" t="s">
        <v>246</v>
      </c>
      <c r="X99" s="9"/>
      <c r="Y99" s="7" t="s">
        <v>2587</v>
      </c>
      <c r="Z99" s="383" t="s">
        <v>2542</v>
      </c>
      <c r="AA99" s="239">
        <f t="shared" si="14"/>
        <v>6.9767999999999991E-3</v>
      </c>
      <c r="AB99" s="252">
        <v>0</v>
      </c>
      <c r="AC99" s="262">
        <f>+(Tabla1[[#This Row],[Avance PDI]]*100%)/Tabla1[[#This Row],[ponderacion_meta]]</f>
        <v>0</v>
      </c>
      <c r="AD99" s="257">
        <v>0</v>
      </c>
      <c r="AE99" s="257">
        <v>3.8756123999999998E-3</v>
      </c>
      <c r="AF99" s="257">
        <v>3.8756123999999998E-3</v>
      </c>
      <c r="AG99" s="257">
        <v>3.8756123999999998E-3</v>
      </c>
      <c r="AH99" s="393">
        <f t="shared" si="10"/>
        <v>1.9088790000000005E-2</v>
      </c>
      <c r="AI99" s="393">
        <f t="shared" si="11"/>
        <v>4.2766666666666675E-2</v>
      </c>
      <c r="AJ99" s="318">
        <f t="shared" si="9"/>
        <v>4.2766666666666675E-2</v>
      </c>
      <c r="AK99" s="385">
        <v>1.5504E-3</v>
      </c>
      <c r="AL99" s="407">
        <f t="shared" si="16"/>
        <v>6.6666666666666666E-2</v>
      </c>
      <c r="AM99" s="327">
        <v>0</v>
      </c>
      <c r="AN99" s="410">
        <f t="shared" si="17"/>
        <v>6.6666666666666666E-2</v>
      </c>
      <c r="AO99" s="360" t="e">
        <f>+([1]!Tabla1[[#This Row],[ponderacion_accion]]/3)*AQ99</f>
        <v>#REF!</v>
      </c>
      <c r="AP99" s="360" t="e">
        <f>Tabla1[[#This Row],[ponderacion_meta]]*AO99</f>
        <v>#REF!</v>
      </c>
      <c r="AQ99" s="356"/>
      <c r="AR99" s="380">
        <v>0</v>
      </c>
      <c r="AS99" s="9"/>
      <c r="AT99" s="521">
        <v>0</v>
      </c>
    </row>
    <row r="100" spans="1:46" ht="18" customHeight="1" x14ac:dyDescent="0.35">
      <c r="A100" s="236" t="s">
        <v>1150</v>
      </c>
      <c r="B100" s="237" t="s">
        <v>148</v>
      </c>
      <c r="C100" s="237" t="s">
        <v>1719</v>
      </c>
      <c r="D100" s="237" t="s">
        <v>1156</v>
      </c>
      <c r="E100" s="176" t="s">
        <v>247</v>
      </c>
      <c r="F100" s="155" t="s">
        <v>2595</v>
      </c>
      <c r="G100" s="155" t="s">
        <v>248</v>
      </c>
      <c r="H100" s="415" t="s">
        <v>1733</v>
      </c>
      <c r="I100" s="2" t="s">
        <v>249</v>
      </c>
      <c r="J100" s="264">
        <v>6.4939999999999998E-3</v>
      </c>
      <c r="K100" s="6" t="s">
        <v>250</v>
      </c>
      <c r="L100" s="118">
        <v>0</v>
      </c>
      <c r="M100" s="118">
        <v>0</v>
      </c>
      <c r="N100" s="123"/>
      <c r="O100" s="123" t="s">
        <v>1753</v>
      </c>
      <c r="P100" s="201">
        <v>0</v>
      </c>
      <c r="Q100" s="184">
        <v>1</v>
      </c>
      <c r="R100" s="184">
        <v>1</v>
      </c>
      <c r="S100" s="184">
        <v>1</v>
      </c>
      <c r="T100" s="184" t="s">
        <v>1269</v>
      </c>
      <c r="U100" s="6" t="s">
        <v>251</v>
      </c>
      <c r="V100" s="10">
        <v>0.5</v>
      </c>
      <c r="W100" s="6" t="s">
        <v>252</v>
      </c>
      <c r="X100" s="6"/>
      <c r="Y100" s="2" t="s">
        <v>2587</v>
      </c>
      <c r="Z100" s="251" t="s">
        <v>2546</v>
      </c>
      <c r="AA100" s="238">
        <f t="shared" si="14"/>
        <v>3.2469999999999999E-3</v>
      </c>
      <c r="AB100" s="252">
        <v>0</v>
      </c>
      <c r="AC100" s="278">
        <f>+(Tabla1[[#This Row],[Avance PDI]]*100%)/Tabla1[[#This Row],[ponderacion_meta]]</f>
        <v>0</v>
      </c>
      <c r="AD100" s="279">
        <f>+Tabla1[[#This Row],[ponderacion_meta]]*Tabla1[[#This Row],[proyeccion_año1]]</f>
        <v>0</v>
      </c>
      <c r="AE100" s="279">
        <f>+Tabla1[[#This Row],[ponderacion_meta]]/300%*Tabla1[[#This Row],[proyeccion_año2]]</f>
        <v>2.1646666666666667E-3</v>
      </c>
      <c r="AF100" s="279">
        <f>+Tabla1[[#This Row],[ponderacion_meta]]/300%*Tabla1[[#This Row],[proyeccion_año3]]</f>
        <v>2.1646666666666667E-3</v>
      </c>
      <c r="AG100" s="279">
        <f>+Tabla1[[#This Row],[ponderacion_meta]]/300%*Tabla1[[#This Row],[proyeccion_año4]]</f>
        <v>2.1646666666666667E-3</v>
      </c>
      <c r="AH100" s="393">
        <f t="shared" si="10"/>
        <v>1.9088790000000005E-2</v>
      </c>
      <c r="AI100" s="393">
        <f t="shared" si="11"/>
        <v>4.2766666666666675E-2</v>
      </c>
      <c r="AJ100" s="318">
        <f>+SUM($AC$57:$AC$257)/50</f>
        <v>4.2766666666666675E-2</v>
      </c>
      <c r="AK100" s="386">
        <f>+SUM(AB100:AB133)</f>
        <v>2.9070000000000003E-3</v>
      </c>
      <c r="AL100" s="320">
        <f>+SUM(AC100:AC133)/8</f>
        <v>3.125E-2</v>
      </c>
      <c r="AM100" s="324">
        <f>+SUM(AB100:AB133)</f>
        <v>2.9070000000000003E-3</v>
      </c>
      <c r="AN100" s="411">
        <f>+SUM(AC100:AC133)/8</f>
        <v>3.125E-2</v>
      </c>
      <c r="AO100" s="343" t="e">
        <f>+([1]!Tabla1[[#This Row],[ponderacion_accion]]/3)*AQ100</f>
        <v>#REF!</v>
      </c>
      <c r="AP100" s="343" t="e">
        <f>Tabla1[[#This Row],[ponderacion_meta]]*AO100</f>
        <v>#REF!</v>
      </c>
      <c r="AQ100" s="353"/>
      <c r="AR100" s="377">
        <v>0</v>
      </c>
      <c r="AS100" s="7" t="e">
        <f>+((SUM(AO100:AO101)*100)/33.33)</f>
        <v>#REF!</v>
      </c>
      <c r="AT100" s="521">
        <v>0</v>
      </c>
    </row>
    <row r="101" spans="1:46" ht="18" customHeight="1" x14ac:dyDescent="0.35">
      <c r="A101" s="236" t="s">
        <v>1150</v>
      </c>
      <c r="B101" s="237" t="s">
        <v>148</v>
      </c>
      <c r="C101" s="237" t="s">
        <v>1719</v>
      </c>
      <c r="D101" s="237" t="s">
        <v>1156</v>
      </c>
      <c r="E101" s="176" t="s">
        <v>247</v>
      </c>
      <c r="F101" s="155" t="s">
        <v>2595</v>
      </c>
      <c r="G101" s="155" t="s">
        <v>248</v>
      </c>
      <c r="H101" s="155" t="s">
        <v>1733</v>
      </c>
      <c r="I101" s="2" t="s">
        <v>249</v>
      </c>
      <c r="J101" s="264">
        <v>6.4939999999999998E-3</v>
      </c>
      <c r="K101" s="6" t="s">
        <v>250</v>
      </c>
      <c r="L101" s="118">
        <v>0</v>
      </c>
      <c r="M101" s="118">
        <v>0</v>
      </c>
      <c r="N101" s="123"/>
      <c r="O101" s="123" t="s">
        <v>1753</v>
      </c>
      <c r="P101" s="201">
        <v>0</v>
      </c>
      <c r="Q101" s="184">
        <v>1</v>
      </c>
      <c r="R101" s="184">
        <v>1</v>
      </c>
      <c r="S101" s="184">
        <v>1</v>
      </c>
      <c r="T101" s="184" t="s">
        <v>1270</v>
      </c>
      <c r="U101" s="6" t="s">
        <v>253</v>
      </c>
      <c r="V101" s="10">
        <v>0.5</v>
      </c>
      <c r="W101" s="6" t="s">
        <v>24</v>
      </c>
      <c r="X101" s="6"/>
      <c r="Y101" s="2" t="s">
        <v>2587</v>
      </c>
      <c r="Z101" s="251" t="s">
        <v>2546</v>
      </c>
      <c r="AA101" s="238">
        <f t="shared" si="14"/>
        <v>3.2469999999999999E-3</v>
      </c>
      <c r="AB101" s="252">
        <v>0</v>
      </c>
      <c r="AC101" s="278">
        <f>+(Tabla1[[#This Row],[Avance PDI]]*100%)/Tabla1[[#This Row],[ponderacion_meta]]</f>
        <v>0</v>
      </c>
      <c r="AD101" s="279">
        <v>0</v>
      </c>
      <c r="AE101" s="279">
        <v>2.1646666666666667E-3</v>
      </c>
      <c r="AF101" s="279">
        <v>2.1646666666666667E-3</v>
      </c>
      <c r="AG101" s="279">
        <v>2.1646666666666667E-3</v>
      </c>
      <c r="AH101" s="393">
        <f t="shared" si="10"/>
        <v>1.9088790000000005E-2</v>
      </c>
      <c r="AI101" s="393">
        <f t="shared" si="11"/>
        <v>4.2766666666666675E-2</v>
      </c>
      <c r="AJ101" s="318">
        <f t="shared" si="9"/>
        <v>4.2766666666666675E-2</v>
      </c>
      <c r="AK101" s="387">
        <v>2.9070000000000003E-3</v>
      </c>
      <c r="AL101" s="321">
        <f>$AL$100</f>
        <v>3.125E-2</v>
      </c>
      <c r="AM101" s="325">
        <v>0</v>
      </c>
      <c r="AN101" s="411">
        <f>$AN$100</f>
        <v>3.125E-2</v>
      </c>
      <c r="AO101" s="345" t="e">
        <f>+([1]!Tabla1[[#This Row],[ponderacion_accion]]/3)*AQ101</f>
        <v>#REF!</v>
      </c>
      <c r="AP101" s="345" t="e">
        <f>Tabla1[[#This Row],[ponderacion_meta]]*AO101</f>
        <v>#REF!</v>
      </c>
      <c r="AQ101" s="357"/>
      <c r="AR101" s="379">
        <v>0</v>
      </c>
      <c r="AS101" s="7"/>
      <c r="AT101" s="521">
        <v>0</v>
      </c>
    </row>
    <row r="102" spans="1:46" x14ac:dyDescent="0.35">
      <c r="A102" s="236" t="s">
        <v>1150</v>
      </c>
      <c r="B102" s="237" t="s">
        <v>148</v>
      </c>
      <c r="C102" s="237" t="s">
        <v>1719</v>
      </c>
      <c r="D102" s="237" t="s">
        <v>1156</v>
      </c>
      <c r="E102" s="176" t="s">
        <v>247</v>
      </c>
      <c r="F102" s="155" t="s">
        <v>2595</v>
      </c>
      <c r="G102" s="157" t="s">
        <v>248</v>
      </c>
      <c r="H102" s="157" t="s">
        <v>1733</v>
      </c>
      <c r="I102" s="16" t="s">
        <v>254</v>
      </c>
      <c r="J102" s="265">
        <v>1.1627999999999999E-2</v>
      </c>
      <c r="K102" s="97" t="s">
        <v>255</v>
      </c>
      <c r="L102" s="122">
        <v>104236000</v>
      </c>
      <c r="M102" s="122">
        <v>0</v>
      </c>
      <c r="N102" s="122"/>
      <c r="O102" s="122" t="s">
        <v>1753</v>
      </c>
      <c r="P102" s="185">
        <v>0</v>
      </c>
      <c r="Q102" s="186">
        <v>0.5</v>
      </c>
      <c r="R102" s="186">
        <v>0.4</v>
      </c>
      <c r="S102" s="186">
        <v>0.1</v>
      </c>
      <c r="T102" s="186" t="s">
        <v>1271</v>
      </c>
      <c r="U102" s="9" t="s">
        <v>256</v>
      </c>
      <c r="V102" s="11">
        <v>0.05</v>
      </c>
      <c r="W102" s="9" t="s">
        <v>257</v>
      </c>
      <c r="X102" s="9"/>
      <c r="Y102" s="7" t="s">
        <v>2587</v>
      </c>
      <c r="Z102" s="383" t="s">
        <v>2547</v>
      </c>
      <c r="AA102" s="239">
        <f t="shared" si="14"/>
        <v>5.8140000000000004E-4</v>
      </c>
      <c r="AB102" s="252">
        <v>0</v>
      </c>
      <c r="AC102" s="262">
        <f>+(Tabla1[[#This Row],[Avance PDI]]*100%)/Tabla1[[#This Row],[ponderacion_meta]]</f>
        <v>0</v>
      </c>
      <c r="AD102" s="257">
        <f>+Tabla1[[#This Row],[ponderacion_meta]]*Tabla1[[#This Row],[proyeccion_año1]]</f>
        <v>0</v>
      </c>
      <c r="AE102" s="257">
        <f>+Tabla1[[#This Row],[ponderacion_meta]]*Tabla1[[#This Row],[proyeccion_año2]]</f>
        <v>5.8139999999999997E-3</v>
      </c>
      <c r="AF102" s="257">
        <f>+Tabla1[[#This Row],[ponderacion_meta]]*Tabla1[[#This Row],[proyeccion_año3]]</f>
        <v>4.6512000000000003E-3</v>
      </c>
      <c r="AG102" s="257">
        <f>+Tabla1[[#This Row],[ponderacion_meta]]*Tabla1[[#This Row],[proyeccion_año4]]</f>
        <v>1.1628000000000001E-3</v>
      </c>
      <c r="AH102" s="393">
        <f t="shared" si="10"/>
        <v>1.9088790000000005E-2</v>
      </c>
      <c r="AI102" s="393">
        <f t="shared" si="11"/>
        <v>4.2766666666666675E-2</v>
      </c>
      <c r="AJ102" s="318">
        <f t="shared" si="9"/>
        <v>4.2766666666666675E-2</v>
      </c>
      <c r="AK102" s="387">
        <v>2.9070000000000003E-3</v>
      </c>
      <c r="AL102" s="321">
        <f t="shared" ref="AL102:AL133" si="18">$AL$100</f>
        <v>3.125E-2</v>
      </c>
      <c r="AM102" s="325">
        <v>0</v>
      </c>
      <c r="AN102" s="411">
        <f t="shared" ref="AN102:AN133" si="19">$AN$100</f>
        <v>3.125E-2</v>
      </c>
      <c r="AO102" s="346" t="e">
        <f>+([1]!Tabla1[[#This Row],[ponderacion_accion]]/5%)*AQ102</f>
        <v>#REF!</v>
      </c>
      <c r="AP102" s="346" t="e">
        <f>Tabla1[[#This Row],[ponderacion_meta]]*AO102</f>
        <v>#REF!</v>
      </c>
      <c r="AQ102" s="361"/>
      <c r="AR102" s="380">
        <v>0</v>
      </c>
      <c r="AS102" s="7" t="e">
        <f>+((SUM(AO102:AO107)*100)/25)</f>
        <v>#REF!</v>
      </c>
      <c r="AT102" s="521">
        <v>0</v>
      </c>
    </row>
    <row r="103" spans="1:46" x14ac:dyDescent="0.35">
      <c r="A103" s="236" t="s">
        <v>1150</v>
      </c>
      <c r="B103" s="237" t="s">
        <v>148</v>
      </c>
      <c r="C103" s="237" t="s">
        <v>1719</v>
      </c>
      <c r="D103" s="237" t="s">
        <v>1156</v>
      </c>
      <c r="E103" s="176" t="s">
        <v>247</v>
      </c>
      <c r="F103" s="155" t="s">
        <v>2595</v>
      </c>
      <c r="G103" s="157" t="s">
        <v>248</v>
      </c>
      <c r="H103" s="157" t="s">
        <v>1733</v>
      </c>
      <c r="I103" s="16" t="s">
        <v>254</v>
      </c>
      <c r="J103" s="265">
        <v>1.1627999999999999E-2</v>
      </c>
      <c r="K103" s="97" t="s">
        <v>255</v>
      </c>
      <c r="L103" s="122">
        <v>104236000</v>
      </c>
      <c r="M103" s="122">
        <v>0</v>
      </c>
      <c r="N103" s="122"/>
      <c r="O103" s="122" t="s">
        <v>1753</v>
      </c>
      <c r="P103" s="185">
        <v>0</v>
      </c>
      <c r="Q103" s="186">
        <v>0.5</v>
      </c>
      <c r="R103" s="186">
        <v>0.4</v>
      </c>
      <c r="S103" s="186">
        <v>0.1</v>
      </c>
      <c r="T103" s="186" t="s">
        <v>1272</v>
      </c>
      <c r="U103" s="9" t="s">
        <v>258</v>
      </c>
      <c r="V103" s="11">
        <v>0.2</v>
      </c>
      <c r="W103" s="9" t="s">
        <v>259</v>
      </c>
      <c r="X103" s="9"/>
      <c r="Y103" s="7" t="s">
        <v>2587</v>
      </c>
      <c r="Z103" s="383" t="s">
        <v>2547</v>
      </c>
      <c r="AA103" s="239">
        <f t="shared" si="14"/>
        <v>2.3256000000000001E-3</v>
      </c>
      <c r="AB103" s="252">
        <v>0</v>
      </c>
      <c r="AC103" s="262">
        <f>+(Tabla1[[#This Row],[Avance PDI]]*100%)/Tabla1[[#This Row],[ponderacion_meta]]</f>
        <v>0</v>
      </c>
      <c r="AD103" s="257">
        <v>0</v>
      </c>
      <c r="AE103" s="257">
        <v>5.8139999999999997E-3</v>
      </c>
      <c r="AF103" s="257">
        <v>4.6512000000000003E-3</v>
      </c>
      <c r="AG103" s="257">
        <v>1.1628000000000001E-3</v>
      </c>
      <c r="AH103" s="393">
        <f t="shared" si="10"/>
        <v>1.9088790000000005E-2</v>
      </c>
      <c r="AI103" s="393">
        <f t="shared" si="11"/>
        <v>4.2766666666666675E-2</v>
      </c>
      <c r="AJ103" s="318">
        <f t="shared" si="9"/>
        <v>4.2766666666666675E-2</v>
      </c>
      <c r="AK103" s="387">
        <v>2.9070000000000003E-3</v>
      </c>
      <c r="AL103" s="321">
        <f t="shared" si="18"/>
        <v>3.125E-2</v>
      </c>
      <c r="AM103" s="325">
        <v>0</v>
      </c>
      <c r="AN103" s="411">
        <f t="shared" si="19"/>
        <v>3.125E-2</v>
      </c>
      <c r="AO103" s="347" t="e">
        <f>+([1]!Tabla1[[#This Row],[ponderacion_accion]]/20%)*AQ103</f>
        <v>#REF!</v>
      </c>
      <c r="AP103" s="347" t="e">
        <f>Tabla1[[#This Row],[ponderacion_meta]]*AO103</f>
        <v>#REF!</v>
      </c>
      <c r="AQ103" s="351"/>
      <c r="AR103" s="380">
        <v>0</v>
      </c>
      <c r="AS103" s="9"/>
      <c r="AT103" s="521">
        <v>0</v>
      </c>
    </row>
    <row r="104" spans="1:46" x14ac:dyDescent="0.35">
      <c r="A104" s="236" t="s">
        <v>1150</v>
      </c>
      <c r="B104" s="237" t="s">
        <v>148</v>
      </c>
      <c r="C104" s="237" t="s">
        <v>1719</v>
      </c>
      <c r="D104" s="237" t="s">
        <v>1156</v>
      </c>
      <c r="E104" s="176" t="s">
        <v>247</v>
      </c>
      <c r="F104" s="155" t="s">
        <v>2595</v>
      </c>
      <c r="G104" s="157" t="s">
        <v>248</v>
      </c>
      <c r="H104" s="157" t="s">
        <v>1733</v>
      </c>
      <c r="I104" s="16" t="s">
        <v>254</v>
      </c>
      <c r="J104" s="265">
        <v>1.1627999999999999E-2</v>
      </c>
      <c r="K104" s="97" t="s">
        <v>255</v>
      </c>
      <c r="L104" s="122">
        <v>104236000</v>
      </c>
      <c r="M104" s="122">
        <v>0</v>
      </c>
      <c r="N104" s="122"/>
      <c r="O104" s="122" t="s">
        <v>1753</v>
      </c>
      <c r="P104" s="185">
        <v>0</v>
      </c>
      <c r="Q104" s="186">
        <v>0.5</v>
      </c>
      <c r="R104" s="186">
        <v>0.4</v>
      </c>
      <c r="S104" s="186">
        <v>0.1</v>
      </c>
      <c r="T104" s="186" t="s">
        <v>1273</v>
      </c>
      <c r="U104" s="9" t="s">
        <v>260</v>
      </c>
      <c r="V104" s="11">
        <v>0.15</v>
      </c>
      <c r="W104" s="9" t="s">
        <v>261</v>
      </c>
      <c r="X104" s="9"/>
      <c r="Y104" s="7" t="s">
        <v>2588</v>
      </c>
      <c r="Z104" s="383" t="s">
        <v>2547</v>
      </c>
      <c r="AA104" s="239">
        <f t="shared" si="14"/>
        <v>1.7441999999999998E-3</v>
      </c>
      <c r="AB104" s="252">
        <v>0</v>
      </c>
      <c r="AC104" s="262">
        <f>+(Tabla1[[#This Row],[Avance PDI]]*100%)/Tabla1[[#This Row],[ponderacion_meta]]</f>
        <v>0</v>
      </c>
      <c r="AD104" s="257">
        <v>0</v>
      </c>
      <c r="AE104" s="257">
        <v>5.8139999999999997E-3</v>
      </c>
      <c r="AF104" s="257">
        <v>4.6512000000000003E-3</v>
      </c>
      <c r="AG104" s="257">
        <v>1.1628000000000001E-3</v>
      </c>
      <c r="AH104" s="393">
        <f t="shared" si="10"/>
        <v>1.9088790000000005E-2</v>
      </c>
      <c r="AI104" s="393">
        <f t="shared" si="11"/>
        <v>4.2766666666666675E-2</v>
      </c>
      <c r="AJ104" s="318">
        <f t="shared" si="9"/>
        <v>4.2766666666666675E-2</v>
      </c>
      <c r="AK104" s="387">
        <v>2.9070000000000003E-3</v>
      </c>
      <c r="AL104" s="321">
        <f t="shared" si="18"/>
        <v>3.125E-2</v>
      </c>
      <c r="AM104" s="325">
        <v>0</v>
      </c>
      <c r="AN104" s="411">
        <f t="shared" si="19"/>
        <v>3.125E-2</v>
      </c>
      <c r="AO104" s="347" t="e">
        <f>+([1]!Tabla1[[#This Row],[ponderacion_accion]]/15%)*AQ104</f>
        <v>#REF!</v>
      </c>
      <c r="AP104" s="347" t="e">
        <f>Tabla1[[#This Row],[ponderacion_meta]]*AO104</f>
        <v>#REF!</v>
      </c>
      <c r="AQ104" s="351"/>
      <c r="AR104" s="380">
        <v>0</v>
      </c>
      <c r="AS104" s="9"/>
      <c r="AT104" s="521">
        <v>0</v>
      </c>
    </row>
    <row r="105" spans="1:46" x14ac:dyDescent="0.35">
      <c r="A105" s="236" t="s">
        <v>1150</v>
      </c>
      <c r="B105" s="237" t="s">
        <v>148</v>
      </c>
      <c r="C105" s="237" t="s">
        <v>1719</v>
      </c>
      <c r="D105" s="237" t="s">
        <v>1156</v>
      </c>
      <c r="E105" s="176" t="s">
        <v>247</v>
      </c>
      <c r="F105" s="155" t="s">
        <v>2595</v>
      </c>
      <c r="G105" s="157" t="s">
        <v>248</v>
      </c>
      <c r="H105" s="157" t="s">
        <v>1733</v>
      </c>
      <c r="I105" s="16" t="s">
        <v>254</v>
      </c>
      <c r="J105" s="265">
        <v>1.1627999999999999E-2</v>
      </c>
      <c r="K105" s="97" t="s">
        <v>255</v>
      </c>
      <c r="L105" s="122">
        <v>104236000</v>
      </c>
      <c r="M105" s="122">
        <v>0</v>
      </c>
      <c r="N105" s="122"/>
      <c r="O105" s="122" t="s">
        <v>1753</v>
      </c>
      <c r="P105" s="185">
        <v>0</v>
      </c>
      <c r="Q105" s="186">
        <v>0.5</v>
      </c>
      <c r="R105" s="186">
        <v>0.4</v>
      </c>
      <c r="S105" s="186">
        <v>0.1</v>
      </c>
      <c r="T105" s="186" t="s">
        <v>1274</v>
      </c>
      <c r="U105" s="9" t="s">
        <v>262</v>
      </c>
      <c r="V105" s="11">
        <v>0.15</v>
      </c>
      <c r="W105" s="9" t="s">
        <v>263</v>
      </c>
      <c r="X105" s="9"/>
      <c r="Y105" s="7" t="s">
        <v>2588</v>
      </c>
      <c r="Z105" s="383" t="s">
        <v>2547</v>
      </c>
      <c r="AA105" s="239">
        <f t="shared" si="14"/>
        <v>1.7441999999999998E-3</v>
      </c>
      <c r="AB105" s="252">
        <v>0</v>
      </c>
      <c r="AC105" s="262">
        <f>+(Tabla1[[#This Row],[Avance PDI]]*100%)/Tabla1[[#This Row],[ponderacion_meta]]</f>
        <v>0</v>
      </c>
      <c r="AD105" s="257">
        <v>0</v>
      </c>
      <c r="AE105" s="257">
        <v>5.8139999999999997E-3</v>
      </c>
      <c r="AF105" s="257">
        <v>4.6512000000000003E-3</v>
      </c>
      <c r="AG105" s="257">
        <v>1.1628000000000001E-3</v>
      </c>
      <c r="AH105" s="393">
        <f t="shared" si="10"/>
        <v>1.9088790000000005E-2</v>
      </c>
      <c r="AI105" s="393">
        <f t="shared" si="11"/>
        <v>4.2766666666666675E-2</v>
      </c>
      <c r="AJ105" s="318">
        <f t="shared" si="9"/>
        <v>4.2766666666666675E-2</v>
      </c>
      <c r="AK105" s="387">
        <v>2.9070000000000003E-3</v>
      </c>
      <c r="AL105" s="321">
        <f t="shared" si="18"/>
        <v>3.125E-2</v>
      </c>
      <c r="AM105" s="325">
        <v>0</v>
      </c>
      <c r="AN105" s="411">
        <f t="shared" si="19"/>
        <v>3.125E-2</v>
      </c>
      <c r="AO105" s="347" t="e">
        <f>+([1]!Tabla1[[#This Row],[ponderacion_accion]]/15%)*AQ105</f>
        <v>#REF!</v>
      </c>
      <c r="AP105" s="347" t="e">
        <f>Tabla1[[#This Row],[ponderacion_meta]]*AO105</f>
        <v>#REF!</v>
      </c>
      <c r="AQ105" s="351"/>
      <c r="AR105" s="380">
        <v>0</v>
      </c>
      <c r="AS105" s="9"/>
      <c r="AT105" s="521">
        <v>0</v>
      </c>
    </row>
    <row r="106" spans="1:46" x14ac:dyDescent="0.35">
      <c r="A106" s="236" t="s">
        <v>1150</v>
      </c>
      <c r="B106" s="237" t="s">
        <v>148</v>
      </c>
      <c r="C106" s="237" t="s">
        <v>1719</v>
      </c>
      <c r="D106" s="237" t="s">
        <v>1156</v>
      </c>
      <c r="E106" s="176" t="s">
        <v>247</v>
      </c>
      <c r="F106" s="155" t="s">
        <v>2595</v>
      </c>
      <c r="G106" s="157" t="s">
        <v>248</v>
      </c>
      <c r="H106" s="157" t="s">
        <v>1733</v>
      </c>
      <c r="I106" s="16" t="s">
        <v>254</v>
      </c>
      <c r="J106" s="265">
        <v>1.1627999999999999E-2</v>
      </c>
      <c r="K106" s="97" t="s">
        <v>255</v>
      </c>
      <c r="L106" s="122">
        <v>104236000</v>
      </c>
      <c r="M106" s="122">
        <v>0</v>
      </c>
      <c r="N106" s="122"/>
      <c r="O106" s="122" t="s">
        <v>1753</v>
      </c>
      <c r="P106" s="185">
        <v>0</v>
      </c>
      <c r="Q106" s="186">
        <v>0.5</v>
      </c>
      <c r="R106" s="186">
        <v>0.4</v>
      </c>
      <c r="S106" s="186">
        <v>0.1</v>
      </c>
      <c r="T106" s="186" t="s">
        <v>1275</v>
      </c>
      <c r="U106" s="9" t="s">
        <v>264</v>
      </c>
      <c r="V106" s="11">
        <v>0.05</v>
      </c>
      <c r="W106" s="9" t="s">
        <v>265</v>
      </c>
      <c r="X106" s="9"/>
      <c r="Y106" s="7" t="s">
        <v>2588</v>
      </c>
      <c r="Z106" s="383" t="s">
        <v>2547</v>
      </c>
      <c r="AA106" s="239">
        <f t="shared" si="14"/>
        <v>5.8140000000000004E-4</v>
      </c>
      <c r="AB106" s="252">
        <v>0</v>
      </c>
      <c r="AC106" s="262">
        <f>+(Tabla1[[#This Row],[Avance PDI]]*100%)/Tabla1[[#This Row],[ponderacion_meta]]</f>
        <v>0</v>
      </c>
      <c r="AD106" s="257">
        <v>0</v>
      </c>
      <c r="AE106" s="257">
        <v>5.8139999999999997E-3</v>
      </c>
      <c r="AF106" s="257">
        <v>4.6512000000000003E-3</v>
      </c>
      <c r="AG106" s="257">
        <v>1.1628000000000001E-3</v>
      </c>
      <c r="AH106" s="393">
        <f t="shared" si="10"/>
        <v>1.9088790000000005E-2</v>
      </c>
      <c r="AI106" s="393">
        <f t="shared" si="11"/>
        <v>4.2766666666666675E-2</v>
      </c>
      <c r="AJ106" s="318">
        <f t="shared" si="9"/>
        <v>4.2766666666666675E-2</v>
      </c>
      <c r="AK106" s="387">
        <v>2.9070000000000003E-3</v>
      </c>
      <c r="AL106" s="321">
        <f t="shared" si="18"/>
        <v>3.125E-2</v>
      </c>
      <c r="AM106" s="325">
        <v>0</v>
      </c>
      <c r="AN106" s="411">
        <f t="shared" si="19"/>
        <v>3.125E-2</v>
      </c>
      <c r="AO106" s="347" t="e">
        <f>+([1]!Tabla1[[#This Row],[ponderacion_accion]]/5%)*AQ106</f>
        <v>#REF!</v>
      </c>
      <c r="AP106" s="347" t="e">
        <f>Tabla1[[#This Row],[ponderacion_meta]]*AO106</f>
        <v>#REF!</v>
      </c>
      <c r="AQ106" s="351"/>
      <c r="AR106" s="380">
        <v>0</v>
      </c>
      <c r="AS106" s="9"/>
      <c r="AT106" s="521">
        <v>0</v>
      </c>
    </row>
    <row r="107" spans="1:46" x14ac:dyDescent="0.35">
      <c r="A107" s="236" t="s">
        <v>1150</v>
      </c>
      <c r="B107" s="237" t="s">
        <v>148</v>
      </c>
      <c r="C107" s="237" t="s">
        <v>1719</v>
      </c>
      <c r="D107" s="237" t="s">
        <v>1156</v>
      </c>
      <c r="E107" s="176" t="s">
        <v>247</v>
      </c>
      <c r="F107" s="155" t="s">
        <v>2595</v>
      </c>
      <c r="G107" s="157" t="s">
        <v>248</v>
      </c>
      <c r="H107" s="157" t="s">
        <v>1733</v>
      </c>
      <c r="I107" s="16" t="s">
        <v>254</v>
      </c>
      <c r="J107" s="265">
        <v>1.1627999999999999E-2</v>
      </c>
      <c r="K107" s="97" t="s">
        <v>255</v>
      </c>
      <c r="L107" s="122">
        <v>104236000</v>
      </c>
      <c r="M107" s="122">
        <v>0</v>
      </c>
      <c r="N107" s="122"/>
      <c r="O107" s="122" t="s">
        <v>1753</v>
      </c>
      <c r="P107" s="185">
        <v>0</v>
      </c>
      <c r="Q107" s="186">
        <v>0.5</v>
      </c>
      <c r="R107" s="186">
        <v>0.4</v>
      </c>
      <c r="S107" s="186">
        <v>0.1</v>
      </c>
      <c r="T107" s="186" t="s">
        <v>1276</v>
      </c>
      <c r="U107" s="9" t="s">
        <v>266</v>
      </c>
      <c r="V107" s="11">
        <v>0.4</v>
      </c>
      <c r="W107" s="9" t="s">
        <v>267</v>
      </c>
      <c r="X107" s="9"/>
      <c r="Y107" s="7" t="s">
        <v>2588</v>
      </c>
      <c r="Z107" s="383" t="s">
        <v>2547</v>
      </c>
      <c r="AA107" s="239">
        <f t="shared" si="14"/>
        <v>4.6512000000000003E-3</v>
      </c>
      <c r="AB107" s="252">
        <v>0</v>
      </c>
      <c r="AC107" s="262">
        <f>+(Tabla1[[#This Row],[Avance PDI]]*100%)/Tabla1[[#This Row],[ponderacion_meta]]</f>
        <v>0</v>
      </c>
      <c r="AD107" s="257">
        <v>0</v>
      </c>
      <c r="AE107" s="257">
        <v>5.8139999999999997E-3</v>
      </c>
      <c r="AF107" s="257">
        <v>4.6512000000000003E-3</v>
      </c>
      <c r="AG107" s="257">
        <v>1.1628000000000001E-3</v>
      </c>
      <c r="AH107" s="393">
        <f t="shared" si="10"/>
        <v>1.9088790000000005E-2</v>
      </c>
      <c r="AI107" s="393">
        <f t="shared" si="11"/>
        <v>4.2766666666666675E-2</v>
      </c>
      <c r="AJ107" s="318">
        <f t="shared" si="9"/>
        <v>4.2766666666666675E-2</v>
      </c>
      <c r="AK107" s="387">
        <v>2.9070000000000003E-3</v>
      </c>
      <c r="AL107" s="321">
        <f t="shared" si="18"/>
        <v>3.125E-2</v>
      </c>
      <c r="AM107" s="325">
        <v>0</v>
      </c>
      <c r="AN107" s="411">
        <f t="shared" si="19"/>
        <v>3.125E-2</v>
      </c>
      <c r="AO107" s="348" t="e">
        <f>+([1]!Tabla1[[#This Row],[ponderacion_accion]]/40%)*AQ107</f>
        <v>#REF!</v>
      </c>
      <c r="AP107" s="348" t="e">
        <f>Tabla1[[#This Row],[ponderacion_meta]]*AO107</f>
        <v>#REF!</v>
      </c>
      <c r="AQ107" s="356"/>
      <c r="AR107" s="380">
        <v>0</v>
      </c>
      <c r="AS107" s="9"/>
      <c r="AT107" s="521">
        <v>0</v>
      </c>
    </row>
    <row r="108" spans="1:46" x14ac:dyDescent="0.35">
      <c r="A108" s="236" t="s">
        <v>1150</v>
      </c>
      <c r="B108" s="237" t="s">
        <v>148</v>
      </c>
      <c r="C108" s="237" t="s">
        <v>1719</v>
      </c>
      <c r="D108" s="237" t="s">
        <v>1156</v>
      </c>
      <c r="E108" s="176" t="s">
        <v>247</v>
      </c>
      <c r="F108" s="155" t="s">
        <v>2595</v>
      </c>
      <c r="G108" s="155" t="s">
        <v>248</v>
      </c>
      <c r="H108" s="155" t="s">
        <v>1733</v>
      </c>
      <c r="I108" s="2" t="s">
        <v>268</v>
      </c>
      <c r="J108" s="264">
        <v>1.1627999999999999E-2</v>
      </c>
      <c r="K108" s="6" t="s">
        <v>269</v>
      </c>
      <c r="L108" s="118">
        <v>2460785833.0999999</v>
      </c>
      <c r="M108" s="118">
        <v>0</v>
      </c>
      <c r="N108" s="123"/>
      <c r="O108" s="123" t="s">
        <v>1753</v>
      </c>
      <c r="P108" s="183">
        <v>1</v>
      </c>
      <c r="Q108" s="184">
        <v>1</v>
      </c>
      <c r="R108" s="184">
        <v>1</v>
      </c>
      <c r="S108" s="184">
        <v>1</v>
      </c>
      <c r="T108" s="184" t="s">
        <v>1277</v>
      </c>
      <c r="U108" s="6" t="s">
        <v>270</v>
      </c>
      <c r="V108" s="10">
        <v>0.1</v>
      </c>
      <c r="W108" s="6" t="s">
        <v>271</v>
      </c>
      <c r="X108" s="6"/>
      <c r="Y108" s="2" t="s">
        <v>2587</v>
      </c>
      <c r="Z108" s="6" t="s">
        <v>2535</v>
      </c>
      <c r="AA108" s="238">
        <f t="shared" si="14"/>
        <v>1.1628000000000001E-3</v>
      </c>
      <c r="AB108" s="253">
        <f>+(Tabla1[[#This Row],[ponderacion_meta]]*Tabla1[[#This Row],[ponderacion_accion]])*25%</f>
        <v>2.9070000000000002E-4</v>
      </c>
      <c r="AC108" s="278">
        <f>+(Tabla1[[#This Row],[Avance PDI]]*100%)/Tabla1[[#This Row],[ponderacion_meta]]</f>
        <v>2.5000000000000001E-2</v>
      </c>
      <c r="AD108" s="279">
        <f>+(Tabla1[[#This Row],[ponderacion_meta]]*Tabla1[[#This Row],[proyeccion_año1]])/4</f>
        <v>2.9069999999999999E-3</v>
      </c>
      <c r="AE108" s="279">
        <f>+(Tabla1[[#This Row],[ponderacion_meta]]*Tabla1[[#This Row],[proyeccion_año2]])/4</f>
        <v>2.9069999999999999E-3</v>
      </c>
      <c r="AF108" s="279">
        <f>+(Tabla1[[#This Row],[ponderacion_meta]]*Tabla1[[#This Row],[proyeccion_año3]])/4</f>
        <v>2.9069999999999999E-3</v>
      </c>
      <c r="AG108" s="279">
        <f>+(Tabla1[[#This Row],[ponderacion_meta]]*Tabla1[[#This Row],[proyeccion_año4]])/4</f>
        <v>2.9069999999999999E-3</v>
      </c>
      <c r="AH108" s="393">
        <f t="shared" si="10"/>
        <v>1.9088790000000005E-2</v>
      </c>
      <c r="AI108" s="393">
        <f t="shared" si="11"/>
        <v>4.2766666666666675E-2</v>
      </c>
      <c r="AJ108" s="318">
        <f t="shared" si="9"/>
        <v>4.2766666666666675E-2</v>
      </c>
      <c r="AK108" s="387">
        <v>2.9070000000000003E-3</v>
      </c>
      <c r="AL108" s="321">
        <f t="shared" si="18"/>
        <v>3.125E-2</v>
      </c>
      <c r="AM108" s="325">
        <v>0</v>
      </c>
      <c r="AN108" s="411">
        <f t="shared" si="19"/>
        <v>3.125E-2</v>
      </c>
      <c r="AO108" s="343" t="e">
        <f>+([1]!Tabla1[[#This Row],[ponderacion_accion]]/4)*AQ108</f>
        <v>#REF!</v>
      </c>
      <c r="AP108" s="343" t="e">
        <f>Tabla1[[#This Row],[ponderacion_meta]]*AO108</f>
        <v>#REF!</v>
      </c>
      <c r="AQ108" s="353">
        <v>1</v>
      </c>
      <c r="AR108" s="377">
        <v>0</v>
      </c>
      <c r="AS108" s="7" t="e">
        <f>+((SUM(AO108:AO113)*100)/50)</f>
        <v>#REF!</v>
      </c>
      <c r="AT108" s="521">
        <v>0</v>
      </c>
    </row>
    <row r="109" spans="1:46" x14ac:dyDescent="0.35">
      <c r="A109" s="236" t="s">
        <v>1150</v>
      </c>
      <c r="B109" s="237" t="s">
        <v>148</v>
      </c>
      <c r="C109" s="237" t="s">
        <v>1719</v>
      </c>
      <c r="D109" s="237" t="s">
        <v>1156</v>
      </c>
      <c r="E109" s="176" t="s">
        <v>247</v>
      </c>
      <c r="F109" s="155" t="s">
        <v>2595</v>
      </c>
      <c r="G109" s="155" t="s">
        <v>248</v>
      </c>
      <c r="H109" s="155" t="s">
        <v>1733</v>
      </c>
      <c r="I109" s="2" t="s">
        <v>268</v>
      </c>
      <c r="J109" s="264">
        <v>1.1627999999999999E-2</v>
      </c>
      <c r="K109" s="6" t="s">
        <v>269</v>
      </c>
      <c r="L109" s="118">
        <v>2460785833.0999999</v>
      </c>
      <c r="M109" s="118">
        <v>0</v>
      </c>
      <c r="N109" s="123"/>
      <c r="O109" s="123" t="s">
        <v>1753</v>
      </c>
      <c r="P109" s="183">
        <v>1</v>
      </c>
      <c r="Q109" s="184">
        <v>1</v>
      </c>
      <c r="R109" s="184">
        <v>1</v>
      </c>
      <c r="S109" s="184">
        <v>1</v>
      </c>
      <c r="T109" s="184" t="s">
        <v>1278</v>
      </c>
      <c r="U109" s="6" t="s">
        <v>272</v>
      </c>
      <c r="V109" s="10">
        <v>0.1</v>
      </c>
      <c r="W109" s="6" t="s">
        <v>273</v>
      </c>
      <c r="X109" s="6"/>
      <c r="Y109" s="2" t="s">
        <v>2587</v>
      </c>
      <c r="Z109" s="6" t="s">
        <v>2535</v>
      </c>
      <c r="AA109" s="238">
        <f t="shared" si="14"/>
        <v>1.1628000000000001E-3</v>
      </c>
      <c r="AB109" s="253">
        <f>+(Tabla1[[#This Row],[ponderacion_meta]]*Tabla1[[#This Row],[ponderacion_accion]])*25%</f>
        <v>2.9070000000000002E-4</v>
      </c>
      <c r="AC109" s="278">
        <f>+(Tabla1[[#This Row],[Avance PDI]]*100%)/Tabla1[[#This Row],[ponderacion_meta]]</f>
        <v>2.5000000000000001E-2</v>
      </c>
      <c r="AD109" s="279">
        <v>2.9069999999999999E-3</v>
      </c>
      <c r="AE109" s="279">
        <v>2.9069999999999999E-3</v>
      </c>
      <c r="AF109" s="279">
        <v>2.9069999999999999E-3</v>
      </c>
      <c r="AG109" s="279">
        <v>2.9069999999999999E-3</v>
      </c>
      <c r="AH109" s="393">
        <f t="shared" si="10"/>
        <v>1.9088790000000005E-2</v>
      </c>
      <c r="AI109" s="393">
        <f t="shared" si="11"/>
        <v>4.2766666666666675E-2</v>
      </c>
      <c r="AJ109" s="318">
        <f t="shared" si="9"/>
        <v>4.2766666666666675E-2</v>
      </c>
      <c r="AK109" s="387">
        <v>2.9070000000000003E-3</v>
      </c>
      <c r="AL109" s="321">
        <f t="shared" si="18"/>
        <v>3.125E-2</v>
      </c>
      <c r="AM109" s="325">
        <v>0</v>
      </c>
      <c r="AN109" s="411">
        <f t="shared" si="19"/>
        <v>3.125E-2</v>
      </c>
      <c r="AO109" s="344" t="e">
        <f>+([1]!Tabla1[[#This Row],[ponderacion_accion]]/4)*AQ109</f>
        <v>#REF!</v>
      </c>
      <c r="AP109" s="344" t="e">
        <f>Tabla1[[#This Row],[ponderacion_meta]]*AO109</f>
        <v>#REF!</v>
      </c>
      <c r="AQ109" s="354">
        <v>1</v>
      </c>
      <c r="AR109" s="378">
        <v>0</v>
      </c>
      <c r="AS109" s="9"/>
      <c r="AT109" s="521">
        <v>0</v>
      </c>
    </row>
    <row r="110" spans="1:46" x14ac:dyDescent="0.35">
      <c r="A110" s="236" t="s">
        <v>1150</v>
      </c>
      <c r="B110" s="237" t="s">
        <v>148</v>
      </c>
      <c r="C110" s="237" t="s">
        <v>1719</v>
      </c>
      <c r="D110" s="237" t="s">
        <v>1156</v>
      </c>
      <c r="E110" s="176" t="s">
        <v>247</v>
      </c>
      <c r="F110" s="155" t="s">
        <v>2595</v>
      </c>
      <c r="G110" s="155" t="s">
        <v>248</v>
      </c>
      <c r="H110" s="155" t="s">
        <v>1733</v>
      </c>
      <c r="I110" s="2" t="s">
        <v>268</v>
      </c>
      <c r="J110" s="264">
        <v>1.1627999999999999E-2</v>
      </c>
      <c r="K110" s="6" t="s">
        <v>269</v>
      </c>
      <c r="L110" s="118">
        <v>2460785833.0999999</v>
      </c>
      <c r="M110" s="118">
        <v>0</v>
      </c>
      <c r="N110" s="123"/>
      <c r="O110" s="123" t="s">
        <v>1753</v>
      </c>
      <c r="P110" s="183">
        <v>1</v>
      </c>
      <c r="Q110" s="184">
        <v>1</v>
      </c>
      <c r="R110" s="184">
        <v>1</v>
      </c>
      <c r="S110" s="184">
        <v>1</v>
      </c>
      <c r="T110" s="184" t="s">
        <v>1279</v>
      </c>
      <c r="U110" s="6" t="s">
        <v>274</v>
      </c>
      <c r="V110" s="10">
        <v>0.15</v>
      </c>
      <c r="W110" s="6" t="s">
        <v>275</v>
      </c>
      <c r="X110" s="6"/>
      <c r="Y110" s="2" t="s">
        <v>2587</v>
      </c>
      <c r="Z110" s="6" t="s">
        <v>2535</v>
      </c>
      <c r="AA110" s="238">
        <f t="shared" si="14"/>
        <v>1.7441999999999998E-3</v>
      </c>
      <c r="AB110" s="253">
        <f>+(Tabla1[[#This Row],[ponderacion_meta]]*Tabla1[[#This Row],[ponderacion_accion]])*25%</f>
        <v>4.3604999999999995E-4</v>
      </c>
      <c r="AC110" s="278">
        <f>+(Tabla1[[#This Row],[Avance PDI]]*100%)/Tabla1[[#This Row],[ponderacion_meta]]</f>
        <v>3.7499999999999999E-2</v>
      </c>
      <c r="AD110" s="279">
        <v>2.9069999999999999E-3</v>
      </c>
      <c r="AE110" s="279">
        <v>2.9069999999999999E-3</v>
      </c>
      <c r="AF110" s="279">
        <v>2.9069999999999999E-3</v>
      </c>
      <c r="AG110" s="279">
        <v>2.9069999999999999E-3</v>
      </c>
      <c r="AH110" s="393">
        <f t="shared" si="10"/>
        <v>1.9088790000000005E-2</v>
      </c>
      <c r="AI110" s="393">
        <f t="shared" si="11"/>
        <v>4.2766666666666675E-2</v>
      </c>
      <c r="AJ110" s="318">
        <f t="shared" si="9"/>
        <v>4.2766666666666675E-2</v>
      </c>
      <c r="AK110" s="387">
        <v>2.9070000000000003E-3</v>
      </c>
      <c r="AL110" s="321">
        <f t="shared" si="18"/>
        <v>3.125E-2</v>
      </c>
      <c r="AM110" s="325">
        <v>0</v>
      </c>
      <c r="AN110" s="411">
        <f t="shared" si="19"/>
        <v>3.125E-2</v>
      </c>
      <c r="AO110" s="344" t="e">
        <f>+([1]!Tabla1[[#This Row],[ponderacion_accion]]/4)*AQ110</f>
        <v>#REF!</v>
      </c>
      <c r="AP110" s="344" t="e">
        <f>Tabla1[[#This Row],[ponderacion_meta]]*AO110</f>
        <v>#REF!</v>
      </c>
      <c r="AQ110" s="354">
        <v>1</v>
      </c>
      <c r="AR110" s="378">
        <v>0</v>
      </c>
      <c r="AS110" s="9"/>
      <c r="AT110" s="521">
        <v>0</v>
      </c>
    </row>
    <row r="111" spans="1:46" x14ac:dyDescent="0.35">
      <c r="A111" s="236" t="s">
        <v>1150</v>
      </c>
      <c r="B111" s="237" t="s">
        <v>148</v>
      </c>
      <c r="C111" s="237" t="s">
        <v>1719</v>
      </c>
      <c r="D111" s="237" t="s">
        <v>1156</v>
      </c>
      <c r="E111" s="176" t="s">
        <v>247</v>
      </c>
      <c r="F111" s="155" t="s">
        <v>2595</v>
      </c>
      <c r="G111" s="155" t="s">
        <v>248</v>
      </c>
      <c r="H111" s="155" t="s">
        <v>1733</v>
      </c>
      <c r="I111" s="2" t="s">
        <v>268</v>
      </c>
      <c r="J111" s="264">
        <v>1.1627999999999999E-2</v>
      </c>
      <c r="K111" s="6" t="s">
        <v>269</v>
      </c>
      <c r="L111" s="118">
        <v>2460785833.0999999</v>
      </c>
      <c r="M111" s="118">
        <v>0</v>
      </c>
      <c r="N111" s="123"/>
      <c r="O111" s="123" t="s">
        <v>1753</v>
      </c>
      <c r="P111" s="183">
        <v>1</v>
      </c>
      <c r="Q111" s="184">
        <v>1</v>
      </c>
      <c r="R111" s="184">
        <v>1</v>
      </c>
      <c r="S111" s="184">
        <v>1</v>
      </c>
      <c r="T111" s="184" t="s">
        <v>1280</v>
      </c>
      <c r="U111" s="6" t="s">
        <v>276</v>
      </c>
      <c r="V111" s="10">
        <v>0.1</v>
      </c>
      <c r="W111" s="6" t="s">
        <v>277</v>
      </c>
      <c r="X111" s="6"/>
      <c r="Y111" s="2" t="s">
        <v>2587</v>
      </c>
      <c r="Z111" s="6" t="s">
        <v>2535</v>
      </c>
      <c r="AA111" s="238">
        <f t="shared" si="14"/>
        <v>1.1628000000000001E-3</v>
      </c>
      <c r="AB111" s="253">
        <f>+(Tabla1[[#This Row],[ponderacion_meta]]*Tabla1[[#This Row],[ponderacion_accion]])*25%</f>
        <v>2.9070000000000002E-4</v>
      </c>
      <c r="AC111" s="278">
        <f>+(Tabla1[[#This Row],[Avance PDI]]*100%)/Tabla1[[#This Row],[ponderacion_meta]]</f>
        <v>2.5000000000000001E-2</v>
      </c>
      <c r="AD111" s="279">
        <v>2.9069999999999999E-3</v>
      </c>
      <c r="AE111" s="279">
        <v>2.9069999999999999E-3</v>
      </c>
      <c r="AF111" s="279">
        <v>2.9069999999999999E-3</v>
      </c>
      <c r="AG111" s="279">
        <v>2.9069999999999999E-3</v>
      </c>
      <c r="AH111" s="393">
        <f t="shared" si="10"/>
        <v>1.9088790000000005E-2</v>
      </c>
      <c r="AI111" s="393">
        <f t="shared" si="11"/>
        <v>4.2766666666666675E-2</v>
      </c>
      <c r="AJ111" s="318">
        <f t="shared" si="9"/>
        <v>4.2766666666666675E-2</v>
      </c>
      <c r="AK111" s="387">
        <v>2.9070000000000003E-3</v>
      </c>
      <c r="AL111" s="321">
        <f t="shared" si="18"/>
        <v>3.125E-2</v>
      </c>
      <c r="AM111" s="325">
        <v>0</v>
      </c>
      <c r="AN111" s="411">
        <f t="shared" si="19"/>
        <v>3.125E-2</v>
      </c>
      <c r="AO111" s="344" t="e">
        <f>+([1]!Tabla1[[#This Row],[ponderacion_accion]]/4)*AQ111</f>
        <v>#REF!</v>
      </c>
      <c r="AP111" s="344" t="e">
        <f>Tabla1[[#This Row],[ponderacion_meta]]*AO111</f>
        <v>#REF!</v>
      </c>
      <c r="AQ111" s="354">
        <v>1</v>
      </c>
      <c r="AR111" s="378">
        <v>0</v>
      </c>
      <c r="AS111" s="9"/>
      <c r="AT111" s="521">
        <v>0</v>
      </c>
    </row>
    <row r="112" spans="1:46" x14ac:dyDescent="0.35">
      <c r="A112" s="236" t="s">
        <v>1150</v>
      </c>
      <c r="B112" s="237" t="s">
        <v>148</v>
      </c>
      <c r="C112" s="237" t="s">
        <v>1719</v>
      </c>
      <c r="D112" s="237" t="s">
        <v>1156</v>
      </c>
      <c r="E112" s="176" t="s">
        <v>247</v>
      </c>
      <c r="F112" s="155" t="s">
        <v>2595</v>
      </c>
      <c r="G112" s="155" t="s">
        <v>248</v>
      </c>
      <c r="H112" s="155" t="s">
        <v>1733</v>
      </c>
      <c r="I112" s="2" t="s">
        <v>268</v>
      </c>
      <c r="J112" s="264">
        <v>1.1627999999999999E-2</v>
      </c>
      <c r="K112" s="6" t="s">
        <v>269</v>
      </c>
      <c r="L112" s="118">
        <v>2460785833.0999999</v>
      </c>
      <c r="M112" s="118">
        <v>0</v>
      </c>
      <c r="N112" s="123"/>
      <c r="O112" s="123" t="s">
        <v>1753</v>
      </c>
      <c r="P112" s="183">
        <v>1</v>
      </c>
      <c r="Q112" s="184">
        <v>1</v>
      </c>
      <c r="R112" s="184">
        <v>1</v>
      </c>
      <c r="S112" s="184">
        <v>1</v>
      </c>
      <c r="T112" s="184" t="s">
        <v>1281</v>
      </c>
      <c r="U112" s="6" t="s">
        <v>278</v>
      </c>
      <c r="V112" s="10">
        <v>0.4</v>
      </c>
      <c r="W112" s="6" t="s">
        <v>279</v>
      </c>
      <c r="X112" s="6"/>
      <c r="Y112" s="2" t="s">
        <v>2587</v>
      </c>
      <c r="Z112" s="6" t="s">
        <v>2535</v>
      </c>
      <c r="AA112" s="238">
        <f t="shared" si="14"/>
        <v>4.6512000000000003E-3</v>
      </c>
      <c r="AB112" s="253">
        <f>+(Tabla1[[#This Row],[ponderacion_meta]]*Tabla1[[#This Row],[ponderacion_accion]])*25%</f>
        <v>1.1628000000000001E-3</v>
      </c>
      <c r="AC112" s="278">
        <f>+(Tabla1[[#This Row],[Avance PDI]]*100%)/Tabla1[[#This Row],[ponderacion_meta]]</f>
        <v>0.1</v>
      </c>
      <c r="AD112" s="279">
        <v>2.9069999999999999E-3</v>
      </c>
      <c r="AE112" s="279">
        <v>2.9069999999999999E-3</v>
      </c>
      <c r="AF112" s="279">
        <v>2.9069999999999999E-3</v>
      </c>
      <c r="AG112" s="279">
        <v>2.9069999999999999E-3</v>
      </c>
      <c r="AH112" s="393">
        <f t="shared" si="10"/>
        <v>1.9088790000000005E-2</v>
      </c>
      <c r="AI112" s="393">
        <f t="shared" si="11"/>
        <v>4.2766666666666675E-2</v>
      </c>
      <c r="AJ112" s="318">
        <f t="shared" si="9"/>
        <v>4.2766666666666675E-2</v>
      </c>
      <c r="AK112" s="387">
        <v>2.9070000000000003E-3</v>
      </c>
      <c r="AL112" s="321">
        <f t="shared" si="18"/>
        <v>3.125E-2</v>
      </c>
      <c r="AM112" s="325">
        <v>0</v>
      </c>
      <c r="AN112" s="411">
        <f t="shared" si="19"/>
        <v>3.125E-2</v>
      </c>
      <c r="AO112" s="344" t="e">
        <f>+([1]!Tabla1[[#This Row],[ponderacion_accion]]/4)*AQ112</f>
        <v>#REF!</v>
      </c>
      <c r="AP112" s="344" t="e">
        <f>Tabla1[[#This Row],[ponderacion_meta]]*AO112</f>
        <v>#REF!</v>
      </c>
      <c r="AQ112" s="354">
        <v>1</v>
      </c>
      <c r="AR112" s="378">
        <v>0</v>
      </c>
      <c r="AS112" s="9"/>
      <c r="AT112" s="521">
        <v>0</v>
      </c>
    </row>
    <row r="113" spans="1:46" x14ac:dyDescent="0.35">
      <c r="A113" s="236" t="s">
        <v>1150</v>
      </c>
      <c r="B113" s="237" t="s">
        <v>148</v>
      </c>
      <c r="C113" s="237" t="s">
        <v>1719</v>
      </c>
      <c r="D113" s="237" t="s">
        <v>1156</v>
      </c>
      <c r="E113" s="176" t="s">
        <v>247</v>
      </c>
      <c r="F113" s="155" t="s">
        <v>2595</v>
      </c>
      <c r="G113" s="155" t="s">
        <v>248</v>
      </c>
      <c r="H113" s="155" t="s">
        <v>1733</v>
      </c>
      <c r="I113" s="2" t="s">
        <v>268</v>
      </c>
      <c r="J113" s="264">
        <v>1.1627999999999999E-2</v>
      </c>
      <c r="K113" s="6" t="s">
        <v>269</v>
      </c>
      <c r="L113" s="118">
        <v>2460785833.0999999</v>
      </c>
      <c r="M113" s="118">
        <v>0</v>
      </c>
      <c r="N113" s="123"/>
      <c r="O113" s="123" t="s">
        <v>1753</v>
      </c>
      <c r="P113" s="183">
        <v>1</v>
      </c>
      <c r="Q113" s="184">
        <v>1</v>
      </c>
      <c r="R113" s="184">
        <v>1</v>
      </c>
      <c r="S113" s="184">
        <v>1</v>
      </c>
      <c r="T113" s="184" t="s">
        <v>1282</v>
      </c>
      <c r="U113" s="6" t="s">
        <v>280</v>
      </c>
      <c r="V113" s="10">
        <v>0.15</v>
      </c>
      <c r="W113" s="6" t="s">
        <v>281</v>
      </c>
      <c r="X113" s="6"/>
      <c r="Y113" s="2" t="s">
        <v>2587</v>
      </c>
      <c r="Z113" s="6" t="s">
        <v>2535</v>
      </c>
      <c r="AA113" s="238">
        <f t="shared" si="14"/>
        <v>1.7441999999999998E-3</v>
      </c>
      <c r="AB113" s="253">
        <f>+(Tabla1[[#This Row],[ponderacion_meta]]*Tabla1[[#This Row],[ponderacion_accion]])*25%</f>
        <v>4.3604999999999995E-4</v>
      </c>
      <c r="AC113" s="278">
        <f>+(Tabla1[[#This Row],[Avance PDI]]*100%)/Tabla1[[#This Row],[ponderacion_meta]]</f>
        <v>3.7499999999999999E-2</v>
      </c>
      <c r="AD113" s="279">
        <v>2.9069999999999999E-3</v>
      </c>
      <c r="AE113" s="279">
        <v>2.9069999999999999E-3</v>
      </c>
      <c r="AF113" s="279">
        <v>2.9069999999999999E-3</v>
      </c>
      <c r="AG113" s="279">
        <v>2.9069999999999999E-3</v>
      </c>
      <c r="AH113" s="393">
        <f t="shared" si="10"/>
        <v>1.9088790000000005E-2</v>
      </c>
      <c r="AI113" s="393">
        <f t="shared" si="11"/>
        <v>4.2766666666666675E-2</v>
      </c>
      <c r="AJ113" s="318">
        <f t="shared" si="9"/>
        <v>4.2766666666666675E-2</v>
      </c>
      <c r="AK113" s="387">
        <v>2.9070000000000003E-3</v>
      </c>
      <c r="AL113" s="321">
        <f t="shared" si="18"/>
        <v>3.125E-2</v>
      </c>
      <c r="AM113" s="325">
        <v>0</v>
      </c>
      <c r="AN113" s="411">
        <f t="shared" si="19"/>
        <v>3.125E-2</v>
      </c>
      <c r="AO113" s="345" t="e">
        <f>+([1]!Tabla1[[#This Row],[ponderacion_accion]]/4)*AQ113</f>
        <v>#REF!</v>
      </c>
      <c r="AP113" s="345" t="e">
        <f>Tabla1[[#This Row],[ponderacion_meta]]*AO113</f>
        <v>#REF!</v>
      </c>
      <c r="AQ113" s="357">
        <v>1</v>
      </c>
      <c r="AR113" s="379">
        <v>0</v>
      </c>
      <c r="AS113" s="9"/>
      <c r="AT113" s="521">
        <v>0</v>
      </c>
    </row>
    <row r="114" spans="1:46" x14ac:dyDescent="0.35">
      <c r="A114" s="236" t="s">
        <v>1150</v>
      </c>
      <c r="B114" s="237" t="s">
        <v>148</v>
      </c>
      <c r="C114" s="237" t="s">
        <v>1719</v>
      </c>
      <c r="D114" s="237" t="s">
        <v>1156</v>
      </c>
      <c r="E114" s="176" t="s">
        <v>247</v>
      </c>
      <c r="F114" s="155" t="s">
        <v>2595</v>
      </c>
      <c r="G114" s="155" t="s">
        <v>248</v>
      </c>
      <c r="H114" s="155" t="s">
        <v>1733</v>
      </c>
      <c r="I114" s="7" t="s">
        <v>282</v>
      </c>
      <c r="J114" s="265">
        <v>1.1627999999999999E-2</v>
      </c>
      <c r="K114" s="9" t="s">
        <v>283</v>
      </c>
      <c r="L114" s="120">
        <v>0</v>
      </c>
      <c r="M114" s="120">
        <v>0</v>
      </c>
      <c r="N114" s="122"/>
      <c r="O114" s="122" t="s">
        <v>1753</v>
      </c>
      <c r="P114" s="185">
        <v>0</v>
      </c>
      <c r="Q114" s="186">
        <v>0.5</v>
      </c>
      <c r="R114" s="186">
        <v>0.4</v>
      </c>
      <c r="S114" s="186">
        <v>0.1</v>
      </c>
      <c r="T114" s="186" t="s">
        <v>1283</v>
      </c>
      <c r="U114" s="9" t="s">
        <v>284</v>
      </c>
      <c r="V114" s="11">
        <v>0.1</v>
      </c>
      <c r="W114" s="9" t="s">
        <v>285</v>
      </c>
      <c r="X114" s="9"/>
      <c r="Y114" s="7" t="s">
        <v>2587</v>
      </c>
      <c r="Z114" s="383" t="s">
        <v>2546</v>
      </c>
      <c r="AA114" s="239">
        <f t="shared" si="14"/>
        <v>1.1628000000000001E-3</v>
      </c>
      <c r="AB114" s="252">
        <v>0</v>
      </c>
      <c r="AC114" s="262">
        <f>+(Tabla1[[#This Row],[Avance PDI]]*100%)/Tabla1[[#This Row],[ponderacion_meta]]</f>
        <v>0</v>
      </c>
      <c r="AD114" s="257">
        <f>+Tabla1[[#This Row],[ponderacion_meta]]*Tabla1[[#This Row],[proyeccion_año1]]</f>
        <v>0</v>
      </c>
      <c r="AE114" s="257">
        <f>+Tabla1[[#This Row],[ponderacion_meta]]*Tabla1[[#This Row],[proyeccion_año2]]</f>
        <v>5.8139999999999997E-3</v>
      </c>
      <c r="AF114" s="257">
        <f>+Tabla1[[#This Row],[ponderacion_meta]]*Tabla1[[#This Row],[proyeccion_año3]]</f>
        <v>4.6512000000000003E-3</v>
      </c>
      <c r="AG114" s="257">
        <f>+Tabla1[[#This Row],[ponderacion_meta]]*Tabla1[[#This Row],[proyeccion_año4]]</f>
        <v>1.1628000000000001E-3</v>
      </c>
      <c r="AH114" s="393">
        <f t="shared" si="10"/>
        <v>1.9088790000000005E-2</v>
      </c>
      <c r="AI114" s="393">
        <f t="shared" si="11"/>
        <v>4.2766666666666675E-2</v>
      </c>
      <c r="AJ114" s="318">
        <f t="shared" si="9"/>
        <v>4.2766666666666675E-2</v>
      </c>
      <c r="AK114" s="387">
        <v>2.9070000000000003E-3</v>
      </c>
      <c r="AL114" s="321">
        <f t="shared" si="18"/>
        <v>3.125E-2</v>
      </c>
      <c r="AM114" s="325">
        <v>0</v>
      </c>
      <c r="AN114" s="411">
        <f t="shared" si="19"/>
        <v>3.125E-2</v>
      </c>
      <c r="AO114" s="358" t="e">
        <f>+([1]!Tabla1[[#This Row],[ponderacion_accion]]/10%)*AQ114</f>
        <v>#REF!</v>
      </c>
      <c r="AP114" s="358" t="e">
        <f>Tabla1[[#This Row],[ponderacion_meta]]*AO114</f>
        <v>#REF!</v>
      </c>
      <c r="AQ114" s="361"/>
      <c r="AR114" s="380">
        <v>0</v>
      </c>
      <c r="AS114" s="7" t="e">
        <f>+((SUM(AO114:AO117)*100)/50)</f>
        <v>#REF!</v>
      </c>
      <c r="AT114" s="521">
        <v>0</v>
      </c>
    </row>
    <row r="115" spans="1:46" x14ac:dyDescent="0.35">
      <c r="A115" s="236" t="s">
        <v>1150</v>
      </c>
      <c r="B115" s="237" t="s">
        <v>148</v>
      </c>
      <c r="C115" s="237" t="s">
        <v>1719</v>
      </c>
      <c r="D115" s="237" t="s">
        <v>1156</v>
      </c>
      <c r="E115" s="176" t="s">
        <v>247</v>
      </c>
      <c r="F115" s="155" t="s">
        <v>2595</v>
      </c>
      <c r="G115" s="155" t="s">
        <v>248</v>
      </c>
      <c r="H115" s="155" t="s">
        <v>1733</v>
      </c>
      <c r="I115" s="7" t="s">
        <v>282</v>
      </c>
      <c r="J115" s="265">
        <v>1.1627999999999999E-2</v>
      </c>
      <c r="K115" s="9" t="s">
        <v>283</v>
      </c>
      <c r="L115" s="120">
        <v>0</v>
      </c>
      <c r="M115" s="120">
        <v>0</v>
      </c>
      <c r="N115" s="122"/>
      <c r="O115" s="122" t="s">
        <v>1753</v>
      </c>
      <c r="P115" s="185">
        <v>0</v>
      </c>
      <c r="Q115" s="186">
        <v>0.5</v>
      </c>
      <c r="R115" s="186">
        <v>0.4</v>
      </c>
      <c r="S115" s="186">
        <v>0.1</v>
      </c>
      <c r="T115" s="186" t="s">
        <v>1284</v>
      </c>
      <c r="U115" s="9" t="s">
        <v>286</v>
      </c>
      <c r="V115" s="11">
        <v>0.2</v>
      </c>
      <c r="W115" s="9" t="s">
        <v>287</v>
      </c>
      <c r="X115" s="9"/>
      <c r="Y115" s="7" t="s">
        <v>2587</v>
      </c>
      <c r="Z115" s="383" t="s">
        <v>2546</v>
      </c>
      <c r="AA115" s="239">
        <f t="shared" si="14"/>
        <v>2.3256000000000001E-3</v>
      </c>
      <c r="AB115" s="252">
        <v>0</v>
      </c>
      <c r="AC115" s="262">
        <f>+(Tabla1[[#This Row],[Avance PDI]]*100%)/Tabla1[[#This Row],[ponderacion_meta]]</f>
        <v>0</v>
      </c>
      <c r="AD115" s="257">
        <v>0</v>
      </c>
      <c r="AE115" s="257">
        <v>5.8139999999999997E-3</v>
      </c>
      <c r="AF115" s="257">
        <v>4.6512000000000003E-3</v>
      </c>
      <c r="AG115" s="257">
        <v>1.1628000000000001E-3</v>
      </c>
      <c r="AH115" s="393">
        <f t="shared" si="10"/>
        <v>1.9088790000000005E-2</v>
      </c>
      <c r="AI115" s="393">
        <f t="shared" si="11"/>
        <v>4.2766666666666675E-2</v>
      </c>
      <c r="AJ115" s="318">
        <f t="shared" si="9"/>
        <v>4.2766666666666675E-2</v>
      </c>
      <c r="AK115" s="387">
        <v>2.9070000000000003E-3</v>
      </c>
      <c r="AL115" s="321">
        <f t="shared" si="18"/>
        <v>3.125E-2</v>
      </c>
      <c r="AM115" s="325">
        <v>0</v>
      </c>
      <c r="AN115" s="411">
        <f t="shared" si="19"/>
        <v>3.125E-2</v>
      </c>
      <c r="AO115" s="359" t="e">
        <f>+([1]!Tabla1[[#This Row],[ponderacion_accion]]/20%)*AQ115</f>
        <v>#REF!</v>
      </c>
      <c r="AP115" s="359" t="e">
        <f>Tabla1[[#This Row],[ponderacion_meta]]*AO115</f>
        <v>#REF!</v>
      </c>
      <c r="AQ115" s="351"/>
      <c r="AR115" s="380">
        <v>0</v>
      </c>
      <c r="AS115" s="9"/>
      <c r="AT115" s="521">
        <v>0</v>
      </c>
    </row>
    <row r="116" spans="1:46" x14ac:dyDescent="0.35">
      <c r="A116" s="236" t="s">
        <v>1150</v>
      </c>
      <c r="B116" s="237" t="s">
        <v>148</v>
      </c>
      <c r="C116" s="237" t="s">
        <v>1719</v>
      </c>
      <c r="D116" s="237" t="s">
        <v>1156</v>
      </c>
      <c r="E116" s="176" t="s">
        <v>247</v>
      </c>
      <c r="F116" s="155" t="s">
        <v>2595</v>
      </c>
      <c r="G116" s="155" t="s">
        <v>248</v>
      </c>
      <c r="H116" s="155" t="s">
        <v>1733</v>
      </c>
      <c r="I116" s="7" t="s">
        <v>282</v>
      </c>
      <c r="J116" s="265">
        <v>1.1627999999999999E-2</v>
      </c>
      <c r="K116" s="9" t="s">
        <v>283</v>
      </c>
      <c r="L116" s="120">
        <v>0</v>
      </c>
      <c r="M116" s="120">
        <v>0</v>
      </c>
      <c r="N116" s="122"/>
      <c r="O116" s="122" t="s">
        <v>1753</v>
      </c>
      <c r="P116" s="185">
        <v>0</v>
      </c>
      <c r="Q116" s="186">
        <v>0.5</v>
      </c>
      <c r="R116" s="186">
        <v>0.4</v>
      </c>
      <c r="S116" s="186">
        <v>0.1</v>
      </c>
      <c r="T116" s="186" t="s">
        <v>1285</v>
      </c>
      <c r="U116" s="9" t="s">
        <v>288</v>
      </c>
      <c r="V116" s="11">
        <v>0.2</v>
      </c>
      <c r="W116" s="9" t="s">
        <v>289</v>
      </c>
      <c r="X116" s="9"/>
      <c r="Y116" s="7" t="s">
        <v>2587</v>
      </c>
      <c r="Z116" s="383" t="s">
        <v>2546</v>
      </c>
      <c r="AA116" s="239">
        <f t="shared" si="14"/>
        <v>2.3256000000000001E-3</v>
      </c>
      <c r="AB116" s="252">
        <v>0</v>
      </c>
      <c r="AC116" s="262">
        <f>+(Tabla1[[#This Row],[Avance PDI]]*100%)/Tabla1[[#This Row],[ponderacion_meta]]</f>
        <v>0</v>
      </c>
      <c r="AD116" s="257">
        <v>0</v>
      </c>
      <c r="AE116" s="257">
        <v>5.8139999999999997E-3</v>
      </c>
      <c r="AF116" s="257">
        <v>4.6512000000000003E-3</v>
      </c>
      <c r="AG116" s="257">
        <v>1.1628000000000001E-3</v>
      </c>
      <c r="AH116" s="393">
        <f t="shared" si="10"/>
        <v>1.9088790000000005E-2</v>
      </c>
      <c r="AI116" s="393">
        <f t="shared" si="11"/>
        <v>4.2766666666666675E-2</v>
      </c>
      <c r="AJ116" s="318">
        <f t="shared" si="9"/>
        <v>4.2766666666666675E-2</v>
      </c>
      <c r="AK116" s="387">
        <v>2.9070000000000003E-3</v>
      </c>
      <c r="AL116" s="321">
        <f t="shared" si="18"/>
        <v>3.125E-2</v>
      </c>
      <c r="AM116" s="325">
        <v>0</v>
      </c>
      <c r="AN116" s="411">
        <f t="shared" si="19"/>
        <v>3.125E-2</v>
      </c>
      <c r="AO116" s="359" t="e">
        <f>+([1]!Tabla1[[#This Row],[ponderacion_accion]]/20%)*AQ116</f>
        <v>#REF!</v>
      </c>
      <c r="AP116" s="359" t="e">
        <f>Tabla1[[#This Row],[ponderacion_meta]]*AO116</f>
        <v>#REF!</v>
      </c>
      <c r="AQ116" s="351"/>
      <c r="AR116" s="380">
        <v>0</v>
      </c>
      <c r="AS116" s="9"/>
      <c r="AT116" s="521">
        <v>0</v>
      </c>
    </row>
    <row r="117" spans="1:46" x14ac:dyDescent="0.35">
      <c r="A117" s="236" t="s">
        <v>1150</v>
      </c>
      <c r="B117" s="237" t="s">
        <v>148</v>
      </c>
      <c r="C117" s="237" t="s">
        <v>1719</v>
      </c>
      <c r="D117" s="237" t="s">
        <v>1156</v>
      </c>
      <c r="E117" s="176" t="s">
        <v>247</v>
      </c>
      <c r="F117" s="155" t="s">
        <v>2595</v>
      </c>
      <c r="G117" s="155" t="s">
        <v>248</v>
      </c>
      <c r="H117" s="155" t="s">
        <v>1733</v>
      </c>
      <c r="I117" s="7" t="s">
        <v>282</v>
      </c>
      <c r="J117" s="265">
        <v>1.1627999999999999E-2</v>
      </c>
      <c r="K117" s="9" t="s">
        <v>283</v>
      </c>
      <c r="L117" s="120">
        <v>0</v>
      </c>
      <c r="M117" s="120">
        <v>0</v>
      </c>
      <c r="N117" s="122"/>
      <c r="O117" s="122" t="s">
        <v>1753</v>
      </c>
      <c r="P117" s="185">
        <v>0</v>
      </c>
      <c r="Q117" s="186">
        <v>0.5</v>
      </c>
      <c r="R117" s="186">
        <v>0.4</v>
      </c>
      <c r="S117" s="186">
        <v>0.1</v>
      </c>
      <c r="T117" s="186" t="s">
        <v>1286</v>
      </c>
      <c r="U117" s="9" t="s">
        <v>290</v>
      </c>
      <c r="V117" s="11">
        <v>0.5</v>
      </c>
      <c r="W117" s="9" t="s">
        <v>291</v>
      </c>
      <c r="X117" s="9"/>
      <c r="Y117" s="7" t="s">
        <v>2588</v>
      </c>
      <c r="Z117" s="383" t="s">
        <v>2546</v>
      </c>
      <c r="AA117" s="239">
        <f t="shared" si="14"/>
        <v>5.8139999999999997E-3</v>
      </c>
      <c r="AB117" s="252">
        <v>0</v>
      </c>
      <c r="AC117" s="262">
        <f>+(Tabla1[[#This Row],[Avance PDI]]*100%)/Tabla1[[#This Row],[ponderacion_meta]]</f>
        <v>0</v>
      </c>
      <c r="AD117" s="257">
        <v>0</v>
      </c>
      <c r="AE117" s="257">
        <v>5.8139999999999997E-3</v>
      </c>
      <c r="AF117" s="257">
        <v>4.6512000000000003E-3</v>
      </c>
      <c r="AG117" s="257">
        <v>1.1628000000000001E-3</v>
      </c>
      <c r="AH117" s="393">
        <f t="shared" si="10"/>
        <v>1.9088790000000005E-2</v>
      </c>
      <c r="AI117" s="393">
        <f t="shared" si="11"/>
        <v>4.2766666666666675E-2</v>
      </c>
      <c r="AJ117" s="318">
        <f t="shared" si="9"/>
        <v>4.2766666666666675E-2</v>
      </c>
      <c r="AK117" s="387">
        <v>2.9070000000000003E-3</v>
      </c>
      <c r="AL117" s="321">
        <f t="shared" si="18"/>
        <v>3.125E-2</v>
      </c>
      <c r="AM117" s="325">
        <v>0</v>
      </c>
      <c r="AN117" s="411">
        <f t="shared" si="19"/>
        <v>3.125E-2</v>
      </c>
      <c r="AO117" s="360" t="e">
        <f>+([1]!Tabla1[[#This Row],[ponderacion_accion]]/50%)*AQ117</f>
        <v>#REF!</v>
      </c>
      <c r="AP117" s="360" t="e">
        <f>Tabla1[[#This Row],[ponderacion_meta]]*AO117</f>
        <v>#REF!</v>
      </c>
      <c r="AQ117" s="356"/>
      <c r="AR117" s="380">
        <v>0</v>
      </c>
      <c r="AS117" s="9"/>
      <c r="AT117" s="521">
        <v>0</v>
      </c>
    </row>
    <row r="118" spans="1:46" x14ac:dyDescent="0.35">
      <c r="A118" s="236" t="s">
        <v>1150</v>
      </c>
      <c r="B118" s="237" t="s">
        <v>148</v>
      </c>
      <c r="C118" s="237" t="s">
        <v>1719</v>
      </c>
      <c r="D118" s="237" t="s">
        <v>1156</v>
      </c>
      <c r="E118" s="176" t="s">
        <v>247</v>
      </c>
      <c r="F118" s="155" t="s">
        <v>2595</v>
      </c>
      <c r="G118" s="157" t="s">
        <v>248</v>
      </c>
      <c r="H118" s="157" t="s">
        <v>1733</v>
      </c>
      <c r="I118" s="17" t="s">
        <v>292</v>
      </c>
      <c r="J118" s="264">
        <v>1.1627999999999999E-2</v>
      </c>
      <c r="K118" s="4" t="s">
        <v>293</v>
      </c>
      <c r="L118" s="123">
        <v>0</v>
      </c>
      <c r="M118" s="123">
        <v>0</v>
      </c>
      <c r="N118" s="123"/>
      <c r="O118" s="123" t="s">
        <v>1753</v>
      </c>
      <c r="P118" s="183">
        <v>0</v>
      </c>
      <c r="Q118" s="184">
        <v>0.5</v>
      </c>
      <c r="R118" s="184">
        <v>0.4</v>
      </c>
      <c r="S118" s="184">
        <v>0.1</v>
      </c>
      <c r="T118" s="184" t="s">
        <v>1287</v>
      </c>
      <c r="U118" s="6" t="s">
        <v>294</v>
      </c>
      <c r="V118" s="10">
        <v>0.1</v>
      </c>
      <c r="W118" s="6" t="s">
        <v>285</v>
      </c>
      <c r="X118" s="6"/>
      <c r="Y118" s="2" t="s">
        <v>2587</v>
      </c>
      <c r="Z118" s="251" t="s">
        <v>2546</v>
      </c>
      <c r="AA118" s="238">
        <f t="shared" si="14"/>
        <v>1.1628000000000001E-3</v>
      </c>
      <c r="AB118" s="252">
        <v>0</v>
      </c>
      <c r="AC118" s="278">
        <f>+(Tabla1[[#This Row],[Avance PDI]]*100%)/Tabla1[[#This Row],[ponderacion_meta]]</f>
        <v>0</v>
      </c>
      <c r="AD118" s="279">
        <f>+Tabla1[[#This Row],[ponderacion_meta]]*Tabla1[[#This Row],[proyeccion_año1]]</f>
        <v>0</v>
      </c>
      <c r="AE118" s="279">
        <f>+Tabla1[[#This Row],[ponderacion_meta]]*Tabla1[[#This Row],[proyeccion_año2]]</f>
        <v>5.8139999999999997E-3</v>
      </c>
      <c r="AF118" s="279">
        <f>+Tabla1[[#This Row],[ponderacion_meta]]*Tabla1[[#This Row],[proyeccion_año3]]</f>
        <v>4.6512000000000003E-3</v>
      </c>
      <c r="AG118" s="279">
        <f>+Tabla1[[#This Row],[ponderacion_meta]]*Tabla1[[#This Row],[proyeccion_año4]]</f>
        <v>1.1628000000000001E-3</v>
      </c>
      <c r="AH118" s="393">
        <f t="shared" si="10"/>
        <v>1.9088790000000005E-2</v>
      </c>
      <c r="AI118" s="393">
        <f t="shared" si="11"/>
        <v>4.2766666666666675E-2</v>
      </c>
      <c r="AJ118" s="318">
        <f t="shared" si="9"/>
        <v>4.2766666666666675E-2</v>
      </c>
      <c r="AK118" s="387">
        <v>2.9070000000000003E-3</v>
      </c>
      <c r="AL118" s="321">
        <f t="shared" si="18"/>
        <v>3.125E-2</v>
      </c>
      <c r="AM118" s="325">
        <v>0</v>
      </c>
      <c r="AN118" s="411">
        <f t="shared" si="19"/>
        <v>3.125E-2</v>
      </c>
      <c r="AO118" s="343" t="e">
        <f>+([1]!Tabla1[[#This Row],[ponderacion_accion]]/10%)*AQ118</f>
        <v>#REF!</v>
      </c>
      <c r="AP118" s="343" t="e">
        <f>Tabla1[[#This Row],[ponderacion_meta]]*AO118</f>
        <v>#REF!</v>
      </c>
      <c r="AQ118" s="353"/>
      <c r="AR118" s="377">
        <v>0</v>
      </c>
      <c r="AS118" s="7" t="e">
        <f>+((SUM(AO118:AO121)*100)/50)</f>
        <v>#REF!</v>
      </c>
      <c r="AT118" s="521">
        <v>0</v>
      </c>
    </row>
    <row r="119" spans="1:46" x14ac:dyDescent="0.35">
      <c r="A119" s="236" t="s">
        <v>1150</v>
      </c>
      <c r="B119" s="237" t="s">
        <v>148</v>
      </c>
      <c r="C119" s="237" t="s">
        <v>1719</v>
      </c>
      <c r="D119" s="237" t="s">
        <v>1156</v>
      </c>
      <c r="E119" s="176" t="s">
        <v>247</v>
      </c>
      <c r="F119" s="155" t="s">
        <v>2595</v>
      </c>
      <c r="G119" s="157" t="s">
        <v>248</v>
      </c>
      <c r="H119" s="157" t="s">
        <v>1733</v>
      </c>
      <c r="I119" s="17" t="s">
        <v>292</v>
      </c>
      <c r="J119" s="264">
        <v>1.1627999999999999E-2</v>
      </c>
      <c r="K119" s="4" t="s">
        <v>293</v>
      </c>
      <c r="L119" s="123">
        <v>0</v>
      </c>
      <c r="M119" s="123">
        <v>0</v>
      </c>
      <c r="N119" s="123"/>
      <c r="O119" s="123" t="s">
        <v>1753</v>
      </c>
      <c r="P119" s="183">
        <v>0</v>
      </c>
      <c r="Q119" s="184">
        <v>0.5</v>
      </c>
      <c r="R119" s="184">
        <v>0.4</v>
      </c>
      <c r="S119" s="184">
        <v>0.1</v>
      </c>
      <c r="T119" s="184" t="s">
        <v>1288</v>
      </c>
      <c r="U119" s="6" t="s">
        <v>286</v>
      </c>
      <c r="V119" s="10">
        <v>0.2</v>
      </c>
      <c r="W119" s="6" t="s">
        <v>287</v>
      </c>
      <c r="X119" s="6"/>
      <c r="Y119" s="2" t="s">
        <v>2587</v>
      </c>
      <c r="Z119" s="251" t="s">
        <v>2546</v>
      </c>
      <c r="AA119" s="238">
        <f t="shared" si="14"/>
        <v>2.3256000000000001E-3</v>
      </c>
      <c r="AB119" s="252">
        <v>0</v>
      </c>
      <c r="AC119" s="278">
        <f>+(Tabla1[[#This Row],[Avance PDI]]*100%)/Tabla1[[#This Row],[ponderacion_meta]]</f>
        <v>0</v>
      </c>
      <c r="AD119" s="279">
        <v>0</v>
      </c>
      <c r="AE119" s="279">
        <v>5.8139999999999997E-3</v>
      </c>
      <c r="AF119" s="279">
        <v>4.6512000000000003E-3</v>
      </c>
      <c r="AG119" s="279">
        <v>1.1628000000000001E-3</v>
      </c>
      <c r="AH119" s="393">
        <f t="shared" si="10"/>
        <v>1.9088790000000005E-2</v>
      </c>
      <c r="AI119" s="393">
        <f t="shared" si="11"/>
        <v>4.2766666666666675E-2</v>
      </c>
      <c r="AJ119" s="318">
        <f t="shared" si="9"/>
        <v>4.2766666666666675E-2</v>
      </c>
      <c r="AK119" s="387">
        <v>2.9070000000000003E-3</v>
      </c>
      <c r="AL119" s="321">
        <f t="shared" si="18"/>
        <v>3.125E-2</v>
      </c>
      <c r="AM119" s="325">
        <v>0</v>
      </c>
      <c r="AN119" s="411">
        <f t="shared" si="19"/>
        <v>3.125E-2</v>
      </c>
      <c r="AO119" s="344" t="e">
        <f>+([1]!Tabla1[[#This Row],[ponderacion_accion]]/20%)*AQ119</f>
        <v>#REF!</v>
      </c>
      <c r="AP119" s="344" t="e">
        <f>Tabla1[[#This Row],[ponderacion_meta]]*AO119</f>
        <v>#REF!</v>
      </c>
      <c r="AQ119" s="354"/>
      <c r="AR119" s="378">
        <v>0</v>
      </c>
      <c r="AS119" s="9"/>
      <c r="AT119" s="521">
        <v>0</v>
      </c>
    </row>
    <row r="120" spans="1:46" x14ac:dyDescent="0.35">
      <c r="A120" s="236" t="s">
        <v>1150</v>
      </c>
      <c r="B120" s="237" t="s">
        <v>148</v>
      </c>
      <c r="C120" s="237" t="s">
        <v>1719</v>
      </c>
      <c r="D120" s="237" t="s">
        <v>1156</v>
      </c>
      <c r="E120" s="176" t="s">
        <v>247</v>
      </c>
      <c r="F120" s="155" t="s">
        <v>2595</v>
      </c>
      <c r="G120" s="157" t="s">
        <v>248</v>
      </c>
      <c r="H120" s="157" t="s">
        <v>1733</v>
      </c>
      <c r="I120" s="17" t="s">
        <v>292</v>
      </c>
      <c r="J120" s="264">
        <v>1.1627999999999999E-2</v>
      </c>
      <c r="K120" s="4" t="s">
        <v>293</v>
      </c>
      <c r="L120" s="123">
        <v>0</v>
      </c>
      <c r="M120" s="123">
        <v>0</v>
      </c>
      <c r="N120" s="123"/>
      <c r="O120" s="123" t="s">
        <v>1753</v>
      </c>
      <c r="P120" s="183">
        <v>0</v>
      </c>
      <c r="Q120" s="184">
        <v>0.5</v>
      </c>
      <c r="R120" s="184">
        <v>0.4</v>
      </c>
      <c r="S120" s="184">
        <v>0.1</v>
      </c>
      <c r="T120" s="184" t="s">
        <v>1289</v>
      </c>
      <c r="U120" s="6" t="s">
        <v>288</v>
      </c>
      <c r="V120" s="10">
        <v>0.2</v>
      </c>
      <c r="W120" s="6" t="s">
        <v>289</v>
      </c>
      <c r="X120" s="6"/>
      <c r="Y120" s="2" t="s">
        <v>2587</v>
      </c>
      <c r="Z120" s="251" t="s">
        <v>2546</v>
      </c>
      <c r="AA120" s="238">
        <f t="shared" si="14"/>
        <v>2.3256000000000001E-3</v>
      </c>
      <c r="AB120" s="252">
        <v>0</v>
      </c>
      <c r="AC120" s="278">
        <f>+(Tabla1[[#This Row],[Avance PDI]]*100%)/Tabla1[[#This Row],[ponderacion_meta]]</f>
        <v>0</v>
      </c>
      <c r="AD120" s="279">
        <v>0</v>
      </c>
      <c r="AE120" s="279">
        <v>5.8139999999999997E-3</v>
      </c>
      <c r="AF120" s="279">
        <v>4.6512000000000003E-3</v>
      </c>
      <c r="AG120" s="279">
        <v>1.1628000000000001E-3</v>
      </c>
      <c r="AH120" s="393">
        <f t="shared" si="10"/>
        <v>1.9088790000000005E-2</v>
      </c>
      <c r="AI120" s="393">
        <f t="shared" si="11"/>
        <v>4.2766666666666675E-2</v>
      </c>
      <c r="AJ120" s="318">
        <f t="shared" si="9"/>
        <v>4.2766666666666675E-2</v>
      </c>
      <c r="AK120" s="387">
        <v>2.9070000000000003E-3</v>
      </c>
      <c r="AL120" s="321">
        <f t="shared" si="18"/>
        <v>3.125E-2</v>
      </c>
      <c r="AM120" s="325">
        <v>0</v>
      </c>
      <c r="AN120" s="411">
        <f t="shared" si="19"/>
        <v>3.125E-2</v>
      </c>
      <c r="AO120" s="344" t="e">
        <f>+([1]!Tabla1[[#This Row],[ponderacion_accion]]/20%)*AQ120</f>
        <v>#REF!</v>
      </c>
      <c r="AP120" s="344" t="e">
        <f>Tabla1[[#This Row],[ponderacion_meta]]*AO120</f>
        <v>#REF!</v>
      </c>
      <c r="AQ120" s="354"/>
      <c r="AR120" s="378">
        <v>0</v>
      </c>
      <c r="AS120" s="9"/>
      <c r="AT120" s="521">
        <v>0</v>
      </c>
    </row>
    <row r="121" spans="1:46" x14ac:dyDescent="0.35">
      <c r="A121" s="236" t="s">
        <v>1150</v>
      </c>
      <c r="B121" s="237" t="s">
        <v>148</v>
      </c>
      <c r="C121" s="237" t="s">
        <v>1719</v>
      </c>
      <c r="D121" s="237" t="s">
        <v>1156</v>
      </c>
      <c r="E121" s="176" t="s">
        <v>247</v>
      </c>
      <c r="F121" s="155" t="s">
        <v>2595</v>
      </c>
      <c r="G121" s="157" t="s">
        <v>248</v>
      </c>
      <c r="H121" s="157" t="s">
        <v>1733</v>
      </c>
      <c r="I121" s="17" t="s">
        <v>292</v>
      </c>
      <c r="J121" s="264">
        <v>1.1627999999999999E-2</v>
      </c>
      <c r="K121" s="4" t="s">
        <v>293</v>
      </c>
      <c r="L121" s="124">
        <v>0</v>
      </c>
      <c r="M121" s="124">
        <v>0</v>
      </c>
      <c r="N121" s="124"/>
      <c r="O121" s="124" t="s">
        <v>1753</v>
      </c>
      <c r="P121" s="196">
        <v>0</v>
      </c>
      <c r="Q121" s="197">
        <v>0.5</v>
      </c>
      <c r="R121" s="197">
        <v>0.4</v>
      </c>
      <c r="S121" s="197">
        <v>0.1</v>
      </c>
      <c r="T121" s="197" t="s">
        <v>1290</v>
      </c>
      <c r="U121" s="6" t="s">
        <v>290</v>
      </c>
      <c r="V121" s="10">
        <v>0.5</v>
      </c>
      <c r="W121" s="6" t="s">
        <v>291</v>
      </c>
      <c r="X121" s="6"/>
      <c r="Y121" s="2" t="s">
        <v>2588</v>
      </c>
      <c r="Z121" s="251" t="s">
        <v>2546</v>
      </c>
      <c r="AA121" s="238">
        <f t="shared" si="14"/>
        <v>5.8139999999999997E-3</v>
      </c>
      <c r="AB121" s="252">
        <v>0</v>
      </c>
      <c r="AC121" s="278">
        <f>+(Tabla1[[#This Row],[Avance PDI]]*100%)/Tabla1[[#This Row],[ponderacion_meta]]</f>
        <v>0</v>
      </c>
      <c r="AD121" s="279">
        <v>0</v>
      </c>
      <c r="AE121" s="279">
        <v>5.8139999999999997E-3</v>
      </c>
      <c r="AF121" s="279">
        <v>4.6512000000000003E-3</v>
      </c>
      <c r="AG121" s="279">
        <v>1.1628000000000001E-3</v>
      </c>
      <c r="AH121" s="393">
        <f t="shared" si="10"/>
        <v>1.9088790000000005E-2</v>
      </c>
      <c r="AI121" s="393">
        <f t="shared" si="11"/>
        <v>4.2766666666666675E-2</v>
      </c>
      <c r="AJ121" s="318">
        <f t="shared" si="9"/>
        <v>4.2766666666666675E-2</v>
      </c>
      <c r="AK121" s="387">
        <v>2.9070000000000003E-3</v>
      </c>
      <c r="AL121" s="321">
        <f t="shared" si="18"/>
        <v>3.125E-2</v>
      </c>
      <c r="AM121" s="325">
        <v>0</v>
      </c>
      <c r="AN121" s="411">
        <f t="shared" si="19"/>
        <v>3.125E-2</v>
      </c>
      <c r="AO121" s="345" t="e">
        <f>+([1]!Tabla1[[#This Row],[ponderacion_accion]]/50%)*AQ121</f>
        <v>#REF!</v>
      </c>
      <c r="AP121" s="345" t="e">
        <f>Tabla1[[#This Row],[ponderacion_meta]]*AO121</f>
        <v>#REF!</v>
      </c>
      <c r="AQ121" s="357"/>
      <c r="AR121" s="379">
        <v>0</v>
      </c>
      <c r="AS121" s="9"/>
      <c r="AT121" s="521">
        <v>0</v>
      </c>
    </row>
    <row r="122" spans="1:46" x14ac:dyDescent="0.35">
      <c r="A122" s="236" t="s">
        <v>1150</v>
      </c>
      <c r="B122" s="237" t="s">
        <v>148</v>
      </c>
      <c r="C122" s="237" t="s">
        <v>1719</v>
      </c>
      <c r="D122" s="237" t="s">
        <v>1156</v>
      </c>
      <c r="E122" s="176" t="s">
        <v>247</v>
      </c>
      <c r="F122" s="155" t="s">
        <v>2595</v>
      </c>
      <c r="G122" s="155" t="s">
        <v>248</v>
      </c>
      <c r="H122" s="155" t="s">
        <v>1733</v>
      </c>
      <c r="I122" s="7" t="s">
        <v>295</v>
      </c>
      <c r="J122" s="265">
        <v>6.4939999999999998E-3</v>
      </c>
      <c r="K122" s="9" t="s">
        <v>296</v>
      </c>
      <c r="L122" s="120">
        <v>0</v>
      </c>
      <c r="M122" s="120">
        <v>0</v>
      </c>
      <c r="N122" s="120"/>
      <c r="O122" s="120" t="s">
        <v>1753</v>
      </c>
      <c r="P122" s="202">
        <v>1</v>
      </c>
      <c r="Q122" s="203">
        <v>1</v>
      </c>
      <c r="R122" s="203">
        <v>1</v>
      </c>
      <c r="S122" s="203">
        <v>1</v>
      </c>
      <c r="T122" s="203" t="s">
        <v>1291</v>
      </c>
      <c r="U122" s="9" t="s">
        <v>297</v>
      </c>
      <c r="V122" s="11">
        <v>0.1</v>
      </c>
      <c r="W122" s="9" t="s">
        <v>298</v>
      </c>
      <c r="X122" s="9"/>
      <c r="Y122" s="7" t="s">
        <v>2587</v>
      </c>
      <c r="Z122" s="9" t="s">
        <v>2546</v>
      </c>
      <c r="AA122" s="239">
        <f t="shared" si="14"/>
        <v>6.4940000000000006E-4</v>
      </c>
      <c r="AB122" s="252">
        <v>0</v>
      </c>
      <c r="AC122" s="262">
        <f>+(Tabla1[[#This Row],[Avance PDI]]*100%)/Tabla1[[#This Row],[ponderacion_meta]]</f>
        <v>0</v>
      </c>
      <c r="AD122" s="257">
        <f>+(Tabla1[[#This Row],[ponderacion_meta]]*Tabla1[[#This Row],[proyeccion_año1]])/4</f>
        <v>1.6234999999999999E-3</v>
      </c>
      <c r="AE122" s="257">
        <f>+(Tabla1[[#This Row],[ponderacion_meta]]*Tabla1[[#This Row],[proyeccion_año2]])/4</f>
        <v>1.6234999999999999E-3</v>
      </c>
      <c r="AF122" s="257">
        <f>+(Tabla1[[#This Row],[ponderacion_meta]]*Tabla1[[#This Row],[proyeccion_año3]])/4</f>
        <v>1.6234999999999999E-3</v>
      </c>
      <c r="AG122" s="257">
        <f>+(Tabla1[[#This Row],[ponderacion_meta]]*Tabla1[[#This Row],[proyeccion_año4]])/4</f>
        <v>1.6234999999999999E-3</v>
      </c>
      <c r="AH122" s="393">
        <f t="shared" si="10"/>
        <v>1.9088790000000005E-2</v>
      </c>
      <c r="AI122" s="393">
        <f t="shared" si="11"/>
        <v>4.2766666666666675E-2</v>
      </c>
      <c r="AJ122" s="318">
        <f t="shared" ref="AJ122:AJ185" si="20">+SUM($AC$57:$AC$257)/50</f>
        <v>4.2766666666666675E-2</v>
      </c>
      <c r="AK122" s="387">
        <v>2.9070000000000003E-3</v>
      </c>
      <c r="AL122" s="321">
        <f t="shared" si="18"/>
        <v>3.125E-2</v>
      </c>
      <c r="AM122" s="325">
        <v>0</v>
      </c>
      <c r="AN122" s="411">
        <f t="shared" si="19"/>
        <v>3.125E-2</v>
      </c>
      <c r="AO122" s="358" t="e">
        <f>+([1]!Tabla1[[#This Row],[ponderacion_accion]]/4)*AQ122</f>
        <v>#REF!</v>
      </c>
      <c r="AP122" s="358" t="e">
        <f>Tabla1[[#This Row],[ponderacion_meta]]*AO122</f>
        <v>#REF!</v>
      </c>
      <c r="AQ122" s="361"/>
      <c r="AR122" s="380">
        <v>0</v>
      </c>
      <c r="AS122" s="7" t="e">
        <f>+((SUM(AO122:AO125)*100)/50)</f>
        <v>#REF!</v>
      </c>
      <c r="AT122" s="521">
        <v>0</v>
      </c>
    </row>
    <row r="123" spans="1:46" ht="13.5" customHeight="1" x14ac:dyDescent="0.35">
      <c r="A123" s="236" t="s">
        <v>1150</v>
      </c>
      <c r="B123" s="237" t="s">
        <v>148</v>
      </c>
      <c r="C123" s="237" t="s">
        <v>1719</v>
      </c>
      <c r="D123" s="237" t="s">
        <v>1156</v>
      </c>
      <c r="E123" s="176" t="s">
        <v>247</v>
      </c>
      <c r="F123" s="155" t="s">
        <v>2595</v>
      </c>
      <c r="G123" s="155" t="s">
        <v>248</v>
      </c>
      <c r="H123" s="155" t="s">
        <v>1733</v>
      </c>
      <c r="I123" s="7" t="s">
        <v>295</v>
      </c>
      <c r="J123" s="265">
        <v>6.4939999999999998E-3</v>
      </c>
      <c r="K123" s="9" t="s">
        <v>296</v>
      </c>
      <c r="L123" s="120">
        <v>0</v>
      </c>
      <c r="M123" s="120">
        <v>0</v>
      </c>
      <c r="N123" s="122"/>
      <c r="O123" s="122" t="s">
        <v>1753</v>
      </c>
      <c r="P123" s="204">
        <v>1</v>
      </c>
      <c r="Q123" s="205">
        <v>1</v>
      </c>
      <c r="R123" s="205">
        <v>1</v>
      </c>
      <c r="S123" s="205">
        <v>1</v>
      </c>
      <c r="T123" s="205" t="s">
        <v>1292</v>
      </c>
      <c r="U123" s="9" t="s">
        <v>299</v>
      </c>
      <c r="V123" s="11">
        <v>0.1</v>
      </c>
      <c r="W123" s="9" t="s">
        <v>300</v>
      </c>
      <c r="X123" s="9"/>
      <c r="Y123" s="7" t="s">
        <v>2587</v>
      </c>
      <c r="Z123" s="9" t="s">
        <v>2546</v>
      </c>
      <c r="AA123" s="239">
        <f t="shared" si="14"/>
        <v>6.4940000000000006E-4</v>
      </c>
      <c r="AB123" s="252">
        <v>0</v>
      </c>
      <c r="AC123" s="262">
        <f>+(Tabla1[[#This Row],[Avance PDI]]*100%)/Tabla1[[#This Row],[ponderacion_meta]]</f>
        <v>0</v>
      </c>
      <c r="AD123" s="257">
        <v>1.6234999999999999E-3</v>
      </c>
      <c r="AE123" s="257">
        <v>1.6234999999999999E-3</v>
      </c>
      <c r="AF123" s="257">
        <v>1.6234999999999999E-3</v>
      </c>
      <c r="AG123" s="257">
        <v>1.6234999999999999E-3</v>
      </c>
      <c r="AH123" s="393">
        <f t="shared" ref="AH123:AH186" si="21">$AH$57</f>
        <v>1.9088790000000005E-2</v>
      </c>
      <c r="AI123" s="393">
        <f t="shared" ref="AI123:AI186" si="22">$AI$57</f>
        <v>4.2766666666666675E-2</v>
      </c>
      <c r="AJ123" s="318">
        <f t="shared" si="20"/>
        <v>4.2766666666666675E-2</v>
      </c>
      <c r="AK123" s="387">
        <v>2.9070000000000003E-3</v>
      </c>
      <c r="AL123" s="321">
        <f t="shared" si="18"/>
        <v>3.125E-2</v>
      </c>
      <c r="AM123" s="325">
        <v>0</v>
      </c>
      <c r="AN123" s="411">
        <f t="shared" si="19"/>
        <v>3.125E-2</v>
      </c>
      <c r="AO123" s="359" t="e">
        <f>+([1]!Tabla1[[#This Row],[ponderacion_accion]]/4)*AQ123</f>
        <v>#REF!</v>
      </c>
      <c r="AP123" s="359" t="e">
        <f>Tabla1[[#This Row],[ponderacion_meta]]*AO123</f>
        <v>#REF!</v>
      </c>
      <c r="AQ123" s="351"/>
      <c r="AR123" s="380">
        <v>0</v>
      </c>
      <c r="AS123" s="9"/>
      <c r="AT123" s="521">
        <v>0</v>
      </c>
    </row>
    <row r="124" spans="1:46" ht="13.5" customHeight="1" x14ac:dyDescent="0.35">
      <c r="A124" s="236" t="s">
        <v>1150</v>
      </c>
      <c r="B124" s="237" t="s">
        <v>148</v>
      </c>
      <c r="C124" s="237" t="s">
        <v>1719</v>
      </c>
      <c r="D124" s="237" t="s">
        <v>1156</v>
      </c>
      <c r="E124" s="176" t="s">
        <v>247</v>
      </c>
      <c r="F124" s="155" t="s">
        <v>2595</v>
      </c>
      <c r="G124" s="155" t="s">
        <v>248</v>
      </c>
      <c r="H124" s="155" t="s">
        <v>1733</v>
      </c>
      <c r="I124" s="7" t="s">
        <v>295</v>
      </c>
      <c r="J124" s="265">
        <v>6.4939999999999998E-3</v>
      </c>
      <c r="K124" s="9" t="s">
        <v>296</v>
      </c>
      <c r="L124" s="120">
        <v>0</v>
      </c>
      <c r="M124" s="120">
        <v>0</v>
      </c>
      <c r="N124" s="122"/>
      <c r="O124" s="122" t="s">
        <v>1753</v>
      </c>
      <c r="P124" s="204">
        <v>1</v>
      </c>
      <c r="Q124" s="205">
        <v>1</v>
      </c>
      <c r="R124" s="205">
        <v>1</v>
      </c>
      <c r="S124" s="205">
        <v>1</v>
      </c>
      <c r="T124" s="205" t="s">
        <v>1293</v>
      </c>
      <c r="U124" s="9" t="s">
        <v>301</v>
      </c>
      <c r="V124" s="11">
        <v>0.1</v>
      </c>
      <c r="W124" s="9" t="s">
        <v>302</v>
      </c>
      <c r="X124" s="9"/>
      <c r="Y124" s="7" t="s">
        <v>2587</v>
      </c>
      <c r="Z124" s="9" t="s">
        <v>2546</v>
      </c>
      <c r="AA124" s="239">
        <f t="shared" si="14"/>
        <v>6.4940000000000006E-4</v>
      </c>
      <c r="AB124" s="252">
        <v>0</v>
      </c>
      <c r="AC124" s="262">
        <f>+(Tabla1[[#This Row],[Avance PDI]]*100%)/Tabla1[[#This Row],[ponderacion_meta]]</f>
        <v>0</v>
      </c>
      <c r="AD124" s="257">
        <v>1.6234999999999999E-3</v>
      </c>
      <c r="AE124" s="257">
        <v>1.6234999999999999E-3</v>
      </c>
      <c r="AF124" s="257">
        <v>1.6234999999999999E-3</v>
      </c>
      <c r="AG124" s="257">
        <v>1.6234999999999999E-3</v>
      </c>
      <c r="AH124" s="393">
        <f t="shared" si="21"/>
        <v>1.9088790000000005E-2</v>
      </c>
      <c r="AI124" s="393">
        <f t="shared" si="22"/>
        <v>4.2766666666666675E-2</v>
      </c>
      <c r="AJ124" s="318">
        <f t="shared" si="20"/>
        <v>4.2766666666666675E-2</v>
      </c>
      <c r="AK124" s="387">
        <v>2.9070000000000003E-3</v>
      </c>
      <c r="AL124" s="321">
        <f t="shared" si="18"/>
        <v>3.125E-2</v>
      </c>
      <c r="AM124" s="325">
        <v>0</v>
      </c>
      <c r="AN124" s="411">
        <f t="shared" si="19"/>
        <v>3.125E-2</v>
      </c>
      <c r="AO124" s="359" t="e">
        <f>+([1]!Tabla1[[#This Row],[ponderacion_accion]]/4)*AQ124</f>
        <v>#REF!</v>
      </c>
      <c r="AP124" s="359" t="e">
        <f>Tabla1[[#This Row],[ponderacion_meta]]*AO124</f>
        <v>#REF!</v>
      </c>
      <c r="AQ124" s="351"/>
      <c r="AR124" s="380">
        <v>0</v>
      </c>
      <c r="AS124" s="9"/>
      <c r="AT124" s="521">
        <v>0</v>
      </c>
    </row>
    <row r="125" spans="1:46" ht="13.5" customHeight="1" x14ac:dyDescent="0.35">
      <c r="A125" s="236" t="s">
        <v>1150</v>
      </c>
      <c r="B125" s="237" t="s">
        <v>148</v>
      </c>
      <c r="C125" s="237" t="s">
        <v>1719</v>
      </c>
      <c r="D125" s="237" t="s">
        <v>1156</v>
      </c>
      <c r="E125" s="176" t="s">
        <v>247</v>
      </c>
      <c r="F125" s="155" t="s">
        <v>2595</v>
      </c>
      <c r="G125" s="155" t="s">
        <v>248</v>
      </c>
      <c r="H125" s="155" t="s">
        <v>1733</v>
      </c>
      <c r="I125" s="7" t="s">
        <v>295</v>
      </c>
      <c r="J125" s="265">
        <v>6.4939999999999998E-3</v>
      </c>
      <c r="K125" s="9" t="s">
        <v>296</v>
      </c>
      <c r="L125" s="120">
        <v>0</v>
      </c>
      <c r="M125" s="120">
        <v>0</v>
      </c>
      <c r="N125" s="122"/>
      <c r="O125" s="122" t="s">
        <v>1753</v>
      </c>
      <c r="P125" s="204">
        <v>1</v>
      </c>
      <c r="Q125" s="205">
        <v>1</v>
      </c>
      <c r="R125" s="205">
        <v>1</v>
      </c>
      <c r="S125" s="205">
        <v>1</v>
      </c>
      <c r="T125" s="205" t="s">
        <v>1294</v>
      </c>
      <c r="U125" s="9" t="s">
        <v>303</v>
      </c>
      <c r="V125" s="11">
        <v>0.2</v>
      </c>
      <c r="W125" s="9" t="s">
        <v>304</v>
      </c>
      <c r="X125" s="9"/>
      <c r="Y125" s="7" t="s">
        <v>2587</v>
      </c>
      <c r="Z125" s="9" t="s">
        <v>2546</v>
      </c>
      <c r="AA125" s="239">
        <f t="shared" si="14"/>
        <v>1.2988000000000001E-3</v>
      </c>
      <c r="AB125" s="252">
        <v>0</v>
      </c>
      <c r="AC125" s="262">
        <f>+(Tabla1[[#This Row],[Avance PDI]]*100%)/Tabla1[[#This Row],[ponderacion_meta]]</f>
        <v>0</v>
      </c>
      <c r="AD125" s="257">
        <v>1.6234999999999999E-3</v>
      </c>
      <c r="AE125" s="257">
        <v>1.6234999999999999E-3</v>
      </c>
      <c r="AF125" s="257">
        <v>1.6234999999999999E-3</v>
      </c>
      <c r="AG125" s="257">
        <v>1.6234999999999999E-3</v>
      </c>
      <c r="AH125" s="393">
        <f t="shared" si="21"/>
        <v>1.9088790000000005E-2</v>
      </c>
      <c r="AI125" s="393">
        <f t="shared" si="22"/>
        <v>4.2766666666666675E-2</v>
      </c>
      <c r="AJ125" s="318">
        <f t="shared" si="20"/>
        <v>4.2766666666666675E-2</v>
      </c>
      <c r="AK125" s="387">
        <v>2.9070000000000003E-3</v>
      </c>
      <c r="AL125" s="321">
        <f t="shared" si="18"/>
        <v>3.125E-2</v>
      </c>
      <c r="AM125" s="325">
        <v>0</v>
      </c>
      <c r="AN125" s="411">
        <f t="shared" si="19"/>
        <v>3.125E-2</v>
      </c>
      <c r="AO125" s="359" t="e">
        <f>+([1]!Tabla1[[#This Row],[ponderacion_accion]]/4)*AQ125</f>
        <v>#REF!</v>
      </c>
      <c r="AP125" s="359" t="e">
        <f>Tabla1[[#This Row],[ponderacion_meta]]*AO125</f>
        <v>#REF!</v>
      </c>
      <c r="AQ125" s="351"/>
      <c r="AR125" s="380">
        <v>0</v>
      </c>
      <c r="AS125" s="9"/>
      <c r="AT125" s="521">
        <v>0</v>
      </c>
    </row>
    <row r="126" spans="1:46" ht="13.5" customHeight="1" x14ac:dyDescent="0.35">
      <c r="A126" s="236" t="s">
        <v>1150</v>
      </c>
      <c r="B126" s="237" t="s">
        <v>148</v>
      </c>
      <c r="C126" s="237" t="s">
        <v>1719</v>
      </c>
      <c r="D126" s="237" t="s">
        <v>1156</v>
      </c>
      <c r="E126" s="176" t="s">
        <v>247</v>
      </c>
      <c r="F126" s="155" t="s">
        <v>2595</v>
      </c>
      <c r="G126" s="155" t="s">
        <v>248</v>
      </c>
      <c r="H126" s="155" t="s">
        <v>1733</v>
      </c>
      <c r="I126" s="7" t="s">
        <v>295</v>
      </c>
      <c r="J126" s="265">
        <v>6.4939999999999998E-3</v>
      </c>
      <c r="K126" s="9" t="s">
        <v>296</v>
      </c>
      <c r="L126" s="125">
        <v>0</v>
      </c>
      <c r="M126" s="125">
        <v>0</v>
      </c>
      <c r="N126" s="433"/>
      <c r="O126" s="433" t="s">
        <v>1753</v>
      </c>
      <c r="P126" s="206">
        <v>1</v>
      </c>
      <c r="Q126" s="207">
        <v>1</v>
      </c>
      <c r="R126" s="207">
        <v>1</v>
      </c>
      <c r="S126" s="207">
        <v>1</v>
      </c>
      <c r="T126" s="207" t="s">
        <v>1295</v>
      </c>
      <c r="U126" s="9" t="s">
        <v>305</v>
      </c>
      <c r="V126" s="11">
        <v>0.5</v>
      </c>
      <c r="W126" s="9" t="s">
        <v>306</v>
      </c>
      <c r="X126" s="9"/>
      <c r="Y126" s="7" t="s">
        <v>2587</v>
      </c>
      <c r="Z126" s="9" t="s">
        <v>2546</v>
      </c>
      <c r="AA126" s="239">
        <f t="shared" si="14"/>
        <v>3.2469999999999999E-3</v>
      </c>
      <c r="AB126" s="252">
        <v>0</v>
      </c>
      <c r="AC126" s="262">
        <f>+(Tabla1[[#This Row],[Avance PDI]]*100%)/Tabla1[[#This Row],[ponderacion_meta]]</f>
        <v>0</v>
      </c>
      <c r="AD126" s="257">
        <v>1.6234999999999999E-3</v>
      </c>
      <c r="AE126" s="257">
        <v>1.6234999999999999E-3</v>
      </c>
      <c r="AF126" s="257">
        <v>1.6234999999999999E-3</v>
      </c>
      <c r="AG126" s="257">
        <v>1.6234999999999999E-3</v>
      </c>
      <c r="AH126" s="393">
        <f t="shared" si="21"/>
        <v>1.9088790000000005E-2</v>
      </c>
      <c r="AI126" s="393">
        <f t="shared" si="22"/>
        <v>4.2766666666666675E-2</v>
      </c>
      <c r="AJ126" s="318">
        <f t="shared" si="20"/>
        <v>4.2766666666666675E-2</v>
      </c>
      <c r="AK126" s="387">
        <v>2.9070000000000003E-3</v>
      </c>
      <c r="AL126" s="321">
        <f t="shared" si="18"/>
        <v>3.125E-2</v>
      </c>
      <c r="AM126" s="325">
        <v>0</v>
      </c>
      <c r="AN126" s="411">
        <f t="shared" si="19"/>
        <v>3.125E-2</v>
      </c>
      <c r="AO126" s="360" t="e">
        <f>+([1]!Tabla1[[#This Row],[ponderacion_accion]]/4)*AQ126</f>
        <v>#REF!</v>
      </c>
      <c r="AP126" s="360" t="e">
        <f>Tabla1[[#This Row],[ponderacion_meta]]*AO126</f>
        <v>#REF!</v>
      </c>
      <c r="AQ126" s="356"/>
      <c r="AR126" s="380">
        <v>0</v>
      </c>
      <c r="AS126" s="9"/>
      <c r="AT126" s="521">
        <v>0</v>
      </c>
    </row>
    <row r="127" spans="1:46" x14ac:dyDescent="0.35">
      <c r="A127" s="236" t="s">
        <v>1150</v>
      </c>
      <c r="B127" s="237" t="s">
        <v>148</v>
      </c>
      <c r="C127" s="237" t="s">
        <v>1719</v>
      </c>
      <c r="D127" s="237" t="s">
        <v>1156</v>
      </c>
      <c r="E127" s="176" t="s">
        <v>247</v>
      </c>
      <c r="F127" s="155" t="s">
        <v>2595</v>
      </c>
      <c r="G127" s="155" t="s">
        <v>248</v>
      </c>
      <c r="H127" s="155" t="s">
        <v>1733</v>
      </c>
      <c r="I127" s="2" t="s">
        <v>307</v>
      </c>
      <c r="J127" s="264">
        <v>1.1627999999999999E-2</v>
      </c>
      <c r="K127" s="6" t="s">
        <v>308</v>
      </c>
      <c r="L127" s="118">
        <v>0</v>
      </c>
      <c r="M127" s="118">
        <v>0</v>
      </c>
      <c r="N127" s="118"/>
      <c r="O127" s="118" t="s">
        <v>1753</v>
      </c>
      <c r="P127" s="258">
        <v>0</v>
      </c>
      <c r="Q127" s="259">
        <v>1</v>
      </c>
      <c r="R127" s="259">
        <v>1</v>
      </c>
      <c r="S127" s="259">
        <v>1</v>
      </c>
      <c r="T127" s="259" t="s">
        <v>1296</v>
      </c>
      <c r="U127" s="6" t="s">
        <v>309</v>
      </c>
      <c r="V127" s="10">
        <v>0.25</v>
      </c>
      <c r="W127" s="6" t="s">
        <v>310</v>
      </c>
      <c r="X127" s="6"/>
      <c r="Y127" s="2" t="s">
        <v>2587</v>
      </c>
      <c r="Z127" s="251" t="s">
        <v>2546</v>
      </c>
      <c r="AA127" s="238">
        <f t="shared" si="14"/>
        <v>2.9069999999999999E-3</v>
      </c>
      <c r="AB127" s="252">
        <v>0</v>
      </c>
      <c r="AC127" s="278">
        <f>+(Tabla1[[#This Row],[Avance PDI]]*100%)/Tabla1[[#This Row],[ponderacion_meta]]</f>
        <v>0</v>
      </c>
      <c r="AD127" s="279">
        <v>0</v>
      </c>
      <c r="AE127" s="279">
        <f>+(Tabla1[[#This Row],[ponderacion_meta]]/300%*Tabla1[[#This Row],[proyeccion_año2]])</f>
        <v>3.8759999999999997E-3</v>
      </c>
      <c r="AF127" s="279">
        <f>+Tabla1[[#This Row],[ponderacion_meta]]/300%*Tabla1[[#This Row],[proyeccion_año3]]</f>
        <v>3.8759999999999997E-3</v>
      </c>
      <c r="AG127" s="279">
        <f>+Tabla1[[#This Row],[ponderacion_meta]]/300%*Tabla1[[#This Row],[proyeccion_año4]]</f>
        <v>3.8759999999999997E-3</v>
      </c>
      <c r="AH127" s="393">
        <f t="shared" si="21"/>
        <v>1.9088790000000005E-2</v>
      </c>
      <c r="AI127" s="393">
        <f t="shared" si="22"/>
        <v>4.2766666666666675E-2</v>
      </c>
      <c r="AJ127" s="318">
        <f t="shared" si="20"/>
        <v>4.2766666666666675E-2</v>
      </c>
      <c r="AK127" s="387">
        <v>2.9070000000000003E-3</v>
      </c>
      <c r="AL127" s="321">
        <f t="shared" si="18"/>
        <v>3.125E-2</v>
      </c>
      <c r="AM127" s="325">
        <v>0</v>
      </c>
      <c r="AN127" s="411">
        <f t="shared" si="19"/>
        <v>3.125E-2</v>
      </c>
      <c r="AO127" s="343" t="e">
        <f>+([1]!Tabla1[[#This Row],[ponderacion_accion]]/3)*AQ127</f>
        <v>#REF!</v>
      </c>
      <c r="AP127" s="343" t="e">
        <f>Tabla1[[#This Row],[ponderacion_meta]]*AO127</f>
        <v>#REF!</v>
      </c>
      <c r="AQ127" s="353"/>
      <c r="AR127" s="377">
        <v>0</v>
      </c>
      <c r="AS127" s="7" t="e">
        <f>+((SUM(AO127:AO129)*100)/33.33)</f>
        <v>#REF!</v>
      </c>
      <c r="AT127" s="521">
        <v>0</v>
      </c>
    </row>
    <row r="128" spans="1:46" ht="15" customHeight="1" x14ac:dyDescent="0.35">
      <c r="A128" s="236" t="s">
        <v>1150</v>
      </c>
      <c r="B128" s="237" t="s">
        <v>148</v>
      </c>
      <c r="C128" s="237" t="s">
        <v>1719</v>
      </c>
      <c r="D128" s="237" t="s">
        <v>1156</v>
      </c>
      <c r="E128" s="176" t="s">
        <v>247</v>
      </c>
      <c r="F128" s="155" t="s">
        <v>2595</v>
      </c>
      <c r="G128" s="155" t="s">
        <v>248</v>
      </c>
      <c r="H128" s="155" t="s">
        <v>1733</v>
      </c>
      <c r="I128" s="2" t="s">
        <v>307</v>
      </c>
      <c r="J128" s="264">
        <v>1.1627999999999999E-2</v>
      </c>
      <c r="K128" s="6" t="s">
        <v>308</v>
      </c>
      <c r="L128" s="118">
        <v>0</v>
      </c>
      <c r="M128" s="118">
        <v>0</v>
      </c>
      <c r="N128" s="123"/>
      <c r="O128" s="123" t="s">
        <v>1753</v>
      </c>
      <c r="P128" s="260">
        <v>0</v>
      </c>
      <c r="Q128" s="261">
        <v>1</v>
      </c>
      <c r="R128" s="261">
        <v>1</v>
      </c>
      <c r="S128" s="261">
        <v>1</v>
      </c>
      <c r="T128" s="261" t="s">
        <v>1297</v>
      </c>
      <c r="U128" s="6" t="s">
        <v>311</v>
      </c>
      <c r="V128" s="10">
        <v>0.5</v>
      </c>
      <c r="W128" s="6" t="s">
        <v>24</v>
      </c>
      <c r="X128" s="6"/>
      <c r="Y128" s="2" t="s">
        <v>2587</v>
      </c>
      <c r="Z128" s="251" t="s">
        <v>2546</v>
      </c>
      <c r="AA128" s="238">
        <f t="shared" si="14"/>
        <v>5.8139999999999997E-3</v>
      </c>
      <c r="AB128" s="252">
        <v>0</v>
      </c>
      <c r="AC128" s="278">
        <f>+(Tabla1[[#This Row],[Avance PDI]]*100%)/Tabla1[[#This Row],[ponderacion_meta]]</f>
        <v>0</v>
      </c>
      <c r="AD128" s="279">
        <v>0</v>
      </c>
      <c r="AE128" s="279">
        <v>3.8759999999999997E-3</v>
      </c>
      <c r="AF128" s="279">
        <v>3.8759999999999997E-3</v>
      </c>
      <c r="AG128" s="279">
        <v>3.8759999999999997E-3</v>
      </c>
      <c r="AH128" s="393">
        <f t="shared" si="21"/>
        <v>1.9088790000000005E-2</v>
      </c>
      <c r="AI128" s="393">
        <f t="shared" si="22"/>
        <v>4.2766666666666675E-2</v>
      </c>
      <c r="AJ128" s="318">
        <f t="shared" si="20"/>
        <v>4.2766666666666675E-2</v>
      </c>
      <c r="AK128" s="387">
        <v>2.9070000000000003E-3</v>
      </c>
      <c r="AL128" s="321">
        <f t="shared" si="18"/>
        <v>3.125E-2</v>
      </c>
      <c r="AM128" s="325">
        <v>0</v>
      </c>
      <c r="AN128" s="411">
        <f t="shared" si="19"/>
        <v>3.125E-2</v>
      </c>
      <c r="AO128" s="344" t="e">
        <f>+([1]!Tabla1[[#This Row],[ponderacion_accion]]/3)*AQ128</f>
        <v>#REF!</v>
      </c>
      <c r="AP128" s="344" t="e">
        <f>Tabla1[[#This Row],[ponderacion_meta]]*AO128</f>
        <v>#REF!</v>
      </c>
      <c r="AQ128" s="354"/>
      <c r="AR128" s="378">
        <v>0</v>
      </c>
      <c r="AS128" s="9"/>
      <c r="AT128" s="521">
        <v>0</v>
      </c>
    </row>
    <row r="129" spans="1:46" ht="15" customHeight="1" x14ac:dyDescent="0.35">
      <c r="A129" s="236" t="s">
        <v>1150</v>
      </c>
      <c r="B129" s="237" t="s">
        <v>148</v>
      </c>
      <c r="C129" s="237" t="s">
        <v>1719</v>
      </c>
      <c r="D129" s="237" t="s">
        <v>1156</v>
      </c>
      <c r="E129" s="176" t="s">
        <v>247</v>
      </c>
      <c r="F129" s="155" t="s">
        <v>2595</v>
      </c>
      <c r="G129" s="155" t="s">
        <v>248</v>
      </c>
      <c r="H129" s="155" t="s">
        <v>1733</v>
      </c>
      <c r="I129" s="2" t="s">
        <v>307</v>
      </c>
      <c r="J129" s="264">
        <v>1.1627999999999999E-2</v>
      </c>
      <c r="K129" s="6" t="s">
        <v>308</v>
      </c>
      <c r="L129" s="118">
        <v>0</v>
      </c>
      <c r="M129" s="118">
        <v>0</v>
      </c>
      <c r="N129" s="123"/>
      <c r="O129" s="123" t="s">
        <v>1753</v>
      </c>
      <c r="P129" s="260">
        <v>0</v>
      </c>
      <c r="Q129" s="261">
        <v>1</v>
      </c>
      <c r="R129" s="261">
        <v>1</v>
      </c>
      <c r="S129" s="261">
        <v>1</v>
      </c>
      <c r="T129" s="261" t="s">
        <v>1298</v>
      </c>
      <c r="U129" s="6" t="s">
        <v>312</v>
      </c>
      <c r="V129" s="10">
        <v>0.25</v>
      </c>
      <c r="W129" s="6" t="s">
        <v>313</v>
      </c>
      <c r="X129" s="6"/>
      <c r="Y129" s="2" t="s">
        <v>2587</v>
      </c>
      <c r="Z129" s="251" t="s">
        <v>2546</v>
      </c>
      <c r="AA129" s="238">
        <f t="shared" si="14"/>
        <v>2.9069999999999999E-3</v>
      </c>
      <c r="AB129" s="252">
        <v>0</v>
      </c>
      <c r="AC129" s="278">
        <f>+(Tabla1[[#This Row],[Avance PDI]]*100%)/Tabla1[[#This Row],[ponderacion_meta]]</f>
        <v>0</v>
      </c>
      <c r="AD129" s="279">
        <v>0</v>
      </c>
      <c r="AE129" s="279">
        <v>3.8759999999999997E-3</v>
      </c>
      <c r="AF129" s="279">
        <v>3.8759999999999997E-3</v>
      </c>
      <c r="AG129" s="279">
        <v>3.8759999999999997E-3</v>
      </c>
      <c r="AH129" s="393">
        <f t="shared" si="21"/>
        <v>1.9088790000000005E-2</v>
      </c>
      <c r="AI129" s="393">
        <f t="shared" si="22"/>
        <v>4.2766666666666675E-2</v>
      </c>
      <c r="AJ129" s="318">
        <f t="shared" si="20"/>
        <v>4.2766666666666675E-2</v>
      </c>
      <c r="AK129" s="387">
        <v>2.9070000000000003E-3</v>
      </c>
      <c r="AL129" s="321">
        <f t="shared" si="18"/>
        <v>3.125E-2</v>
      </c>
      <c r="AM129" s="325">
        <v>0</v>
      </c>
      <c r="AN129" s="411">
        <f t="shared" si="19"/>
        <v>3.125E-2</v>
      </c>
      <c r="AO129" s="345" t="e">
        <f>+([1]!Tabla1[[#This Row],[ponderacion_accion]]/3)*AQ129</f>
        <v>#REF!</v>
      </c>
      <c r="AP129" s="345" t="e">
        <f>Tabla1[[#This Row],[ponderacion_meta]]*AO129</f>
        <v>#REF!</v>
      </c>
      <c r="AQ129" s="357"/>
      <c r="AR129" s="379">
        <v>0</v>
      </c>
      <c r="AS129" s="9"/>
      <c r="AT129" s="521">
        <v>0</v>
      </c>
    </row>
    <row r="130" spans="1:46" x14ac:dyDescent="0.35">
      <c r="A130" s="236" t="s">
        <v>1150</v>
      </c>
      <c r="B130" s="237" t="s">
        <v>148</v>
      </c>
      <c r="C130" s="237" t="s">
        <v>1719</v>
      </c>
      <c r="D130" s="237" t="s">
        <v>1156</v>
      </c>
      <c r="E130" s="176" t="s">
        <v>247</v>
      </c>
      <c r="F130" s="155" t="s">
        <v>2595</v>
      </c>
      <c r="G130" s="155" t="s">
        <v>248</v>
      </c>
      <c r="H130" s="155" t="s">
        <v>1733</v>
      </c>
      <c r="I130" s="7" t="s">
        <v>314</v>
      </c>
      <c r="J130" s="265">
        <v>6.4939999999999998E-3</v>
      </c>
      <c r="K130" s="9" t="s">
        <v>315</v>
      </c>
      <c r="L130" s="120">
        <v>63672000</v>
      </c>
      <c r="M130" s="120">
        <v>0</v>
      </c>
      <c r="N130" s="122"/>
      <c r="O130" s="122" t="s">
        <v>1753</v>
      </c>
      <c r="P130" s="191">
        <v>0</v>
      </c>
      <c r="Q130" s="205">
        <v>1</v>
      </c>
      <c r="R130" s="205">
        <v>1</v>
      </c>
      <c r="S130" s="205">
        <v>1</v>
      </c>
      <c r="T130" s="205" t="s">
        <v>1299</v>
      </c>
      <c r="U130" s="9" t="s">
        <v>316</v>
      </c>
      <c r="V130" s="11">
        <v>0.2</v>
      </c>
      <c r="W130" s="9" t="s">
        <v>317</v>
      </c>
      <c r="X130" s="9"/>
      <c r="Y130" s="7" t="s">
        <v>2587</v>
      </c>
      <c r="Z130" s="9" t="s">
        <v>2535</v>
      </c>
      <c r="AA130" s="239">
        <f t="shared" ref="AA130:AA193" si="23">+J130*V130</f>
        <v>1.2988000000000001E-3</v>
      </c>
      <c r="AB130" s="252">
        <v>0</v>
      </c>
      <c r="AC130" s="262">
        <f>+(Tabla1[[#This Row],[Avance PDI]]*100%)/Tabla1[[#This Row],[ponderacion_meta]]</f>
        <v>0</v>
      </c>
      <c r="AD130" s="257">
        <v>0</v>
      </c>
      <c r="AE130" s="257">
        <f>+(Tabla1[[#This Row],[ponderacion_meta]]/300%*Tabla1[[#This Row],[proyeccion_año2]])</f>
        <v>2.1646666666666667E-3</v>
      </c>
      <c r="AF130" s="257">
        <f>+Tabla1[[#This Row],[ponderacion_meta]]/300%*Tabla1[[#This Row],[proyeccion_año3]]</f>
        <v>2.1646666666666667E-3</v>
      </c>
      <c r="AG130" s="257">
        <f>+Tabla1[[#This Row],[ponderacion_meta]]/300%*Tabla1[[#This Row],[proyeccion_año4]]</f>
        <v>2.1646666666666667E-3</v>
      </c>
      <c r="AH130" s="393">
        <f t="shared" si="21"/>
        <v>1.9088790000000005E-2</v>
      </c>
      <c r="AI130" s="393">
        <f t="shared" si="22"/>
        <v>4.2766666666666675E-2</v>
      </c>
      <c r="AJ130" s="318">
        <f t="shared" si="20"/>
        <v>4.2766666666666675E-2</v>
      </c>
      <c r="AK130" s="387">
        <v>2.9070000000000003E-3</v>
      </c>
      <c r="AL130" s="321">
        <f t="shared" si="18"/>
        <v>3.125E-2</v>
      </c>
      <c r="AM130" s="325">
        <v>0</v>
      </c>
      <c r="AN130" s="411">
        <f t="shared" si="19"/>
        <v>3.125E-2</v>
      </c>
      <c r="AO130" s="358" t="e">
        <f>+([1]!Tabla1[[#This Row],[ponderacion_accion]]/3)*AQ130</f>
        <v>#REF!</v>
      </c>
      <c r="AP130" s="358" t="e">
        <f>Tabla1[[#This Row],[ponderacion_meta]]*AO130</f>
        <v>#REF!</v>
      </c>
      <c r="AQ130" s="361"/>
      <c r="AR130" s="380">
        <v>0</v>
      </c>
      <c r="AS130" s="7" t="e">
        <f>+((SUM(AO130:AO133)*100)/33.33)</f>
        <v>#REF!</v>
      </c>
      <c r="AT130" s="521">
        <v>0</v>
      </c>
    </row>
    <row r="131" spans="1:46" ht="15" customHeight="1" x14ac:dyDescent="0.35">
      <c r="A131" s="236" t="s">
        <v>1150</v>
      </c>
      <c r="B131" s="237" t="s">
        <v>148</v>
      </c>
      <c r="C131" s="237" t="s">
        <v>1719</v>
      </c>
      <c r="D131" s="237" t="s">
        <v>1156</v>
      </c>
      <c r="E131" s="176" t="s">
        <v>247</v>
      </c>
      <c r="F131" s="155" t="s">
        <v>2595</v>
      </c>
      <c r="G131" s="155" t="s">
        <v>248</v>
      </c>
      <c r="H131" s="155" t="s">
        <v>1733</v>
      </c>
      <c r="I131" s="7" t="s">
        <v>314</v>
      </c>
      <c r="J131" s="265">
        <v>6.4939999999999998E-3</v>
      </c>
      <c r="K131" s="9" t="s">
        <v>315</v>
      </c>
      <c r="L131" s="120">
        <v>63672000</v>
      </c>
      <c r="M131" s="120">
        <v>0</v>
      </c>
      <c r="N131" s="122"/>
      <c r="O131" s="122" t="s">
        <v>1753</v>
      </c>
      <c r="P131" s="191">
        <v>0</v>
      </c>
      <c r="Q131" s="205">
        <v>1</v>
      </c>
      <c r="R131" s="205">
        <v>1</v>
      </c>
      <c r="S131" s="205">
        <v>1</v>
      </c>
      <c r="T131" s="205" t="s">
        <v>1300</v>
      </c>
      <c r="U131" s="9" t="s">
        <v>318</v>
      </c>
      <c r="V131" s="11">
        <v>0.2</v>
      </c>
      <c r="W131" s="9" t="s">
        <v>319</v>
      </c>
      <c r="X131" s="9"/>
      <c r="Y131" s="7" t="s">
        <v>2587</v>
      </c>
      <c r="Z131" s="9" t="s">
        <v>2535</v>
      </c>
      <c r="AA131" s="239">
        <f t="shared" si="23"/>
        <v>1.2988000000000001E-3</v>
      </c>
      <c r="AB131" s="252">
        <v>0</v>
      </c>
      <c r="AC131" s="262">
        <f>+(Tabla1[[#This Row],[Avance PDI]]*100%)/Tabla1[[#This Row],[ponderacion_meta]]</f>
        <v>0</v>
      </c>
      <c r="AD131" s="257">
        <v>0</v>
      </c>
      <c r="AE131" s="257">
        <v>2.1646666666666667E-3</v>
      </c>
      <c r="AF131" s="257">
        <v>2.1646666666666667E-3</v>
      </c>
      <c r="AG131" s="257">
        <v>2.1646666666666667E-3</v>
      </c>
      <c r="AH131" s="393">
        <f t="shared" si="21"/>
        <v>1.9088790000000005E-2</v>
      </c>
      <c r="AI131" s="393">
        <f t="shared" si="22"/>
        <v>4.2766666666666675E-2</v>
      </c>
      <c r="AJ131" s="318">
        <f t="shared" si="20"/>
        <v>4.2766666666666675E-2</v>
      </c>
      <c r="AK131" s="387">
        <v>2.9070000000000003E-3</v>
      </c>
      <c r="AL131" s="321">
        <f t="shared" si="18"/>
        <v>3.125E-2</v>
      </c>
      <c r="AM131" s="325">
        <v>0</v>
      </c>
      <c r="AN131" s="411">
        <f t="shared" si="19"/>
        <v>3.125E-2</v>
      </c>
      <c r="AO131" s="359" t="e">
        <f>+([1]!Tabla1[[#This Row],[ponderacion_accion]]/3)*AQ131</f>
        <v>#REF!</v>
      </c>
      <c r="AP131" s="359" t="e">
        <f>Tabla1[[#This Row],[ponderacion_meta]]*AO131</f>
        <v>#REF!</v>
      </c>
      <c r="AQ131" s="351"/>
      <c r="AR131" s="380">
        <v>0</v>
      </c>
      <c r="AS131" s="9"/>
      <c r="AT131" s="521">
        <v>0</v>
      </c>
    </row>
    <row r="132" spans="1:46" ht="15" customHeight="1" x14ac:dyDescent="0.35">
      <c r="A132" s="236" t="s">
        <v>1150</v>
      </c>
      <c r="B132" s="237" t="s">
        <v>148</v>
      </c>
      <c r="C132" s="237" t="s">
        <v>1719</v>
      </c>
      <c r="D132" s="237" t="s">
        <v>1156</v>
      </c>
      <c r="E132" s="176" t="s">
        <v>247</v>
      </c>
      <c r="F132" s="155" t="s">
        <v>2595</v>
      </c>
      <c r="G132" s="155" t="s">
        <v>248</v>
      </c>
      <c r="H132" s="155" t="s">
        <v>1733</v>
      </c>
      <c r="I132" s="7" t="s">
        <v>314</v>
      </c>
      <c r="J132" s="265">
        <v>6.4939999999999998E-3</v>
      </c>
      <c r="K132" s="9" t="s">
        <v>315</v>
      </c>
      <c r="L132" s="120">
        <v>63672000</v>
      </c>
      <c r="M132" s="120">
        <v>0</v>
      </c>
      <c r="N132" s="122"/>
      <c r="O132" s="122" t="s">
        <v>1753</v>
      </c>
      <c r="P132" s="191">
        <v>0</v>
      </c>
      <c r="Q132" s="205">
        <v>1</v>
      </c>
      <c r="R132" s="205">
        <v>1</v>
      </c>
      <c r="S132" s="205">
        <v>1</v>
      </c>
      <c r="T132" s="205" t="s">
        <v>1301</v>
      </c>
      <c r="U132" s="9" t="s">
        <v>320</v>
      </c>
      <c r="V132" s="11">
        <v>0.5</v>
      </c>
      <c r="W132" s="9" t="s">
        <v>321</v>
      </c>
      <c r="X132" s="9"/>
      <c r="Y132" s="7" t="s">
        <v>2587</v>
      </c>
      <c r="Z132" s="9" t="s">
        <v>2535</v>
      </c>
      <c r="AA132" s="239">
        <f t="shared" si="23"/>
        <v>3.2469999999999999E-3</v>
      </c>
      <c r="AB132" s="252">
        <v>0</v>
      </c>
      <c r="AC132" s="262">
        <f>+(Tabla1[[#This Row],[Avance PDI]]*100%)/Tabla1[[#This Row],[ponderacion_meta]]</f>
        <v>0</v>
      </c>
      <c r="AD132" s="257">
        <v>0</v>
      </c>
      <c r="AE132" s="257">
        <v>2.1646666666666667E-3</v>
      </c>
      <c r="AF132" s="257">
        <v>2.1646666666666667E-3</v>
      </c>
      <c r="AG132" s="257">
        <v>2.1646666666666667E-3</v>
      </c>
      <c r="AH132" s="393">
        <f t="shared" si="21"/>
        <v>1.9088790000000005E-2</v>
      </c>
      <c r="AI132" s="393">
        <f t="shared" si="22"/>
        <v>4.2766666666666675E-2</v>
      </c>
      <c r="AJ132" s="318">
        <f t="shared" si="20"/>
        <v>4.2766666666666675E-2</v>
      </c>
      <c r="AK132" s="387">
        <v>2.9070000000000003E-3</v>
      </c>
      <c r="AL132" s="321">
        <f t="shared" si="18"/>
        <v>3.125E-2</v>
      </c>
      <c r="AM132" s="325">
        <v>0</v>
      </c>
      <c r="AN132" s="411">
        <f t="shared" si="19"/>
        <v>3.125E-2</v>
      </c>
      <c r="AO132" s="359" t="e">
        <f>+([1]!Tabla1[[#This Row],[ponderacion_accion]]/3)*AQ132</f>
        <v>#REF!</v>
      </c>
      <c r="AP132" s="359" t="e">
        <f>Tabla1[[#This Row],[ponderacion_meta]]*AO132</f>
        <v>#REF!</v>
      </c>
      <c r="AQ132" s="351"/>
      <c r="AR132" s="380">
        <v>0</v>
      </c>
      <c r="AS132" s="9"/>
      <c r="AT132" s="521">
        <v>0</v>
      </c>
    </row>
    <row r="133" spans="1:46" ht="15" customHeight="1" x14ac:dyDescent="0.35">
      <c r="A133" s="236" t="s">
        <v>1150</v>
      </c>
      <c r="B133" s="237" t="s">
        <v>148</v>
      </c>
      <c r="C133" s="237" t="s">
        <v>1719</v>
      </c>
      <c r="D133" s="237" t="s">
        <v>1156</v>
      </c>
      <c r="E133" s="177" t="s">
        <v>247</v>
      </c>
      <c r="F133" s="155" t="s">
        <v>2595</v>
      </c>
      <c r="G133" s="158" t="s">
        <v>248</v>
      </c>
      <c r="H133" s="158" t="s">
        <v>1733</v>
      </c>
      <c r="I133" s="21" t="s">
        <v>314</v>
      </c>
      <c r="J133" s="271">
        <v>6.4939999999999998E-3</v>
      </c>
      <c r="K133" s="20" t="s">
        <v>315</v>
      </c>
      <c r="L133" s="125">
        <v>63672000</v>
      </c>
      <c r="M133" s="125">
        <v>0</v>
      </c>
      <c r="N133" s="433"/>
      <c r="O133" s="433" t="s">
        <v>1753</v>
      </c>
      <c r="P133" s="208">
        <v>0</v>
      </c>
      <c r="Q133" s="207">
        <v>1</v>
      </c>
      <c r="R133" s="207">
        <v>1</v>
      </c>
      <c r="S133" s="207">
        <v>1</v>
      </c>
      <c r="T133" s="207" t="s">
        <v>1302</v>
      </c>
      <c r="U133" s="20" t="s">
        <v>322</v>
      </c>
      <c r="V133" s="22">
        <v>0.1</v>
      </c>
      <c r="W133" s="9" t="s">
        <v>323</v>
      </c>
      <c r="X133" s="9"/>
      <c r="Y133" s="7" t="s">
        <v>2587</v>
      </c>
      <c r="Z133" s="9" t="s">
        <v>2535</v>
      </c>
      <c r="AA133" s="239">
        <f t="shared" si="23"/>
        <v>6.4940000000000006E-4</v>
      </c>
      <c r="AB133" s="252">
        <v>0</v>
      </c>
      <c r="AC133" s="262">
        <f>+(Tabla1[[#This Row],[Avance PDI]]*100%)/Tabla1[[#This Row],[ponderacion_meta]]</f>
        <v>0</v>
      </c>
      <c r="AD133" s="257">
        <v>0</v>
      </c>
      <c r="AE133" s="257">
        <v>2.1646666666666667E-3</v>
      </c>
      <c r="AF133" s="257">
        <v>2.1646666666666667E-3</v>
      </c>
      <c r="AG133" s="257">
        <v>2.1646666666666667E-3</v>
      </c>
      <c r="AH133" s="393">
        <f t="shared" si="21"/>
        <v>1.9088790000000005E-2</v>
      </c>
      <c r="AI133" s="393">
        <f t="shared" si="22"/>
        <v>4.2766666666666675E-2</v>
      </c>
      <c r="AJ133" s="318">
        <f t="shared" si="20"/>
        <v>4.2766666666666675E-2</v>
      </c>
      <c r="AK133" s="387">
        <v>2.9070000000000003E-3</v>
      </c>
      <c r="AL133" s="321">
        <f t="shared" si="18"/>
        <v>3.125E-2</v>
      </c>
      <c r="AM133" s="325">
        <v>0</v>
      </c>
      <c r="AN133" s="411">
        <f t="shared" si="19"/>
        <v>3.125E-2</v>
      </c>
      <c r="AO133" s="360" t="e">
        <f>+([1]!Tabla1[[#This Row],[ponderacion_accion]]/3)*AQ133</f>
        <v>#REF!</v>
      </c>
      <c r="AP133" s="360" t="e">
        <f>Tabla1[[#This Row],[ponderacion_meta]]*AO133</f>
        <v>#REF!</v>
      </c>
      <c r="AQ133" s="356"/>
      <c r="AR133" s="380">
        <v>0</v>
      </c>
      <c r="AS133" s="9"/>
      <c r="AT133" s="521">
        <v>0</v>
      </c>
    </row>
    <row r="134" spans="1:46" ht="15" customHeight="1" x14ac:dyDescent="0.35">
      <c r="A134" s="236" t="s">
        <v>1150</v>
      </c>
      <c r="B134" s="237" t="s">
        <v>148</v>
      </c>
      <c r="C134" s="237" t="s">
        <v>1719</v>
      </c>
      <c r="D134" s="237" t="s">
        <v>1157</v>
      </c>
      <c r="E134" s="172" t="s">
        <v>324</v>
      </c>
      <c r="F134" s="156" t="s">
        <v>2596</v>
      </c>
      <c r="G134" s="159" t="s">
        <v>325</v>
      </c>
      <c r="H134" s="417" t="s">
        <v>1732</v>
      </c>
      <c r="I134" s="23" t="s">
        <v>326</v>
      </c>
      <c r="J134" s="270">
        <v>6.4939999999999998E-3</v>
      </c>
      <c r="K134" s="24" t="s">
        <v>327</v>
      </c>
      <c r="L134" s="126">
        <v>402925600</v>
      </c>
      <c r="M134" s="126">
        <v>0</v>
      </c>
      <c r="N134" s="126"/>
      <c r="O134" s="126" t="s">
        <v>2622</v>
      </c>
      <c r="P134" s="209">
        <v>1</v>
      </c>
      <c r="Q134" s="210">
        <v>2</v>
      </c>
      <c r="R134" s="210">
        <v>2</v>
      </c>
      <c r="S134" s="210">
        <v>2</v>
      </c>
      <c r="T134" s="210" t="s">
        <v>1303</v>
      </c>
      <c r="U134" s="24" t="s">
        <v>328</v>
      </c>
      <c r="V134" s="25">
        <v>0.1</v>
      </c>
      <c r="W134" s="24" t="s">
        <v>329</v>
      </c>
      <c r="X134" s="24"/>
      <c r="Y134" s="23" t="s">
        <v>2587</v>
      </c>
      <c r="Z134" s="24" t="s">
        <v>2436</v>
      </c>
      <c r="AA134" s="238">
        <f t="shared" si="23"/>
        <v>6.4940000000000006E-4</v>
      </c>
      <c r="AB134" s="252">
        <v>0</v>
      </c>
      <c r="AC134" s="278">
        <f>+(Tabla1[[#This Row],[Avance PDI]]*100%)/Tabla1[[#This Row],[ponderacion_meta]]</f>
        <v>0</v>
      </c>
      <c r="AD134" s="279">
        <f>+Tabla1[[#This Row],[ponderacion_meta]]/7*1</f>
        <v>9.2771428571428573E-4</v>
      </c>
      <c r="AE134" s="279">
        <f>+Tabla1[[#This Row],[ponderacion_meta]]/7*2</f>
        <v>1.8554285714285715E-3</v>
      </c>
      <c r="AF134" s="279">
        <f>+Tabla1[[#This Row],[ponderacion_meta]]/7*2</f>
        <v>1.8554285714285715E-3</v>
      </c>
      <c r="AG134" s="279">
        <f>+Tabla1[[#This Row],[ponderacion_meta]]/7*2</f>
        <v>1.8554285714285715E-3</v>
      </c>
      <c r="AH134" s="393">
        <f t="shared" si="21"/>
        <v>1.9088790000000005E-2</v>
      </c>
      <c r="AI134" s="393">
        <f t="shared" si="22"/>
        <v>4.2766666666666675E-2</v>
      </c>
      <c r="AJ134" s="318">
        <f t="shared" si="20"/>
        <v>4.2766666666666675E-2</v>
      </c>
      <c r="AK134" s="384">
        <f>+SUM(AB134:AB181)</f>
        <v>4.3922900000000001E-3</v>
      </c>
      <c r="AL134" s="322">
        <f>+SUM(AC134:AC181)/14</f>
        <v>3.2499999999999994E-2</v>
      </c>
      <c r="AM134" s="326">
        <f>+SUM(AB134:AB136)</f>
        <v>4.8704999999999994E-4</v>
      </c>
      <c r="AN134" s="410">
        <f>+SUM(AC134:AC136)/1</f>
        <v>7.4999999999999997E-2</v>
      </c>
      <c r="AO134" s="343" t="e">
        <f>+([1]!Tabla1[[#This Row],[ponderacion_accion]]/7)*AQ134</f>
        <v>#REF!</v>
      </c>
      <c r="AP134" s="343" t="e">
        <f>Tabla1[[#This Row],[ponderacion_meta]]*AO134</f>
        <v>#REF!</v>
      </c>
      <c r="AQ134" s="353"/>
      <c r="AR134" s="377">
        <v>0</v>
      </c>
      <c r="AS134" s="515" t="e">
        <f>+((SUM(AO134:AO136)*100)/42.85)</f>
        <v>#REF!</v>
      </c>
      <c r="AT134" s="521">
        <v>0</v>
      </c>
    </row>
    <row r="135" spans="1:46" ht="15" customHeight="1" x14ac:dyDescent="0.35">
      <c r="A135" s="236" t="s">
        <v>1150</v>
      </c>
      <c r="B135" s="237" t="s">
        <v>148</v>
      </c>
      <c r="C135" s="237" t="s">
        <v>1719</v>
      </c>
      <c r="D135" s="237" t="s">
        <v>1157</v>
      </c>
      <c r="E135" s="172" t="s">
        <v>324</v>
      </c>
      <c r="F135" s="156" t="s">
        <v>2596</v>
      </c>
      <c r="G135" s="159" t="s">
        <v>325</v>
      </c>
      <c r="H135" s="159" t="s">
        <v>1732</v>
      </c>
      <c r="I135" s="23" t="s">
        <v>326</v>
      </c>
      <c r="J135" s="264">
        <v>6.4939999999999998E-3</v>
      </c>
      <c r="K135" s="24" t="s">
        <v>327</v>
      </c>
      <c r="L135" s="126">
        <v>402925600</v>
      </c>
      <c r="M135" s="126">
        <v>0</v>
      </c>
      <c r="N135" s="434"/>
      <c r="O135" s="434" t="s">
        <v>2622</v>
      </c>
      <c r="P135" s="192">
        <v>1</v>
      </c>
      <c r="Q135" s="193">
        <v>2</v>
      </c>
      <c r="R135" s="193">
        <v>2</v>
      </c>
      <c r="S135" s="193">
        <v>2</v>
      </c>
      <c r="T135" s="193" t="s">
        <v>1304</v>
      </c>
      <c r="U135" s="24" t="s">
        <v>330</v>
      </c>
      <c r="V135" s="25">
        <v>0.3</v>
      </c>
      <c r="W135" s="24" t="s">
        <v>331</v>
      </c>
      <c r="X135" s="24"/>
      <c r="Y135" s="23" t="s">
        <v>2587</v>
      </c>
      <c r="Z135" s="24" t="s">
        <v>2436</v>
      </c>
      <c r="AA135" s="238">
        <f t="shared" si="23"/>
        <v>1.9481999999999998E-3</v>
      </c>
      <c r="AB135" s="283">
        <f>+(Tabla1[[#This Row],[ponderacion_meta]]*Tabla1[[#This Row],[ponderacion_accion]])/4*1</f>
        <v>4.8704999999999994E-4</v>
      </c>
      <c r="AC135" s="278">
        <f>+(Tabla1[[#This Row],[Avance PDI]]*100%)/Tabla1[[#This Row],[ponderacion_meta]]</f>
        <v>7.4999999999999997E-2</v>
      </c>
      <c r="AD135" s="279">
        <v>9.2771428571428573E-4</v>
      </c>
      <c r="AE135" s="279">
        <v>1.8554285714285715E-3</v>
      </c>
      <c r="AF135" s="279">
        <v>1.8554285714285715E-3</v>
      </c>
      <c r="AG135" s="279">
        <v>1.8554285714285715E-3</v>
      </c>
      <c r="AH135" s="393">
        <f t="shared" si="21"/>
        <v>1.9088790000000005E-2</v>
      </c>
      <c r="AI135" s="393">
        <f t="shared" si="22"/>
        <v>4.2766666666666675E-2</v>
      </c>
      <c r="AJ135" s="318">
        <f t="shared" si="20"/>
        <v>4.2766666666666675E-2</v>
      </c>
      <c r="AK135" s="385">
        <v>4.3922900000000001E-3</v>
      </c>
      <c r="AL135" s="402">
        <f>$AL$134</f>
        <v>3.2499999999999994E-2</v>
      </c>
      <c r="AM135" s="327">
        <v>0</v>
      </c>
      <c r="AN135" s="410">
        <f>$AN$134</f>
        <v>7.4999999999999997E-2</v>
      </c>
      <c r="AO135" s="344" t="e">
        <f>+([1]!Tabla1[[#This Row],[ponderacion_accion]]/7)*AQ135</f>
        <v>#REF!</v>
      </c>
      <c r="AP135" s="344" t="e">
        <f>Tabla1[[#This Row],[ponderacion_meta]]*AO135</f>
        <v>#REF!</v>
      </c>
      <c r="AQ135" s="354">
        <v>1.75</v>
      </c>
      <c r="AR135" s="378">
        <v>0</v>
      </c>
      <c r="AS135" s="9"/>
      <c r="AT135" s="521">
        <v>0</v>
      </c>
    </row>
    <row r="136" spans="1:46" ht="15" customHeight="1" x14ac:dyDescent="0.35">
      <c r="A136" s="236" t="s">
        <v>1150</v>
      </c>
      <c r="B136" s="237" t="s">
        <v>148</v>
      </c>
      <c r="C136" s="237" t="s">
        <v>1719</v>
      </c>
      <c r="D136" s="237" t="s">
        <v>1157</v>
      </c>
      <c r="E136" s="172" t="s">
        <v>324</v>
      </c>
      <c r="F136" s="156" t="s">
        <v>2596</v>
      </c>
      <c r="G136" s="159" t="s">
        <v>325</v>
      </c>
      <c r="H136" s="159" t="s">
        <v>1732</v>
      </c>
      <c r="I136" s="23" t="s">
        <v>326</v>
      </c>
      <c r="J136" s="264">
        <v>6.4939999999999998E-3</v>
      </c>
      <c r="K136" s="24" t="s">
        <v>327</v>
      </c>
      <c r="L136" s="126">
        <v>402925600</v>
      </c>
      <c r="M136" s="126">
        <v>0</v>
      </c>
      <c r="N136" s="434"/>
      <c r="O136" s="434" t="s">
        <v>2622</v>
      </c>
      <c r="P136" s="192">
        <v>1</v>
      </c>
      <c r="Q136" s="193">
        <v>2</v>
      </c>
      <c r="R136" s="193">
        <v>2</v>
      </c>
      <c r="S136" s="193">
        <v>2</v>
      </c>
      <c r="T136" s="193" t="s">
        <v>1305</v>
      </c>
      <c r="U136" s="24" t="s">
        <v>332</v>
      </c>
      <c r="V136" s="25">
        <v>0.6</v>
      </c>
      <c r="W136" s="24" t="s">
        <v>333</v>
      </c>
      <c r="X136" s="24"/>
      <c r="Y136" s="23" t="s">
        <v>2587</v>
      </c>
      <c r="Z136" s="24" t="s">
        <v>2436</v>
      </c>
      <c r="AA136" s="238">
        <f t="shared" si="23"/>
        <v>3.8963999999999995E-3</v>
      </c>
      <c r="AB136" s="252">
        <v>0</v>
      </c>
      <c r="AC136" s="278">
        <f>+(Tabla1[[#This Row],[Avance PDI]]*100%)/Tabla1[[#This Row],[ponderacion_meta]]</f>
        <v>0</v>
      </c>
      <c r="AD136" s="279">
        <v>9.2771428571428573E-4</v>
      </c>
      <c r="AE136" s="279">
        <v>1.8554285714285715E-3</v>
      </c>
      <c r="AF136" s="279">
        <v>1.8554285714285715E-3</v>
      </c>
      <c r="AG136" s="279">
        <v>1.8554285714285715E-3</v>
      </c>
      <c r="AH136" s="393">
        <f t="shared" si="21"/>
        <v>1.9088790000000005E-2</v>
      </c>
      <c r="AI136" s="393">
        <f t="shared" si="22"/>
        <v>4.2766666666666675E-2</v>
      </c>
      <c r="AJ136" s="318">
        <f t="shared" si="20"/>
        <v>4.2766666666666675E-2</v>
      </c>
      <c r="AK136" s="385">
        <v>4.3922900000000001E-3</v>
      </c>
      <c r="AL136" s="402">
        <f t="shared" ref="AL136:AL181" si="24">$AL$134</f>
        <v>3.2499999999999994E-2</v>
      </c>
      <c r="AM136" s="327">
        <v>0</v>
      </c>
      <c r="AN136" s="410">
        <f>$AN$134</f>
        <v>7.4999999999999997E-2</v>
      </c>
      <c r="AO136" s="345" t="e">
        <f>+([1]!Tabla1[[#This Row],[ponderacion_accion]]/7)*AQ136</f>
        <v>#REF!</v>
      </c>
      <c r="AP136" s="345" t="e">
        <f>Tabla1[[#This Row],[ponderacion_meta]]*AO136</f>
        <v>#REF!</v>
      </c>
      <c r="AQ136" s="357"/>
      <c r="AR136" s="379">
        <v>0</v>
      </c>
      <c r="AS136" s="9"/>
      <c r="AT136" s="521">
        <v>0</v>
      </c>
    </row>
    <row r="137" spans="1:46" ht="15" customHeight="1" x14ac:dyDescent="0.35">
      <c r="A137" s="236" t="s">
        <v>1150</v>
      </c>
      <c r="B137" s="237" t="s">
        <v>148</v>
      </c>
      <c r="C137" s="237" t="s">
        <v>1719</v>
      </c>
      <c r="D137" s="237" t="s">
        <v>1157</v>
      </c>
      <c r="E137" s="172" t="s">
        <v>324</v>
      </c>
      <c r="F137" s="176" t="s">
        <v>2597</v>
      </c>
      <c r="G137" s="160" t="s">
        <v>334</v>
      </c>
      <c r="H137" s="418" t="s">
        <v>1731</v>
      </c>
      <c r="I137" s="14" t="s">
        <v>335</v>
      </c>
      <c r="J137" s="265">
        <v>6.4939999999999998E-3</v>
      </c>
      <c r="K137" s="26" t="s">
        <v>336</v>
      </c>
      <c r="L137" s="127">
        <v>378753333.32999998</v>
      </c>
      <c r="M137" s="127">
        <v>0</v>
      </c>
      <c r="N137" s="435"/>
      <c r="O137" s="435" t="s">
        <v>2622</v>
      </c>
      <c r="P137" s="194">
        <v>7</v>
      </c>
      <c r="Q137" s="195">
        <v>7</v>
      </c>
      <c r="R137" s="195">
        <v>7</v>
      </c>
      <c r="S137" s="195">
        <v>7</v>
      </c>
      <c r="T137" s="195" t="s">
        <v>1306</v>
      </c>
      <c r="U137" s="284" t="s">
        <v>337</v>
      </c>
      <c r="V137" s="285">
        <v>0.1</v>
      </c>
      <c r="W137" s="284" t="s">
        <v>338</v>
      </c>
      <c r="X137" s="284"/>
      <c r="Y137" s="518">
        <v>0</v>
      </c>
      <c r="Z137" s="284" t="s">
        <v>2548</v>
      </c>
      <c r="AA137" s="286">
        <f>+J137*V137</f>
        <v>6.4940000000000006E-4</v>
      </c>
      <c r="AB137" s="283">
        <f>+(Tabla1[[#This Row],[ponderacion_meta]]*Tabla1[[#This Row],[ponderacion_accion]])*25%*0</f>
        <v>0</v>
      </c>
      <c r="AC137" s="262">
        <f>+(Tabla1[[#This Row],[Avance PDI]]*100%)/Tabla1[[#This Row],[ponderacion_meta]]</f>
        <v>0</v>
      </c>
      <c r="AD137" s="257">
        <f>+Tabla1[[#This Row],[ponderacion_meta]]/28*7</f>
        <v>1.6234999999999999E-3</v>
      </c>
      <c r="AE137" s="257">
        <f>+Tabla1[[#This Row],[ponderacion_meta]]/28*7</f>
        <v>1.6234999999999999E-3</v>
      </c>
      <c r="AF137" s="257">
        <f>+Tabla1[[#This Row],[ponderacion_meta]]/28*7</f>
        <v>1.6234999999999999E-3</v>
      </c>
      <c r="AG137" s="257">
        <f>+Tabla1[[#This Row],[ponderacion_meta]]/28*7</f>
        <v>1.6234999999999999E-3</v>
      </c>
      <c r="AH137" s="393">
        <f t="shared" si="21"/>
        <v>1.9088790000000005E-2</v>
      </c>
      <c r="AI137" s="393">
        <f t="shared" si="22"/>
        <v>4.2766666666666675E-2</v>
      </c>
      <c r="AJ137" s="318">
        <f t="shared" si="20"/>
        <v>4.2766666666666675E-2</v>
      </c>
      <c r="AK137" s="385">
        <v>4.3922900000000001E-3</v>
      </c>
      <c r="AL137" s="402">
        <f t="shared" si="24"/>
        <v>3.2499999999999994E-2</v>
      </c>
      <c r="AM137" s="324">
        <f>+SUM(AB137:AB159)</f>
        <v>3.2558400000000003E-3</v>
      </c>
      <c r="AN137" s="411">
        <f>+SUM(AC137:AC159)/6</f>
        <v>4.6666666666666662E-2</v>
      </c>
      <c r="AO137" s="358" t="e">
        <f>+([1]!Tabla1[[#This Row],[ponderacion_accion]]/28)*AQ137</f>
        <v>#REF!</v>
      </c>
      <c r="AP137" s="358" t="e">
        <f>Tabla1[[#This Row],[ponderacion_meta]]*AO137</f>
        <v>#REF!</v>
      </c>
      <c r="AQ137" s="361"/>
      <c r="AR137" s="380">
        <v>10213787.5</v>
      </c>
      <c r="AS137" s="7" t="e">
        <f>+((SUM(AO137:AO140)*100)/50)</f>
        <v>#REF!</v>
      </c>
      <c r="AT137" s="521">
        <v>0</v>
      </c>
    </row>
    <row r="138" spans="1:46" ht="15" customHeight="1" x14ac:dyDescent="0.35">
      <c r="A138" s="236" t="s">
        <v>1150</v>
      </c>
      <c r="B138" s="237" t="s">
        <v>148</v>
      </c>
      <c r="C138" s="237" t="s">
        <v>1719</v>
      </c>
      <c r="D138" s="237" t="s">
        <v>1157</v>
      </c>
      <c r="E138" s="172" t="s">
        <v>324</v>
      </c>
      <c r="F138" s="176" t="s">
        <v>2597</v>
      </c>
      <c r="G138" s="160" t="s">
        <v>334</v>
      </c>
      <c r="H138" s="160" t="s">
        <v>1731</v>
      </c>
      <c r="I138" s="14" t="s">
        <v>335</v>
      </c>
      <c r="J138" s="265">
        <v>6.4939999999999998E-3</v>
      </c>
      <c r="K138" s="26" t="s">
        <v>336</v>
      </c>
      <c r="L138" s="127">
        <v>378753333.32999998</v>
      </c>
      <c r="M138" s="127">
        <v>0</v>
      </c>
      <c r="N138" s="435"/>
      <c r="O138" s="435" t="s">
        <v>2622</v>
      </c>
      <c r="P138" s="194">
        <v>7</v>
      </c>
      <c r="Q138" s="195">
        <v>7</v>
      </c>
      <c r="R138" s="195">
        <v>7</v>
      </c>
      <c r="S138" s="195">
        <v>7</v>
      </c>
      <c r="T138" s="195" t="s">
        <v>1307</v>
      </c>
      <c r="U138" s="26" t="s">
        <v>339</v>
      </c>
      <c r="V138" s="15">
        <v>0.2</v>
      </c>
      <c r="W138" s="26" t="s">
        <v>340</v>
      </c>
      <c r="X138" s="26"/>
      <c r="Y138" s="14" t="s">
        <v>2587</v>
      </c>
      <c r="Z138" s="26" t="s">
        <v>2548</v>
      </c>
      <c r="AA138" s="239">
        <f t="shared" si="23"/>
        <v>1.2988000000000001E-3</v>
      </c>
      <c r="AB138" s="252">
        <v>0</v>
      </c>
      <c r="AC138" s="262">
        <f>+(Tabla1[[#This Row],[Avance PDI]]*100%)/Tabla1[[#This Row],[ponderacion_meta]]</f>
        <v>0</v>
      </c>
      <c r="AD138" s="257">
        <v>1.6234999999999999E-3</v>
      </c>
      <c r="AE138" s="257">
        <v>1.6234999999999999E-3</v>
      </c>
      <c r="AF138" s="257">
        <v>1.6234999999999999E-3</v>
      </c>
      <c r="AG138" s="257">
        <v>1.6234999999999999E-3</v>
      </c>
      <c r="AH138" s="393">
        <f t="shared" si="21"/>
        <v>1.9088790000000005E-2</v>
      </c>
      <c r="AI138" s="393">
        <f t="shared" si="22"/>
        <v>4.2766666666666675E-2</v>
      </c>
      <c r="AJ138" s="318">
        <f t="shared" si="20"/>
        <v>4.2766666666666675E-2</v>
      </c>
      <c r="AK138" s="385">
        <v>4.3922900000000001E-3</v>
      </c>
      <c r="AL138" s="402">
        <f t="shared" si="24"/>
        <v>3.2499999999999994E-2</v>
      </c>
      <c r="AM138" s="325">
        <v>0</v>
      </c>
      <c r="AN138" s="411">
        <f>$AN$137</f>
        <v>4.6666666666666662E-2</v>
      </c>
      <c r="AO138" s="359" t="e">
        <f>+([1]!Tabla1[[#This Row],[ponderacion_accion]]/28)*AQ138</f>
        <v>#REF!</v>
      </c>
      <c r="AP138" s="359" t="e">
        <f>Tabla1[[#This Row],[ponderacion_meta]]*AO138</f>
        <v>#REF!</v>
      </c>
      <c r="AQ138" s="351"/>
      <c r="AR138" s="380">
        <v>0</v>
      </c>
      <c r="AS138" s="9"/>
      <c r="AT138" s="521">
        <v>0</v>
      </c>
    </row>
    <row r="139" spans="1:46" ht="15" customHeight="1" x14ac:dyDescent="0.35">
      <c r="A139" s="236" t="s">
        <v>1150</v>
      </c>
      <c r="B139" s="237" t="s">
        <v>148</v>
      </c>
      <c r="C139" s="237" t="s">
        <v>1719</v>
      </c>
      <c r="D139" s="237" t="s">
        <v>1157</v>
      </c>
      <c r="E139" s="172" t="s">
        <v>324</v>
      </c>
      <c r="F139" s="176" t="s">
        <v>2597</v>
      </c>
      <c r="G139" s="160" t="s">
        <v>334</v>
      </c>
      <c r="H139" s="160" t="s">
        <v>1731</v>
      </c>
      <c r="I139" s="14" t="s">
        <v>335</v>
      </c>
      <c r="J139" s="265">
        <v>6.4939999999999998E-3</v>
      </c>
      <c r="K139" s="26" t="s">
        <v>336</v>
      </c>
      <c r="L139" s="127">
        <v>378753333.32999998</v>
      </c>
      <c r="M139" s="127">
        <v>0</v>
      </c>
      <c r="N139" s="435"/>
      <c r="O139" s="435" t="s">
        <v>2622</v>
      </c>
      <c r="P139" s="194">
        <v>7</v>
      </c>
      <c r="Q139" s="195">
        <v>7</v>
      </c>
      <c r="R139" s="195">
        <v>7</v>
      </c>
      <c r="S139" s="195">
        <v>7</v>
      </c>
      <c r="T139" s="195" t="s">
        <v>1308</v>
      </c>
      <c r="U139" s="26" t="s">
        <v>341</v>
      </c>
      <c r="V139" s="15">
        <v>0.2</v>
      </c>
      <c r="W139" s="26" t="s">
        <v>342</v>
      </c>
      <c r="X139" s="26"/>
      <c r="Y139" s="14" t="s">
        <v>2587</v>
      </c>
      <c r="Z139" s="26" t="s">
        <v>2548</v>
      </c>
      <c r="AA139" s="239">
        <f t="shared" si="23"/>
        <v>1.2988000000000001E-3</v>
      </c>
      <c r="AB139" s="252">
        <v>0</v>
      </c>
      <c r="AC139" s="262">
        <f>+(Tabla1[[#This Row],[Avance PDI]]*100%)/Tabla1[[#This Row],[ponderacion_meta]]</f>
        <v>0</v>
      </c>
      <c r="AD139" s="257">
        <v>1.6234999999999999E-3</v>
      </c>
      <c r="AE139" s="257">
        <v>1.6234999999999999E-3</v>
      </c>
      <c r="AF139" s="257">
        <v>1.6234999999999999E-3</v>
      </c>
      <c r="AG139" s="257">
        <v>1.6234999999999999E-3</v>
      </c>
      <c r="AH139" s="393">
        <f t="shared" si="21"/>
        <v>1.9088790000000005E-2</v>
      </c>
      <c r="AI139" s="393">
        <f t="shared" si="22"/>
        <v>4.2766666666666675E-2</v>
      </c>
      <c r="AJ139" s="318">
        <f t="shared" si="20"/>
        <v>4.2766666666666675E-2</v>
      </c>
      <c r="AK139" s="385">
        <v>4.3922900000000001E-3</v>
      </c>
      <c r="AL139" s="402">
        <f t="shared" si="24"/>
        <v>3.2499999999999994E-2</v>
      </c>
      <c r="AM139" s="325">
        <v>0</v>
      </c>
      <c r="AN139" s="411">
        <f t="shared" ref="AN139:AN159" si="25">$AN$137</f>
        <v>4.6666666666666662E-2</v>
      </c>
      <c r="AO139" s="359" t="e">
        <f>+([1]!Tabla1[[#This Row],[ponderacion_accion]]/28)*AQ139</f>
        <v>#REF!</v>
      </c>
      <c r="AP139" s="359" t="e">
        <f>Tabla1[[#This Row],[ponderacion_meta]]*AO139</f>
        <v>#REF!</v>
      </c>
      <c r="AQ139" s="351"/>
      <c r="AR139" s="380">
        <v>0</v>
      </c>
      <c r="AS139" s="9"/>
      <c r="AT139" s="521">
        <v>0</v>
      </c>
    </row>
    <row r="140" spans="1:46" ht="15.75" customHeight="1" x14ac:dyDescent="0.35">
      <c r="A140" s="236" t="s">
        <v>1150</v>
      </c>
      <c r="B140" s="237" t="s">
        <v>148</v>
      </c>
      <c r="C140" s="237" t="s">
        <v>1719</v>
      </c>
      <c r="D140" s="237" t="s">
        <v>1157</v>
      </c>
      <c r="E140" s="172" t="s">
        <v>324</v>
      </c>
      <c r="F140" s="176" t="s">
        <v>2597</v>
      </c>
      <c r="G140" s="160" t="s">
        <v>334</v>
      </c>
      <c r="H140" s="160" t="s">
        <v>1731</v>
      </c>
      <c r="I140" s="14" t="s">
        <v>335</v>
      </c>
      <c r="J140" s="265">
        <v>6.4939999999999998E-3</v>
      </c>
      <c r="K140" s="26" t="s">
        <v>336</v>
      </c>
      <c r="L140" s="127">
        <v>378753333.32999998</v>
      </c>
      <c r="M140" s="127">
        <v>0</v>
      </c>
      <c r="N140" s="435"/>
      <c r="O140" s="435" t="s">
        <v>2622</v>
      </c>
      <c r="P140" s="194">
        <v>7</v>
      </c>
      <c r="Q140" s="195">
        <v>7</v>
      </c>
      <c r="R140" s="195">
        <v>7</v>
      </c>
      <c r="S140" s="195">
        <v>7</v>
      </c>
      <c r="T140" s="195" t="s">
        <v>1309</v>
      </c>
      <c r="U140" s="26" t="s">
        <v>343</v>
      </c>
      <c r="V140" s="15">
        <v>0.5</v>
      </c>
      <c r="W140" s="26" t="s">
        <v>344</v>
      </c>
      <c r="X140" s="26"/>
      <c r="Y140" s="14" t="s">
        <v>2587</v>
      </c>
      <c r="Z140" s="26" t="s">
        <v>2548</v>
      </c>
      <c r="AA140" s="239">
        <f t="shared" si="23"/>
        <v>3.2469999999999999E-3</v>
      </c>
      <c r="AB140" s="252">
        <v>0</v>
      </c>
      <c r="AC140" s="262">
        <f>+(Tabla1[[#This Row],[Avance PDI]]*100%)/Tabla1[[#This Row],[ponderacion_meta]]</f>
        <v>0</v>
      </c>
      <c r="AD140" s="257">
        <v>1.6234999999999999E-3</v>
      </c>
      <c r="AE140" s="257">
        <v>1.6234999999999999E-3</v>
      </c>
      <c r="AF140" s="257">
        <v>1.6234999999999999E-3</v>
      </c>
      <c r="AG140" s="257">
        <v>1.6234999999999999E-3</v>
      </c>
      <c r="AH140" s="393">
        <f t="shared" si="21"/>
        <v>1.9088790000000005E-2</v>
      </c>
      <c r="AI140" s="393">
        <f t="shared" si="22"/>
        <v>4.2766666666666675E-2</v>
      </c>
      <c r="AJ140" s="318">
        <f t="shared" si="20"/>
        <v>4.2766666666666675E-2</v>
      </c>
      <c r="AK140" s="385">
        <v>4.3922900000000001E-3</v>
      </c>
      <c r="AL140" s="402">
        <f t="shared" si="24"/>
        <v>3.2499999999999994E-2</v>
      </c>
      <c r="AM140" s="325">
        <v>0</v>
      </c>
      <c r="AN140" s="411">
        <f t="shared" si="25"/>
        <v>4.6666666666666662E-2</v>
      </c>
      <c r="AO140" s="360" t="e">
        <f>+([1]!Tabla1[[#This Row],[ponderacion_accion]]/28)*AQ140</f>
        <v>#REF!</v>
      </c>
      <c r="AP140" s="360" t="e">
        <f>Tabla1[[#This Row],[ponderacion_meta]]*AO140</f>
        <v>#REF!</v>
      </c>
      <c r="AQ140" s="356"/>
      <c r="AR140" s="380">
        <v>0</v>
      </c>
      <c r="AS140" s="9"/>
      <c r="AT140" s="521">
        <v>0</v>
      </c>
    </row>
    <row r="141" spans="1:46" ht="15" customHeight="1" x14ac:dyDescent="0.35">
      <c r="A141" s="236" t="s">
        <v>1150</v>
      </c>
      <c r="B141" s="237" t="s">
        <v>148</v>
      </c>
      <c r="C141" s="237" t="s">
        <v>1719</v>
      </c>
      <c r="D141" s="237" t="s">
        <v>1157</v>
      </c>
      <c r="E141" s="172" t="s">
        <v>324</v>
      </c>
      <c r="F141" s="176" t="s">
        <v>2597</v>
      </c>
      <c r="G141" s="160" t="s">
        <v>334</v>
      </c>
      <c r="H141" s="160" t="s">
        <v>1731</v>
      </c>
      <c r="I141" s="23" t="s">
        <v>345</v>
      </c>
      <c r="J141" s="264">
        <v>1.1627999999999999E-2</v>
      </c>
      <c r="K141" s="24" t="s">
        <v>346</v>
      </c>
      <c r="L141" s="128">
        <v>522600000</v>
      </c>
      <c r="M141" s="128">
        <v>0</v>
      </c>
      <c r="N141" s="436"/>
      <c r="O141" s="436" t="s">
        <v>1753</v>
      </c>
      <c r="P141" s="201">
        <v>1.2E-2</v>
      </c>
      <c r="Q141" s="211">
        <v>1.2999999999999999E-2</v>
      </c>
      <c r="R141" s="211">
        <v>1.2999999999999999E-2</v>
      </c>
      <c r="S141" s="211">
        <v>1.4E-2</v>
      </c>
      <c r="T141" s="211" t="s">
        <v>1310</v>
      </c>
      <c r="U141" s="284" t="s">
        <v>347</v>
      </c>
      <c r="V141" s="285">
        <v>0.1</v>
      </c>
      <c r="W141" s="284" t="s">
        <v>348</v>
      </c>
      <c r="X141" s="284"/>
      <c r="Y141" s="518" t="s">
        <v>2587</v>
      </c>
      <c r="Z141" s="284" t="s">
        <v>2436</v>
      </c>
      <c r="AA141" s="286">
        <f t="shared" si="23"/>
        <v>1.1628000000000001E-3</v>
      </c>
      <c r="AB141" s="283">
        <f>+(Tabla1[[#This Row],[ponderacion_meta]]*Tabla1[[#This Row],[ponderacion_accion]])/4*1</f>
        <v>2.9070000000000002E-4</v>
      </c>
      <c r="AC141" s="278">
        <f>+(Tabla1[[#This Row],[Avance PDI]]*100%)/Tabla1[[#This Row],[ponderacion_meta]]</f>
        <v>2.5000000000000001E-2</v>
      </c>
      <c r="AD141" s="279">
        <f>+Tabla1[[#This Row],[ponderacion_meta]]/5.2*1.2</f>
        <v>2.6833846153846153E-3</v>
      </c>
      <c r="AE141" s="279">
        <f>+Tabla1[[#This Row],[ponderacion_meta]]/5.2*1.3</f>
        <v>2.9069999999999999E-3</v>
      </c>
      <c r="AF141" s="279">
        <f>+Tabla1[[#This Row],[ponderacion_meta]]/5.2*1.3</f>
        <v>2.9069999999999999E-3</v>
      </c>
      <c r="AG141" s="279">
        <f>+Tabla1[[#This Row],[ponderacion_meta]]/5.2*1.4</f>
        <v>3.1306153846153845E-3</v>
      </c>
      <c r="AH141" s="393">
        <f t="shared" si="21"/>
        <v>1.9088790000000005E-2</v>
      </c>
      <c r="AI141" s="393">
        <f t="shared" si="22"/>
        <v>4.2766666666666675E-2</v>
      </c>
      <c r="AJ141" s="318">
        <f t="shared" si="20"/>
        <v>4.2766666666666675E-2</v>
      </c>
      <c r="AK141" s="385">
        <v>4.3922900000000001E-3</v>
      </c>
      <c r="AL141" s="402">
        <f t="shared" si="24"/>
        <v>3.2499999999999994E-2</v>
      </c>
      <c r="AM141" s="325">
        <v>0</v>
      </c>
      <c r="AN141" s="411">
        <f t="shared" si="25"/>
        <v>4.6666666666666662E-2</v>
      </c>
      <c r="AO141" s="343" t="e">
        <f>+([1]!Tabla1[[#This Row],[ponderacion_accion]]/4)*AQ141</f>
        <v>#REF!</v>
      </c>
      <c r="AP141" s="343" t="e">
        <f>Tabla1[[#This Row],[ponderacion_meta]]*AO141</f>
        <v>#REF!</v>
      </c>
      <c r="AQ141" s="353">
        <v>1</v>
      </c>
      <c r="AR141" s="377">
        <v>0</v>
      </c>
      <c r="AS141" s="7" t="e">
        <f>+((SUM(AO141:AO145)*100)/50)</f>
        <v>#REF!</v>
      </c>
      <c r="AT141" s="521">
        <v>0</v>
      </c>
    </row>
    <row r="142" spans="1:46" ht="15" customHeight="1" x14ac:dyDescent="0.35">
      <c r="A142" s="236" t="s">
        <v>1150</v>
      </c>
      <c r="B142" s="237" t="s">
        <v>148</v>
      </c>
      <c r="C142" s="237" t="s">
        <v>1719</v>
      </c>
      <c r="D142" s="237" t="s">
        <v>1157</v>
      </c>
      <c r="E142" s="172" t="s">
        <v>324</v>
      </c>
      <c r="F142" s="176" t="s">
        <v>2597</v>
      </c>
      <c r="G142" s="160" t="s">
        <v>334</v>
      </c>
      <c r="H142" s="160" t="s">
        <v>1731</v>
      </c>
      <c r="I142" s="23" t="s">
        <v>345</v>
      </c>
      <c r="J142" s="264">
        <v>1.1627999999999999E-2</v>
      </c>
      <c r="K142" s="24" t="s">
        <v>346</v>
      </c>
      <c r="L142" s="128">
        <v>522600000</v>
      </c>
      <c r="M142" s="128">
        <v>0</v>
      </c>
      <c r="N142" s="436"/>
      <c r="O142" s="436" t="s">
        <v>1753</v>
      </c>
      <c r="P142" s="201">
        <v>1.2E-2</v>
      </c>
      <c r="Q142" s="211">
        <v>1.2999999999999999E-2</v>
      </c>
      <c r="R142" s="211">
        <v>1.2999999999999999E-2</v>
      </c>
      <c r="S142" s="211">
        <v>1.4E-2</v>
      </c>
      <c r="T142" s="211" t="s">
        <v>1311</v>
      </c>
      <c r="U142" s="284" t="s">
        <v>349</v>
      </c>
      <c r="V142" s="285">
        <v>0.1</v>
      </c>
      <c r="W142" s="284" t="s">
        <v>24</v>
      </c>
      <c r="X142" s="284"/>
      <c r="Y142" s="518" t="s">
        <v>2587</v>
      </c>
      <c r="Z142" s="284" t="s">
        <v>2436</v>
      </c>
      <c r="AA142" s="286">
        <f t="shared" si="23"/>
        <v>1.1628000000000001E-3</v>
      </c>
      <c r="AB142" s="283">
        <f>+(Tabla1[[#This Row],[ponderacion_meta]]*Tabla1[[#This Row],[ponderacion_accion]])/4*1</f>
        <v>2.9070000000000002E-4</v>
      </c>
      <c r="AC142" s="278">
        <f>+(Tabla1[[#This Row],[Avance PDI]]*100%)/Tabla1[[#This Row],[ponderacion_meta]]</f>
        <v>2.5000000000000001E-2</v>
      </c>
      <c r="AD142" s="279">
        <v>2.6833846153846153E-3</v>
      </c>
      <c r="AE142" s="279">
        <v>2.9069999999999999E-3</v>
      </c>
      <c r="AF142" s="279">
        <v>2.9069999999999999E-3</v>
      </c>
      <c r="AG142" s="279">
        <v>3.1306153846153845E-3</v>
      </c>
      <c r="AH142" s="393">
        <f t="shared" si="21"/>
        <v>1.9088790000000005E-2</v>
      </c>
      <c r="AI142" s="393">
        <f t="shared" si="22"/>
        <v>4.2766666666666675E-2</v>
      </c>
      <c r="AJ142" s="318">
        <f t="shared" si="20"/>
        <v>4.2766666666666675E-2</v>
      </c>
      <c r="AK142" s="385">
        <v>4.3922900000000001E-3</v>
      </c>
      <c r="AL142" s="402">
        <f t="shared" si="24"/>
        <v>3.2499999999999994E-2</v>
      </c>
      <c r="AM142" s="325">
        <v>0</v>
      </c>
      <c r="AN142" s="411">
        <f t="shared" si="25"/>
        <v>4.6666666666666662E-2</v>
      </c>
      <c r="AO142" s="344" t="e">
        <f>+([1]!Tabla1[[#This Row],[ponderacion_accion]]/4)*AQ142</f>
        <v>#REF!</v>
      </c>
      <c r="AP142" s="344" t="e">
        <f>Tabla1[[#This Row],[ponderacion_meta]]*AO142</f>
        <v>#REF!</v>
      </c>
      <c r="AQ142" s="354">
        <v>1</v>
      </c>
      <c r="AR142" s="378">
        <v>0</v>
      </c>
      <c r="AS142" s="9"/>
      <c r="AT142" s="521">
        <v>0</v>
      </c>
    </row>
    <row r="143" spans="1:46" ht="15" customHeight="1" x14ac:dyDescent="0.35">
      <c r="A143" s="236" t="s">
        <v>1150</v>
      </c>
      <c r="B143" s="237" t="s">
        <v>148</v>
      </c>
      <c r="C143" s="237" t="s">
        <v>1719</v>
      </c>
      <c r="D143" s="237" t="s">
        <v>1157</v>
      </c>
      <c r="E143" s="172" t="s">
        <v>324</v>
      </c>
      <c r="F143" s="176" t="s">
        <v>2597</v>
      </c>
      <c r="G143" s="160" t="s">
        <v>334</v>
      </c>
      <c r="H143" s="160" t="s">
        <v>1731</v>
      </c>
      <c r="I143" s="23" t="s">
        <v>345</v>
      </c>
      <c r="J143" s="264">
        <v>1.1627999999999999E-2</v>
      </c>
      <c r="K143" s="24" t="s">
        <v>346</v>
      </c>
      <c r="L143" s="128">
        <v>522600000</v>
      </c>
      <c r="M143" s="128">
        <v>0</v>
      </c>
      <c r="N143" s="436"/>
      <c r="O143" s="436" t="s">
        <v>1753</v>
      </c>
      <c r="P143" s="201">
        <v>1.2E-2</v>
      </c>
      <c r="Q143" s="211">
        <v>1.2999999999999999E-2</v>
      </c>
      <c r="R143" s="211">
        <v>1.2999999999999999E-2</v>
      </c>
      <c r="S143" s="211">
        <v>1.4E-2</v>
      </c>
      <c r="T143" s="211" t="s">
        <v>1312</v>
      </c>
      <c r="U143" s="24" t="s">
        <v>350</v>
      </c>
      <c r="V143" s="25">
        <v>0.1</v>
      </c>
      <c r="W143" s="24" t="s">
        <v>351</v>
      </c>
      <c r="X143" s="24"/>
      <c r="Y143" s="23" t="s">
        <v>2587</v>
      </c>
      <c r="Z143" s="24" t="s">
        <v>2436</v>
      </c>
      <c r="AA143" s="238">
        <f t="shared" si="23"/>
        <v>1.1628000000000001E-3</v>
      </c>
      <c r="AB143" s="252">
        <v>0</v>
      </c>
      <c r="AC143" s="278">
        <f>+(Tabla1[[#This Row],[Avance PDI]]*100%)/Tabla1[[#This Row],[ponderacion_meta]]</f>
        <v>0</v>
      </c>
      <c r="AD143" s="279">
        <v>2.6833846153846153E-3</v>
      </c>
      <c r="AE143" s="279">
        <v>2.9069999999999999E-3</v>
      </c>
      <c r="AF143" s="279">
        <v>2.9069999999999999E-3</v>
      </c>
      <c r="AG143" s="279">
        <v>3.1306153846153845E-3</v>
      </c>
      <c r="AH143" s="393">
        <f t="shared" si="21"/>
        <v>1.9088790000000005E-2</v>
      </c>
      <c r="AI143" s="393">
        <f t="shared" si="22"/>
        <v>4.2766666666666675E-2</v>
      </c>
      <c r="AJ143" s="318">
        <f t="shared" si="20"/>
        <v>4.2766666666666675E-2</v>
      </c>
      <c r="AK143" s="385">
        <v>4.3922900000000001E-3</v>
      </c>
      <c r="AL143" s="402">
        <f t="shared" si="24"/>
        <v>3.2499999999999994E-2</v>
      </c>
      <c r="AM143" s="325">
        <v>0</v>
      </c>
      <c r="AN143" s="411">
        <f t="shared" si="25"/>
        <v>4.6666666666666662E-2</v>
      </c>
      <c r="AO143" s="344" t="e">
        <f>+([1]!Tabla1[[#This Row],[ponderacion_accion]]/4)*AQ143</f>
        <v>#REF!</v>
      </c>
      <c r="AP143" s="344" t="e">
        <f>Tabla1[[#This Row],[ponderacion_meta]]*AO143</f>
        <v>#REF!</v>
      </c>
      <c r="AQ143" s="354"/>
      <c r="AR143" s="378">
        <v>0</v>
      </c>
      <c r="AS143" s="9"/>
      <c r="AT143" s="521">
        <v>0</v>
      </c>
    </row>
    <row r="144" spans="1:46" ht="15" customHeight="1" x14ac:dyDescent="0.35">
      <c r="A144" s="236" t="s">
        <v>1150</v>
      </c>
      <c r="B144" s="237" t="s">
        <v>148</v>
      </c>
      <c r="C144" s="237" t="s">
        <v>1719</v>
      </c>
      <c r="D144" s="237" t="s">
        <v>1157</v>
      </c>
      <c r="E144" s="172" t="s">
        <v>324</v>
      </c>
      <c r="F144" s="176" t="s">
        <v>2597</v>
      </c>
      <c r="G144" s="160" t="s">
        <v>334</v>
      </c>
      <c r="H144" s="160" t="s">
        <v>1731</v>
      </c>
      <c r="I144" s="23" t="s">
        <v>345</v>
      </c>
      <c r="J144" s="264">
        <v>1.1627999999999999E-2</v>
      </c>
      <c r="K144" s="24" t="s">
        <v>346</v>
      </c>
      <c r="L144" s="128">
        <v>522600000</v>
      </c>
      <c r="M144" s="128">
        <v>0</v>
      </c>
      <c r="N144" s="436"/>
      <c r="O144" s="436" t="s">
        <v>1753</v>
      </c>
      <c r="P144" s="201">
        <v>1.2E-2</v>
      </c>
      <c r="Q144" s="211">
        <v>1.2999999999999999E-2</v>
      </c>
      <c r="R144" s="211">
        <v>1.2999999999999999E-2</v>
      </c>
      <c r="S144" s="211">
        <v>1.4E-2</v>
      </c>
      <c r="T144" s="211" t="s">
        <v>1313</v>
      </c>
      <c r="U144" s="24" t="s">
        <v>352</v>
      </c>
      <c r="V144" s="25">
        <v>0.2</v>
      </c>
      <c r="W144" s="24" t="s">
        <v>353</v>
      </c>
      <c r="X144" s="24"/>
      <c r="Y144" s="23" t="s">
        <v>2587</v>
      </c>
      <c r="Z144" s="24" t="s">
        <v>2436</v>
      </c>
      <c r="AA144" s="238">
        <f t="shared" si="23"/>
        <v>2.3256000000000001E-3</v>
      </c>
      <c r="AB144" s="252">
        <v>0</v>
      </c>
      <c r="AC144" s="278">
        <f>+(Tabla1[[#This Row],[Avance PDI]]*100%)/Tabla1[[#This Row],[ponderacion_meta]]</f>
        <v>0</v>
      </c>
      <c r="AD144" s="279">
        <v>2.6833846153846153E-3</v>
      </c>
      <c r="AE144" s="279">
        <v>2.9069999999999999E-3</v>
      </c>
      <c r="AF144" s="279">
        <v>2.9069999999999999E-3</v>
      </c>
      <c r="AG144" s="279">
        <v>3.1306153846153845E-3</v>
      </c>
      <c r="AH144" s="393">
        <f t="shared" si="21"/>
        <v>1.9088790000000005E-2</v>
      </c>
      <c r="AI144" s="393">
        <f t="shared" si="22"/>
        <v>4.2766666666666675E-2</v>
      </c>
      <c r="AJ144" s="318">
        <f t="shared" si="20"/>
        <v>4.2766666666666675E-2</v>
      </c>
      <c r="AK144" s="385">
        <v>4.3922900000000001E-3</v>
      </c>
      <c r="AL144" s="402">
        <f t="shared" si="24"/>
        <v>3.2499999999999994E-2</v>
      </c>
      <c r="AM144" s="325">
        <v>0</v>
      </c>
      <c r="AN144" s="411">
        <f t="shared" si="25"/>
        <v>4.6666666666666662E-2</v>
      </c>
      <c r="AO144" s="344" t="e">
        <f>+([1]!Tabla1[[#This Row],[ponderacion_accion]]/4)*AQ144</f>
        <v>#REF!</v>
      </c>
      <c r="AP144" s="344" t="e">
        <f>Tabla1[[#This Row],[ponderacion_meta]]*AO144</f>
        <v>#REF!</v>
      </c>
      <c r="AQ144" s="354"/>
      <c r="AR144" s="378">
        <v>0</v>
      </c>
      <c r="AS144" s="9"/>
      <c r="AT144" s="521">
        <v>0</v>
      </c>
    </row>
    <row r="145" spans="1:46" ht="15" customHeight="1" x14ac:dyDescent="0.35">
      <c r="A145" s="236" t="s">
        <v>1150</v>
      </c>
      <c r="B145" s="237" t="s">
        <v>148</v>
      </c>
      <c r="C145" s="237" t="s">
        <v>1719</v>
      </c>
      <c r="D145" s="237" t="s">
        <v>1157</v>
      </c>
      <c r="E145" s="172" t="s">
        <v>324</v>
      </c>
      <c r="F145" s="176" t="s">
        <v>2597</v>
      </c>
      <c r="G145" s="160" t="s">
        <v>334</v>
      </c>
      <c r="H145" s="160" t="s">
        <v>1731</v>
      </c>
      <c r="I145" s="23" t="s">
        <v>345</v>
      </c>
      <c r="J145" s="264">
        <v>1.1627999999999999E-2</v>
      </c>
      <c r="K145" s="24" t="s">
        <v>346</v>
      </c>
      <c r="L145" s="128">
        <v>522600000</v>
      </c>
      <c r="M145" s="128">
        <v>0</v>
      </c>
      <c r="N145" s="436"/>
      <c r="O145" s="436" t="s">
        <v>1753</v>
      </c>
      <c r="P145" s="201">
        <v>1.2E-2</v>
      </c>
      <c r="Q145" s="211">
        <v>1.2999999999999999E-2</v>
      </c>
      <c r="R145" s="211">
        <v>1.2999999999999999E-2</v>
      </c>
      <c r="S145" s="211">
        <v>1.4E-2</v>
      </c>
      <c r="T145" s="211" t="s">
        <v>1314</v>
      </c>
      <c r="U145" s="289" t="s">
        <v>354</v>
      </c>
      <c r="V145" s="285">
        <v>0.5</v>
      </c>
      <c r="W145" s="284" t="s">
        <v>90</v>
      </c>
      <c r="X145" s="284"/>
      <c r="Y145" s="518" t="s">
        <v>2587</v>
      </c>
      <c r="Z145" s="284" t="s">
        <v>2436</v>
      </c>
      <c r="AA145" s="286">
        <f t="shared" si="23"/>
        <v>5.8139999999999997E-3</v>
      </c>
      <c r="AB145" s="283">
        <f>+((Tabla1[[#This Row],[ponderacion_meta]]*Tabla1[[#This Row],[ponderacion_accion]])/4)*0.64</f>
        <v>9.3023999999999993E-4</v>
      </c>
      <c r="AC145" s="278">
        <f>+(Tabla1[[#This Row],[Avance PDI]]*100%)/Tabla1[[#This Row],[ponderacion_meta]]</f>
        <v>0.08</v>
      </c>
      <c r="AD145" s="279">
        <v>2.6833846153846153E-3</v>
      </c>
      <c r="AE145" s="279">
        <v>2.9069999999999999E-3</v>
      </c>
      <c r="AF145" s="279">
        <v>2.9069999999999999E-3</v>
      </c>
      <c r="AG145" s="279">
        <v>3.1306153846153845E-3</v>
      </c>
      <c r="AH145" s="393">
        <f t="shared" si="21"/>
        <v>1.9088790000000005E-2</v>
      </c>
      <c r="AI145" s="393">
        <f t="shared" si="22"/>
        <v>4.2766666666666675E-2</v>
      </c>
      <c r="AJ145" s="318">
        <f t="shared" si="20"/>
        <v>4.2766666666666675E-2</v>
      </c>
      <c r="AK145" s="385">
        <v>4.3922900000000001E-3</v>
      </c>
      <c r="AL145" s="402">
        <f t="shared" si="24"/>
        <v>3.2499999999999994E-2</v>
      </c>
      <c r="AM145" s="325">
        <v>0</v>
      </c>
      <c r="AN145" s="411">
        <f t="shared" si="25"/>
        <v>4.6666666666666662E-2</v>
      </c>
      <c r="AO145" s="345" t="e">
        <f>+([1]!Tabla1[[#This Row],[ponderacion_accion]]/4)*AQ145</f>
        <v>#REF!</v>
      </c>
      <c r="AP145" s="345" t="e">
        <f>Tabla1[[#This Row],[ponderacion_meta]]*AO145</f>
        <v>#REF!</v>
      </c>
      <c r="AQ145" s="357">
        <v>0.64</v>
      </c>
      <c r="AR145" s="379">
        <v>0</v>
      </c>
      <c r="AS145" s="9"/>
      <c r="AT145" s="521">
        <v>0</v>
      </c>
    </row>
    <row r="146" spans="1:46" ht="15" customHeight="1" x14ac:dyDescent="0.35">
      <c r="A146" s="236" t="s">
        <v>1150</v>
      </c>
      <c r="B146" s="237" t="s">
        <v>148</v>
      </c>
      <c r="C146" s="237" t="s">
        <v>1719</v>
      </c>
      <c r="D146" s="237" t="s">
        <v>1157</v>
      </c>
      <c r="E146" s="172" t="s">
        <v>324</v>
      </c>
      <c r="F146" s="176" t="s">
        <v>2597</v>
      </c>
      <c r="G146" s="160" t="s">
        <v>334</v>
      </c>
      <c r="H146" s="160" t="s">
        <v>1731</v>
      </c>
      <c r="I146" s="14" t="s">
        <v>355</v>
      </c>
      <c r="J146" s="265">
        <v>1.1627999999999999E-2</v>
      </c>
      <c r="K146" s="26" t="s">
        <v>356</v>
      </c>
      <c r="L146" s="127">
        <v>1166566800</v>
      </c>
      <c r="M146" s="127">
        <v>0</v>
      </c>
      <c r="N146" s="435"/>
      <c r="O146" s="435" t="s">
        <v>1753</v>
      </c>
      <c r="P146" s="200">
        <v>8.3000000000000004E-2</v>
      </c>
      <c r="Q146" s="212">
        <v>8.5000000000000006E-2</v>
      </c>
      <c r="R146" s="212">
        <v>0.09</v>
      </c>
      <c r="S146" s="212">
        <v>0.1</v>
      </c>
      <c r="T146" s="212" t="s">
        <v>1315</v>
      </c>
      <c r="U146" s="284" t="s">
        <v>357</v>
      </c>
      <c r="V146" s="287">
        <v>0.1</v>
      </c>
      <c r="W146" s="284" t="s">
        <v>358</v>
      </c>
      <c r="X146" s="284"/>
      <c r="Y146" s="518" t="s">
        <v>2587</v>
      </c>
      <c r="Z146" s="284" t="s">
        <v>2436</v>
      </c>
      <c r="AA146" s="286">
        <f t="shared" si="23"/>
        <v>1.1628000000000001E-3</v>
      </c>
      <c r="AB146" s="283">
        <f>+(Tabla1[[#This Row],[ponderacion_meta]]*Tabla1[[#This Row],[ponderacion_accion]])/4*1*0</f>
        <v>0</v>
      </c>
      <c r="AC146" s="262">
        <f>+(Tabla1[[#This Row],[Avance PDI]]*100%)/Tabla1[[#This Row],[ponderacion_meta]]</f>
        <v>0</v>
      </c>
      <c r="AD146" s="257">
        <f>+Tabla1[[#This Row],[ponderacion_meta]]/35.8*8.3</f>
        <v>2.6958770949720673E-3</v>
      </c>
      <c r="AE146" s="257">
        <f>+Tabla1[[#This Row],[ponderacion_meta]]/35.8*8.5</f>
        <v>2.7608379888268155E-3</v>
      </c>
      <c r="AF146" s="257">
        <f>+Tabla1[[#This Row],[ponderacion_meta]]/35.8*9</f>
        <v>2.9232402234636869E-3</v>
      </c>
      <c r="AG146" s="257">
        <f>+Tabla1[[#This Row],[ponderacion_meta]]/35.8*10</f>
        <v>3.2480446927374302E-3</v>
      </c>
      <c r="AH146" s="393">
        <f t="shared" si="21"/>
        <v>1.9088790000000005E-2</v>
      </c>
      <c r="AI146" s="393">
        <f t="shared" si="22"/>
        <v>4.2766666666666675E-2</v>
      </c>
      <c r="AJ146" s="318">
        <f t="shared" si="20"/>
        <v>4.2766666666666675E-2</v>
      </c>
      <c r="AK146" s="385">
        <v>4.3922900000000001E-3</v>
      </c>
      <c r="AL146" s="402">
        <f t="shared" si="24"/>
        <v>3.2499999999999994E-2</v>
      </c>
      <c r="AM146" s="325">
        <v>0</v>
      </c>
      <c r="AN146" s="411">
        <f t="shared" si="25"/>
        <v>4.6666666666666662E-2</v>
      </c>
      <c r="AO146" s="358" t="e">
        <f>+([1]!Tabla1[[#This Row],[ponderacion_accion]]/4)*AQ146</f>
        <v>#REF!</v>
      </c>
      <c r="AP146" s="358" t="e">
        <f>Tabla1[[#This Row],[ponderacion_meta]]*AO146</f>
        <v>#REF!</v>
      </c>
      <c r="AQ146" s="361"/>
      <c r="AR146" s="380">
        <v>0</v>
      </c>
      <c r="AS146" s="7" t="e">
        <f>+((SUM(AO146:AO149)*100)/50)</f>
        <v>#REF!</v>
      </c>
      <c r="AT146" s="521">
        <v>0</v>
      </c>
    </row>
    <row r="147" spans="1:46" ht="15" customHeight="1" x14ac:dyDescent="0.35">
      <c r="A147" s="236" t="s">
        <v>1150</v>
      </c>
      <c r="B147" s="237" t="s">
        <v>148</v>
      </c>
      <c r="C147" s="237" t="s">
        <v>1719</v>
      </c>
      <c r="D147" s="237" t="s">
        <v>1157</v>
      </c>
      <c r="E147" s="172" t="s">
        <v>324</v>
      </c>
      <c r="F147" s="176" t="s">
        <v>2597</v>
      </c>
      <c r="G147" s="160" t="s">
        <v>334</v>
      </c>
      <c r="H147" s="160" t="s">
        <v>1731</v>
      </c>
      <c r="I147" s="14" t="s">
        <v>355</v>
      </c>
      <c r="J147" s="265">
        <v>1.1627999999999999E-2</v>
      </c>
      <c r="K147" s="26" t="s">
        <v>356</v>
      </c>
      <c r="L147" s="127">
        <v>1166566800</v>
      </c>
      <c r="M147" s="127">
        <v>0</v>
      </c>
      <c r="N147" s="435"/>
      <c r="O147" s="435" t="s">
        <v>1753</v>
      </c>
      <c r="P147" s="200">
        <v>8.3000000000000004E-2</v>
      </c>
      <c r="Q147" s="212">
        <v>8.5000000000000006E-2</v>
      </c>
      <c r="R147" s="212">
        <v>0.09</v>
      </c>
      <c r="S147" s="212">
        <v>0.1</v>
      </c>
      <c r="T147" s="212" t="s">
        <v>1316</v>
      </c>
      <c r="U147" s="26" t="s">
        <v>359</v>
      </c>
      <c r="V147" s="29">
        <v>0.1</v>
      </c>
      <c r="W147" s="26" t="s">
        <v>24</v>
      </c>
      <c r="X147" s="26"/>
      <c r="Y147" s="14" t="s">
        <v>2587</v>
      </c>
      <c r="Z147" s="26" t="s">
        <v>2436</v>
      </c>
      <c r="AA147" s="239">
        <f t="shared" si="23"/>
        <v>1.1628000000000001E-3</v>
      </c>
      <c r="AB147" s="252">
        <v>0</v>
      </c>
      <c r="AC147" s="262">
        <f>+(Tabla1[[#This Row],[Avance PDI]]*100%)/Tabla1[[#This Row],[ponderacion_meta]]</f>
        <v>0</v>
      </c>
      <c r="AD147" s="257">
        <v>2.6958770949720673E-3</v>
      </c>
      <c r="AE147" s="257">
        <v>2.7608379888268155E-3</v>
      </c>
      <c r="AF147" s="257">
        <v>2.9232402234636869E-3</v>
      </c>
      <c r="AG147" s="257">
        <v>3.2480446927374302E-3</v>
      </c>
      <c r="AH147" s="393">
        <f t="shared" si="21"/>
        <v>1.9088790000000005E-2</v>
      </c>
      <c r="AI147" s="393">
        <f t="shared" si="22"/>
        <v>4.2766666666666675E-2</v>
      </c>
      <c r="AJ147" s="318">
        <f t="shared" si="20"/>
        <v>4.2766666666666675E-2</v>
      </c>
      <c r="AK147" s="385">
        <v>4.3922900000000001E-3</v>
      </c>
      <c r="AL147" s="402">
        <f t="shared" si="24"/>
        <v>3.2499999999999994E-2</v>
      </c>
      <c r="AM147" s="325">
        <v>0</v>
      </c>
      <c r="AN147" s="411">
        <f t="shared" si="25"/>
        <v>4.6666666666666662E-2</v>
      </c>
      <c r="AO147" s="359" t="e">
        <f>+([1]!Tabla1[[#This Row],[ponderacion_accion]]/4)*AQ147</f>
        <v>#REF!</v>
      </c>
      <c r="AP147" s="359" t="e">
        <f>Tabla1[[#This Row],[ponderacion_meta]]*AO147</f>
        <v>#REF!</v>
      </c>
      <c r="AQ147" s="351"/>
      <c r="AR147" s="380">
        <v>0</v>
      </c>
      <c r="AS147" s="9"/>
      <c r="AT147" s="521">
        <v>0</v>
      </c>
    </row>
    <row r="148" spans="1:46" ht="15" customHeight="1" x14ac:dyDescent="0.35">
      <c r="A148" s="236" t="s">
        <v>1150</v>
      </c>
      <c r="B148" s="237" t="s">
        <v>148</v>
      </c>
      <c r="C148" s="237" t="s">
        <v>1719</v>
      </c>
      <c r="D148" s="237" t="s">
        <v>1157</v>
      </c>
      <c r="E148" s="172" t="s">
        <v>324</v>
      </c>
      <c r="F148" s="176" t="s">
        <v>2597</v>
      </c>
      <c r="G148" s="160" t="s">
        <v>334</v>
      </c>
      <c r="H148" s="160" t="s">
        <v>1731</v>
      </c>
      <c r="I148" s="14" t="s">
        <v>355</v>
      </c>
      <c r="J148" s="265">
        <v>1.1627999999999999E-2</v>
      </c>
      <c r="K148" s="26" t="s">
        <v>356</v>
      </c>
      <c r="L148" s="127">
        <v>1166566800</v>
      </c>
      <c r="M148" s="127">
        <v>0</v>
      </c>
      <c r="N148" s="435"/>
      <c r="O148" s="435" t="s">
        <v>1753</v>
      </c>
      <c r="P148" s="200">
        <v>8.3000000000000004E-2</v>
      </c>
      <c r="Q148" s="212">
        <v>8.5000000000000006E-2</v>
      </c>
      <c r="R148" s="212">
        <v>0.09</v>
      </c>
      <c r="S148" s="212">
        <v>0.1</v>
      </c>
      <c r="T148" s="212" t="s">
        <v>1317</v>
      </c>
      <c r="U148" s="26" t="s">
        <v>360</v>
      </c>
      <c r="V148" s="29">
        <v>0.2</v>
      </c>
      <c r="W148" s="26" t="s">
        <v>361</v>
      </c>
      <c r="X148" s="26"/>
      <c r="Y148" s="14" t="s">
        <v>2587</v>
      </c>
      <c r="Z148" s="26" t="s">
        <v>2436</v>
      </c>
      <c r="AA148" s="239">
        <f t="shared" si="23"/>
        <v>2.3256000000000001E-3</v>
      </c>
      <c r="AB148" s="252">
        <v>0</v>
      </c>
      <c r="AC148" s="262">
        <f>+(Tabla1[[#This Row],[Avance PDI]]*100%)/Tabla1[[#This Row],[ponderacion_meta]]</f>
        <v>0</v>
      </c>
      <c r="AD148" s="257">
        <v>2.6958770949720673E-3</v>
      </c>
      <c r="AE148" s="257">
        <v>2.7608379888268155E-3</v>
      </c>
      <c r="AF148" s="257">
        <v>2.9232402234636869E-3</v>
      </c>
      <c r="AG148" s="257">
        <v>3.2480446927374302E-3</v>
      </c>
      <c r="AH148" s="393">
        <f t="shared" si="21"/>
        <v>1.9088790000000005E-2</v>
      </c>
      <c r="AI148" s="393">
        <f t="shared" si="22"/>
        <v>4.2766666666666675E-2</v>
      </c>
      <c r="AJ148" s="318">
        <f t="shared" si="20"/>
        <v>4.2766666666666675E-2</v>
      </c>
      <c r="AK148" s="385">
        <v>4.3922900000000001E-3</v>
      </c>
      <c r="AL148" s="402">
        <f t="shared" si="24"/>
        <v>3.2499999999999994E-2</v>
      </c>
      <c r="AM148" s="325">
        <v>0</v>
      </c>
      <c r="AN148" s="411">
        <f t="shared" si="25"/>
        <v>4.6666666666666662E-2</v>
      </c>
      <c r="AO148" s="359" t="e">
        <f>+([1]!Tabla1[[#This Row],[ponderacion_accion]]/4)*AQ148</f>
        <v>#REF!</v>
      </c>
      <c r="AP148" s="359" t="e">
        <f>Tabla1[[#This Row],[ponderacion_meta]]*AO148</f>
        <v>#REF!</v>
      </c>
      <c r="AQ148" s="351"/>
      <c r="AR148" s="380">
        <v>0</v>
      </c>
      <c r="AS148" s="9"/>
      <c r="AT148" s="521">
        <v>0</v>
      </c>
    </row>
    <row r="149" spans="1:46" ht="15" customHeight="1" x14ac:dyDescent="0.35">
      <c r="A149" s="236" t="s">
        <v>1150</v>
      </c>
      <c r="B149" s="237" t="s">
        <v>148</v>
      </c>
      <c r="C149" s="237" t="s">
        <v>1719</v>
      </c>
      <c r="D149" s="237" t="s">
        <v>1157</v>
      </c>
      <c r="E149" s="172" t="s">
        <v>324</v>
      </c>
      <c r="F149" s="176" t="s">
        <v>2597</v>
      </c>
      <c r="G149" s="160" t="s">
        <v>334</v>
      </c>
      <c r="H149" s="160" t="s">
        <v>1731</v>
      </c>
      <c r="I149" s="14" t="s">
        <v>355</v>
      </c>
      <c r="J149" s="265">
        <v>1.1627999999999999E-2</v>
      </c>
      <c r="K149" s="26" t="s">
        <v>356</v>
      </c>
      <c r="L149" s="127">
        <v>1166566800</v>
      </c>
      <c r="M149" s="127">
        <v>0</v>
      </c>
      <c r="N149" s="435"/>
      <c r="O149" s="435" t="s">
        <v>1753</v>
      </c>
      <c r="P149" s="200">
        <v>8.3000000000000004E-2</v>
      </c>
      <c r="Q149" s="212">
        <v>8.5000000000000006E-2</v>
      </c>
      <c r="R149" s="212">
        <v>0.09</v>
      </c>
      <c r="S149" s="212">
        <v>0.1</v>
      </c>
      <c r="T149" s="212" t="s">
        <v>1318</v>
      </c>
      <c r="U149" s="26" t="s">
        <v>362</v>
      </c>
      <c r="V149" s="29">
        <v>0.6</v>
      </c>
      <c r="W149" s="26" t="s">
        <v>88</v>
      </c>
      <c r="X149" s="26"/>
      <c r="Y149" s="14" t="s">
        <v>2587</v>
      </c>
      <c r="Z149" s="26" t="s">
        <v>2436</v>
      </c>
      <c r="AA149" s="239">
        <f t="shared" si="23"/>
        <v>6.9767999999999991E-3</v>
      </c>
      <c r="AB149" s="252">
        <v>0</v>
      </c>
      <c r="AC149" s="262">
        <f>+(Tabla1[[#This Row],[Avance PDI]]*100%)/Tabla1[[#This Row],[ponderacion_meta]]</f>
        <v>0</v>
      </c>
      <c r="AD149" s="257">
        <v>2.6958770949720673E-3</v>
      </c>
      <c r="AE149" s="257">
        <v>2.7608379888268155E-3</v>
      </c>
      <c r="AF149" s="257">
        <v>2.9232402234636869E-3</v>
      </c>
      <c r="AG149" s="257">
        <v>3.2480446927374302E-3</v>
      </c>
      <c r="AH149" s="393">
        <f t="shared" si="21"/>
        <v>1.9088790000000005E-2</v>
      </c>
      <c r="AI149" s="393">
        <f t="shared" si="22"/>
        <v>4.2766666666666675E-2</v>
      </c>
      <c r="AJ149" s="318">
        <f t="shared" si="20"/>
        <v>4.2766666666666675E-2</v>
      </c>
      <c r="AK149" s="385">
        <v>4.3922900000000001E-3</v>
      </c>
      <c r="AL149" s="402">
        <f t="shared" si="24"/>
        <v>3.2499999999999994E-2</v>
      </c>
      <c r="AM149" s="325">
        <v>0</v>
      </c>
      <c r="AN149" s="411">
        <f t="shared" si="25"/>
        <v>4.6666666666666662E-2</v>
      </c>
      <c r="AO149" s="360" t="e">
        <f>+([1]!Tabla1[[#This Row],[ponderacion_accion]]/4)*AQ149</f>
        <v>#REF!</v>
      </c>
      <c r="AP149" s="360" t="e">
        <f>Tabla1[[#This Row],[ponderacion_meta]]*AO149</f>
        <v>#REF!</v>
      </c>
      <c r="AQ149" s="356"/>
      <c r="AR149" s="380">
        <v>0</v>
      </c>
      <c r="AS149" s="9"/>
      <c r="AT149" s="521">
        <v>0</v>
      </c>
    </row>
    <row r="150" spans="1:46" ht="15" customHeight="1" x14ac:dyDescent="0.35">
      <c r="A150" s="236" t="s">
        <v>1150</v>
      </c>
      <c r="B150" s="237" t="s">
        <v>148</v>
      </c>
      <c r="C150" s="237" t="s">
        <v>1719</v>
      </c>
      <c r="D150" s="237" t="s">
        <v>1157</v>
      </c>
      <c r="E150" s="172" t="s">
        <v>324</v>
      </c>
      <c r="F150" s="176" t="s">
        <v>2597</v>
      </c>
      <c r="G150" s="160" t="s">
        <v>334</v>
      </c>
      <c r="H150" s="160" t="s">
        <v>1731</v>
      </c>
      <c r="I150" s="23" t="s">
        <v>363</v>
      </c>
      <c r="J150" s="264">
        <v>1.1627999999999999E-2</v>
      </c>
      <c r="K150" s="24" t="s">
        <v>364</v>
      </c>
      <c r="L150" s="128">
        <v>342463466.67000002</v>
      </c>
      <c r="M150" s="128">
        <v>0</v>
      </c>
      <c r="N150" s="436"/>
      <c r="O150" s="436" t="s">
        <v>2622</v>
      </c>
      <c r="P150" s="189">
        <v>52</v>
      </c>
      <c r="Q150" s="190">
        <v>57</v>
      </c>
      <c r="R150" s="190">
        <v>62</v>
      </c>
      <c r="S150" s="190">
        <v>67</v>
      </c>
      <c r="T150" s="190" t="s">
        <v>1319</v>
      </c>
      <c r="U150" s="284" t="s">
        <v>365</v>
      </c>
      <c r="V150" s="287">
        <v>0.1</v>
      </c>
      <c r="W150" s="284" t="s">
        <v>358</v>
      </c>
      <c r="X150" s="284"/>
      <c r="Y150" s="518" t="s">
        <v>2587</v>
      </c>
      <c r="Z150" s="284" t="s">
        <v>2436</v>
      </c>
      <c r="AA150" s="286">
        <f t="shared" si="23"/>
        <v>1.1628000000000001E-3</v>
      </c>
      <c r="AB150" s="283">
        <f>+(Tabla1[[#This Row],[ponderacion_meta]]*Tabla1[[#This Row],[ponderacion_accion]])/4*1</f>
        <v>2.9070000000000002E-4</v>
      </c>
      <c r="AC150" s="291">
        <f>+(Tabla1[[#This Row],[Avance PDI]]*100%)/Tabla1[[#This Row],[ponderacion_meta]]</f>
        <v>2.5000000000000001E-2</v>
      </c>
      <c r="AD150" s="279">
        <f>+Tabla1[[#This Row],[ponderacion_meta]]/238*52</f>
        <v>2.5405714285714285E-3</v>
      </c>
      <c r="AE150" s="279">
        <f>+Tabla1[[#This Row],[ponderacion_meta]]/238*57</f>
        <v>2.7848571428571427E-3</v>
      </c>
      <c r="AF150" s="279">
        <f>+Tabla1[[#This Row],[ponderacion_meta]]/238*62</f>
        <v>3.029142857142857E-3</v>
      </c>
      <c r="AG150" s="279">
        <f>+Tabla1[[#This Row],[ponderacion_meta]]/238*67</f>
        <v>3.2734285714285712E-3</v>
      </c>
      <c r="AH150" s="393">
        <f t="shared" si="21"/>
        <v>1.9088790000000005E-2</v>
      </c>
      <c r="AI150" s="393">
        <f t="shared" si="22"/>
        <v>4.2766666666666675E-2</v>
      </c>
      <c r="AJ150" s="318">
        <f t="shared" si="20"/>
        <v>4.2766666666666675E-2</v>
      </c>
      <c r="AK150" s="385">
        <v>4.3922900000000001E-3</v>
      </c>
      <c r="AL150" s="402">
        <f t="shared" si="24"/>
        <v>3.2499999999999994E-2</v>
      </c>
      <c r="AM150" s="325">
        <v>0</v>
      </c>
      <c r="AN150" s="411">
        <f t="shared" si="25"/>
        <v>4.6666666666666662E-2</v>
      </c>
      <c r="AO150" s="343" t="e">
        <f>+([1]!Tabla1[[#This Row],[ponderacion_accion]]/4)*AQ150</f>
        <v>#REF!</v>
      </c>
      <c r="AP150" s="343" t="e">
        <f>Tabla1[[#This Row],[ponderacion_meta]]*AO150</f>
        <v>#REF!</v>
      </c>
      <c r="AQ150" s="353">
        <v>1</v>
      </c>
      <c r="AR150" s="377">
        <v>0</v>
      </c>
      <c r="AS150" s="7" t="e">
        <f>+((SUM(AO150:AO153)*100)/50)</f>
        <v>#REF!</v>
      </c>
      <c r="AT150" s="521">
        <v>0</v>
      </c>
    </row>
    <row r="151" spans="1:46" ht="15" customHeight="1" x14ac:dyDescent="0.35">
      <c r="A151" s="236" t="s">
        <v>1150</v>
      </c>
      <c r="B151" s="237" t="s">
        <v>148</v>
      </c>
      <c r="C151" s="237" t="s">
        <v>1719</v>
      </c>
      <c r="D151" s="237" t="s">
        <v>1157</v>
      </c>
      <c r="E151" s="172" t="s">
        <v>324</v>
      </c>
      <c r="F151" s="176" t="s">
        <v>2597</v>
      </c>
      <c r="G151" s="160" t="s">
        <v>334</v>
      </c>
      <c r="H151" s="160" t="s">
        <v>1731</v>
      </c>
      <c r="I151" s="23" t="s">
        <v>363</v>
      </c>
      <c r="J151" s="264">
        <v>1.1627999999999999E-2</v>
      </c>
      <c r="K151" s="24" t="s">
        <v>364</v>
      </c>
      <c r="L151" s="128">
        <v>342463466.67000002</v>
      </c>
      <c r="M151" s="128">
        <v>0</v>
      </c>
      <c r="N151" s="436"/>
      <c r="O151" s="436" t="s">
        <v>2622</v>
      </c>
      <c r="P151" s="189">
        <v>52</v>
      </c>
      <c r="Q151" s="190">
        <v>57</v>
      </c>
      <c r="R151" s="190">
        <v>62</v>
      </c>
      <c r="S151" s="190">
        <v>67</v>
      </c>
      <c r="T151" s="190" t="s">
        <v>1320</v>
      </c>
      <c r="U151" s="284" t="s">
        <v>359</v>
      </c>
      <c r="V151" s="287">
        <v>0.1</v>
      </c>
      <c r="W151" s="284" t="s">
        <v>24</v>
      </c>
      <c r="X151" s="284"/>
      <c r="Y151" s="518" t="s">
        <v>2587</v>
      </c>
      <c r="Z151" s="284" t="s">
        <v>2436</v>
      </c>
      <c r="AA151" s="286">
        <f t="shared" si="23"/>
        <v>1.1628000000000001E-3</v>
      </c>
      <c r="AB151" s="283">
        <f>+(Tabla1[[#This Row],[ponderacion_meta]]*Tabla1[[#This Row],[ponderacion_accion]])/4*1</f>
        <v>2.9070000000000002E-4</v>
      </c>
      <c r="AC151" s="291">
        <f>+(Tabla1[[#This Row],[Avance PDI]]*100%)/Tabla1[[#This Row],[ponderacion_meta]]</f>
        <v>2.5000000000000001E-2</v>
      </c>
      <c r="AD151" s="279">
        <v>2.5405714285714285E-3</v>
      </c>
      <c r="AE151" s="279">
        <v>2.7848571428571427E-3</v>
      </c>
      <c r="AF151" s="279">
        <v>3.029142857142857E-3</v>
      </c>
      <c r="AG151" s="279">
        <v>3.2734285714285712E-3</v>
      </c>
      <c r="AH151" s="393">
        <f t="shared" si="21"/>
        <v>1.9088790000000005E-2</v>
      </c>
      <c r="AI151" s="393">
        <f t="shared" si="22"/>
        <v>4.2766666666666675E-2</v>
      </c>
      <c r="AJ151" s="318">
        <f t="shared" si="20"/>
        <v>4.2766666666666675E-2</v>
      </c>
      <c r="AK151" s="385">
        <v>4.3922900000000001E-3</v>
      </c>
      <c r="AL151" s="402">
        <f t="shared" si="24"/>
        <v>3.2499999999999994E-2</v>
      </c>
      <c r="AM151" s="325">
        <v>0</v>
      </c>
      <c r="AN151" s="411">
        <f t="shared" si="25"/>
        <v>4.6666666666666662E-2</v>
      </c>
      <c r="AO151" s="344" t="e">
        <f>+([1]!Tabla1[[#This Row],[ponderacion_accion]]/4)*AQ151</f>
        <v>#REF!</v>
      </c>
      <c r="AP151" s="344" t="e">
        <f>Tabla1[[#This Row],[ponderacion_meta]]*AO151</f>
        <v>#REF!</v>
      </c>
      <c r="AQ151" s="354">
        <v>1</v>
      </c>
      <c r="AR151" s="378">
        <v>0</v>
      </c>
      <c r="AS151" s="9"/>
      <c r="AT151" s="521">
        <v>0</v>
      </c>
    </row>
    <row r="152" spans="1:46" ht="15" customHeight="1" x14ac:dyDescent="0.35">
      <c r="A152" s="236" t="s">
        <v>1150</v>
      </c>
      <c r="B152" s="237" t="s">
        <v>148</v>
      </c>
      <c r="C152" s="237" t="s">
        <v>1719</v>
      </c>
      <c r="D152" s="237" t="s">
        <v>1157</v>
      </c>
      <c r="E152" s="172" t="s">
        <v>324</v>
      </c>
      <c r="F152" s="176" t="s">
        <v>2597</v>
      </c>
      <c r="G152" s="160" t="s">
        <v>334</v>
      </c>
      <c r="H152" s="160" t="s">
        <v>1731</v>
      </c>
      <c r="I152" s="23" t="s">
        <v>363</v>
      </c>
      <c r="J152" s="264">
        <v>1.1627999999999999E-2</v>
      </c>
      <c r="K152" s="24" t="s">
        <v>364</v>
      </c>
      <c r="L152" s="128">
        <v>342463466.67000002</v>
      </c>
      <c r="M152" s="128">
        <v>0</v>
      </c>
      <c r="N152" s="436"/>
      <c r="O152" s="436" t="s">
        <v>2622</v>
      </c>
      <c r="P152" s="189">
        <v>52</v>
      </c>
      <c r="Q152" s="190">
        <v>57</v>
      </c>
      <c r="R152" s="190">
        <v>62</v>
      </c>
      <c r="S152" s="190">
        <v>67</v>
      </c>
      <c r="T152" s="190" t="s">
        <v>1321</v>
      </c>
      <c r="U152" s="24" t="s">
        <v>366</v>
      </c>
      <c r="V152" s="31">
        <v>0.2</v>
      </c>
      <c r="W152" s="24" t="s">
        <v>367</v>
      </c>
      <c r="X152" s="24"/>
      <c r="Y152" s="23" t="s">
        <v>2587</v>
      </c>
      <c r="Z152" s="24" t="s">
        <v>2436</v>
      </c>
      <c r="AA152" s="238">
        <f t="shared" si="23"/>
        <v>2.3256000000000001E-3</v>
      </c>
      <c r="AB152" s="252">
        <v>0</v>
      </c>
      <c r="AC152" s="278">
        <f>+(Tabla1[[#This Row],[Avance PDI]]*100%)/Tabla1[[#This Row],[ponderacion_meta]]</f>
        <v>0</v>
      </c>
      <c r="AD152" s="279">
        <v>2.5405714285714285E-3</v>
      </c>
      <c r="AE152" s="279">
        <v>2.7848571428571427E-3</v>
      </c>
      <c r="AF152" s="279">
        <v>3.029142857142857E-3</v>
      </c>
      <c r="AG152" s="279">
        <v>3.2734285714285712E-3</v>
      </c>
      <c r="AH152" s="393">
        <f t="shared" si="21"/>
        <v>1.9088790000000005E-2</v>
      </c>
      <c r="AI152" s="393">
        <f t="shared" si="22"/>
        <v>4.2766666666666675E-2</v>
      </c>
      <c r="AJ152" s="318">
        <f t="shared" si="20"/>
        <v>4.2766666666666675E-2</v>
      </c>
      <c r="AK152" s="385">
        <v>4.3922900000000001E-3</v>
      </c>
      <c r="AL152" s="402">
        <f t="shared" si="24"/>
        <v>3.2499999999999994E-2</v>
      </c>
      <c r="AM152" s="325">
        <v>0</v>
      </c>
      <c r="AN152" s="411">
        <f t="shared" si="25"/>
        <v>4.6666666666666662E-2</v>
      </c>
      <c r="AO152" s="344" t="e">
        <f>+([1]!Tabla1[[#This Row],[ponderacion_accion]]/4)*AQ152</f>
        <v>#REF!</v>
      </c>
      <c r="AP152" s="344" t="e">
        <f>Tabla1[[#This Row],[ponderacion_meta]]*AO152</f>
        <v>#REF!</v>
      </c>
      <c r="AQ152" s="354"/>
      <c r="AR152" s="378">
        <v>0</v>
      </c>
      <c r="AS152" s="9"/>
      <c r="AT152" s="521">
        <v>0</v>
      </c>
    </row>
    <row r="153" spans="1:46" ht="15" customHeight="1" x14ac:dyDescent="0.35">
      <c r="A153" s="236" t="s">
        <v>1150</v>
      </c>
      <c r="B153" s="237" t="s">
        <v>148</v>
      </c>
      <c r="C153" s="237" t="s">
        <v>1719</v>
      </c>
      <c r="D153" s="237" t="s">
        <v>1157</v>
      </c>
      <c r="E153" s="172" t="s">
        <v>324</v>
      </c>
      <c r="F153" s="176" t="s">
        <v>2597</v>
      </c>
      <c r="G153" s="160" t="s">
        <v>334</v>
      </c>
      <c r="H153" s="160" t="s">
        <v>1731</v>
      </c>
      <c r="I153" s="23" t="s">
        <v>363</v>
      </c>
      <c r="J153" s="264">
        <v>1.1627999999999999E-2</v>
      </c>
      <c r="K153" s="24" t="s">
        <v>364</v>
      </c>
      <c r="L153" s="128">
        <v>342463466.67000002</v>
      </c>
      <c r="M153" s="128">
        <v>0</v>
      </c>
      <c r="N153" s="436"/>
      <c r="O153" s="436" t="s">
        <v>2622</v>
      </c>
      <c r="P153" s="189">
        <v>52</v>
      </c>
      <c r="Q153" s="190">
        <v>57</v>
      </c>
      <c r="R153" s="190">
        <v>62</v>
      </c>
      <c r="S153" s="190">
        <v>67</v>
      </c>
      <c r="T153" s="190" t="s">
        <v>1322</v>
      </c>
      <c r="U153" s="24" t="s">
        <v>368</v>
      </c>
      <c r="V153" s="31">
        <v>0.6</v>
      </c>
      <c r="W153" s="24" t="s">
        <v>88</v>
      </c>
      <c r="X153" s="24"/>
      <c r="Y153" s="23" t="s">
        <v>2587</v>
      </c>
      <c r="Z153" s="24" t="s">
        <v>2436</v>
      </c>
      <c r="AA153" s="238">
        <f t="shared" si="23"/>
        <v>6.9767999999999991E-3</v>
      </c>
      <c r="AB153" s="252">
        <v>0</v>
      </c>
      <c r="AC153" s="278">
        <f>+(Tabla1[[#This Row],[Avance PDI]]*100%)/Tabla1[[#This Row],[ponderacion_meta]]</f>
        <v>0</v>
      </c>
      <c r="AD153" s="279">
        <v>2.5405714285714285E-3</v>
      </c>
      <c r="AE153" s="279">
        <v>2.7848571428571427E-3</v>
      </c>
      <c r="AF153" s="279">
        <v>3.029142857142857E-3</v>
      </c>
      <c r="AG153" s="279">
        <v>3.2734285714285712E-3</v>
      </c>
      <c r="AH153" s="393">
        <f t="shared" si="21"/>
        <v>1.9088790000000005E-2</v>
      </c>
      <c r="AI153" s="393">
        <f t="shared" si="22"/>
        <v>4.2766666666666675E-2</v>
      </c>
      <c r="AJ153" s="318">
        <f t="shared" si="20"/>
        <v>4.2766666666666675E-2</v>
      </c>
      <c r="AK153" s="385">
        <v>4.3922900000000001E-3</v>
      </c>
      <c r="AL153" s="402">
        <f t="shared" si="24"/>
        <v>3.2499999999999994E-2</v>
      </c>
      <c r="AM153" s="325">
        <v>0</v>
      </c>
      <c r="AN153" s="411">
        <f t="shared" si="25"/>
        <v>4.6666666666666662E-2</v>
      </c>
      <c r="AO153" s="345" t="e">
        <f>+([1]!Tabla1[[#This Row],[ponderacion_accion]]/4)*AQ153</f>
        <v>#REF!</v>
      </c>
      <c r="AP153" s="345" t="e">
        <f>Tabla1[[#This Row],[ponderacion_meta]]*AO153</f>
        <v>#REF!</v>
      </c>
      <c r="AQ153" s="357"/>
      <c r="AR153" s="379">
        <v>0</v>
      </c>
      <c r="AS153" s="9"/>
      <c r="AT153" s="521">
        <v>0</v>
      </c>
    </row>
    <row r="154" spans="1:46" ht="15" customHeight="1" x14ac:dyDescent="0.35">
      <c r="A154" s="236" t="s">
        <v>1150</v>
      </c>
      <c r="B154" s="237" t="s">
        <v>148</v>
      </c>
      <c r="C154" s="237" t="s">
        <v>1719</v>
      </c>
      <c r="D154" s="237" t="s">
        <v>1157</v>
      </c>
      <c r="E154" s="172" t="s">
        <v>324</v>
      </c>
      <c r="F154" s="176" t="s">
        <v>2597</v>
      </c>
      <c r="G154" s="160" t="s">
        <v>334</v>
      </c>
      <c r="H154" s="160" t="s">
        <v>1731</v>
      </c>
      <c r="I154" s="14" t="s">
        <v>369</v>
      </c>
      <c r="J154" s="265">
        <v>1.1627999999999999E-2</v>
      </c>
      <c r="K154" s="26" t="s">
        <v>370</v>
      </c>
      <c r="L154" s="127">
        <v>262746666.66999999</v>
      </c>
      <c r="M154" s="127">
        <v>0</v>
      </c>
      <c r="N154" s="435"/>
      <c r="O154" s="435" t="s">
        <v>2622</v>
      </c>
      <c r="P154" s="191">
        <v>15</v>
      </c>
      <c r="Q154" s="188">
        <v>20</v>
      </c>
      <c r="R154" s="188">
        <v>35</v>
      </c>
      <c r="S154" s="188">
        <v>35</v>
      </c>
      <c r="T154" s="188" t="s">
        <v>1323</v>
      </c>
      <c r="U154" s="284" t="s">
        <v>371</v>
      </c>
      <c r="V154" s="285">
        <v>0.2</v>
      </c>
      <c r="W154" s="284" t="s">
        <v>358</v>
      </c>
      <c r="X154" s="284"/>
      <c r="Y154" s="518" t="s">
        <v>2587</v>
      </c>
      <c r="Z154" s="284" t="s">
        <v>2548</v>
      </c>
      <c r="AA154" s="286">
        <f t="shared" si="23"/>
        <v>2.3256000000000001E-3</v>
      </c>
      <c r="AB154" s="288">
        <f>+(Tabla1[[#This Row],[ponderacion_meta]]*Tabla1[[#This Row],[ponderacion_accion]])/4*1</f>
        <v>5.8140000000000004E-4</v>
      </c>
      <c r="AC154" s="262">
        <f>+(Tabla1[[#This Row],[Avance PDI]]*100%)/Tabla1[[#This Row],[ponderacion_meta]]</f>
        <v>0.05</v>
      </c>
      <c r="AD154" s="257">
        <f>+Tabla1[[#This Row],[ponderacion_meta]]/105*15</f>
        <v>1.6611428571428571E-3</v>
      </c>
      <c r="AE154" s="257">
        <f>+Tabla1[[#This Row],[ponderacion_meta]]/105*20</f>
        <v>2.214857142857143E-3</v>
      </c>
      <c r="AF154" s="257">
        <f>+Tabla1[[#This Row],[ponderacion_meta]]/105*35</f>
        <v>3.8760000000000001E-3</v>
      </c>
      <c r="AG154" s="257">
        <f>+Tabla1[[#This Row],[ponderacion_meta]]/105*35</f>
        <v>3.8760000000000001E-3</v>
      </c>
      <c r="AH154" s="393">
        <f t="shared" si="21"/>
        <v>1.9088790000000005E-2</v>
      </c>
      <c r="AI154" s="393">
        <f t="shared" si="22"/>
        <v>4.2766666666666675E-2</v>
      </c>
      <c r="AJ154" s="318">
        <f t="shared" si="20"/>
        <v>4.2766666666666675E-2</v>
      </c>
      <c r="AK154" s="385">
        <v>4.3922900000000001E-3</v>
      </c>
      <c r="AL154" s="402">
        <f t="shared" si="24"/>
        <v>3.2499999999999994E-2</v>
      </c>
      <c r="AM154" s="325">
        <v>0</v>
      </c>
      <c r="AN154" s="411">
        <f t="shared" si="25"/>
        <v>4.6666666666666662E-2</v>
      </c>
      <c r="AO154" s="358" t="e">
        <f>+([1]!Tabla1[[#This Row],[ponderacion_accion]]/4)*AQ154</f>
        <v>#REF!</v>
      </c>
      <c r="AP154" s="358" t="e">
        <f>Tabla1[[#This Row],[ponderacion_meta]]*AO154</f>
        <v>#REF!</v>
      </c>
      <c r="AQ154" s="361">
        <v>1</v>
      </c>
      <c r="AR154" s="380">
        <v>85073721.165000007</v>
      </c>
      <c r="AS154" s="7" t="e">
        <f>+((SUM(AO154:AO156)*100)/50)</f>
        <v>#REF!</v>
      </c>
      <c r="AT154" s="521">
        <v>0</v>
      </c>
    </row>
    <row r="155" spans="1:46" ht="15" customHeight="1" x14ac:dyDescent="0.35">
      <c r="A155" s="236" t="s">
        <v>1150</v>
      </c>
      <c r="B155" s="237" t="s">
        <v>148</v>
      </c>
      <c r="C155" s="237" t="s">
        <v>1719</v>
      </c>
      <c r="D155" s="237" t="s">
        <v>1157</v>
      </c>
      <c r="E155" s="172" t="s">
        <v>324</v>
      </c>
      <c r="F155" s="176" t="s">
        <v>2597</v>
      </c>
      <c r="G155" s="160" t="s">
        <v>334</v>
      </c>
      <c r="H155" s="160" t="s">
        <v>1731</v>
      </c>
      <c r="I155" s="14" t="s">
        <v>369</v>
      </c>
      <c r="J155" s="265">
        <v>1.1627999999999999E-2</v>
      </c>
      <c r="K155" s="26" t="s">
        <v>370</v>
      </c>
      <c r="L155" s="127">
        <v>262746666.66999999</v>
      </c>
      <c r="M155" s="127">
        <v>0</v>
      </c>
      <c r="N155" s="435"/>
      <c r="O155" s="435" t="s">
        <v>2622</v>
      </c>
      <c r="P155" s="191">
        <v>15</v>
      </c>
      <c r="Q155" s="188">
        <v>20</v>
      </c>
      <c r="R155" s="188">
        <v>35</v>
      </c>
      <c r="S155" s="188">
        <v>35</v>
      </c>
      <c r="T155" s="188" t="s">
        <v>1324</v>
      </c>
      <c r="U155" s="26" t="s">
        <v>372</v>
      </c>
      <c r="V155" s="15">
        <v>0.6</v>
      </c>
      <c r="W155" s="26" t="s">
        <v>202</v>
      </c>
      <c r="X155" s="26"/>
      <c r="Y155" s="14" t="s">
        <v>2587</v>
      </c>
      <c r="Z155" s="26" t="s">
        <v>2548</v>
      </c>
      <c r="AA155" s="239">
        <f t="shared" si="23"/>
        <v>6.9767999999999991E-3</v>
      </c>
      <c r="AB155" s="252">
        <v>0</v>
      </c>
      <c r="AC155" s="262">
        <f>+(Tabla1[[#This Row],[Avance PDI]]*100%)/Tabla1[[#This Row],[ponderacion_meta]]</f>
        <v>0</v>
      </c>
      <c r="AD155" s="257">
        <v>1.6611428571428571E-3</v>
      </c>
      <c r="AE155" s="257">
        <v>2.214857142857143E-3</v>
      </c>
      <c r="AF155" s="257">
        <v>3.8760000000000001E-3</v>
      </c>
      <c r="AG155" s="257">
        <v>3.8760000000000001E-3</v>
      </c>
      <c r="AH155" s="393">
        <f t="shared" si="21"/>
        <v>1.9088790000000005E-2</v>
      </c>
      <c r="AI155" s="393">
        <f t="shared" si="22"/>
        <v>4.2766666666666675E-2</v>
      </c>
      <c r="AJ155" s="318">
        <f t="shared" si="20"/>
        <v>4.2766666666666675E-2</v>
      </c>
      <c r="AK155" s="385">
        <v>4.3922900000000001E-3</v>
      </c>
      <c r="AL155" s="402">
        <f t="shared" si="24"/>
        <v>3.2499999999999994E-2</v>
      </c>
      <c r="AM155" s="325">
        <v>0</v>
      </c>
      <c r="AN155" s="411">
        <f t="shared" si="25"/>
        <v>4.6666666666666662E-2</v>
      </c>
      <c r="AO155" s="359" t="e">
        <f>+([1]!Tabla1[[#This Row],[ponderacion_accion]]/4)*AQ155</f>
        <v>#REF!</v>
      </c>
      <c r="AP155" s="359" t="e">
        <f>Tabla1[[#This Row],[ponderacion_meta]]*AO155</f>
        <v>#REF!</v>
      </c>
      <c r="AQ155" s="351"/>
      <c r="AR155" s="380">
        <v>0</v>
      </c>
      <c r="AS155" s="9"/>
      <c r="AT155" s="521">
        <v>0</v>
      </c>
    </row>
    <row r="156" spans="1:46" ht="15" customHeight="1" x14ac:dyDescent="0.35">
      <c r="A156" s="236" t="s">
        <v>1150</v>
      </c>
      <c r="B156" s="237" t="s">
        <v>148</v>
      </c>
      <c r="C156" s="237" t="s">
        <v>1719</v>
      </c>
      <c r="D156" s="237" t="s">
        <v>1157</v>
      </c>
      <c r="E156" s="172" t="s">
        <v>324</v>
      </c>
      <c r="F156" s="176" t="s">
        <v>2597</v>
      </c>
      <c r="G156" s="160" t="s">
        <v>334</v>
      </c>
      <c r="H156" s="160" t="s">
        <v>1731</v>
      </c>
      <c r="I156" s="14" t="s">
        <v>369</v>
      </c>
      <c r="J156" s="265">
        <v>1.1627999999999999E-2</v>
      </c>
      <c r="K156" s="26" t="s">
        <v>370</v>
      </c>
      <c r="L156" s="127">
        <v>262746666.66999999</v>
      </c>
      <c r="M156" s="127">
        <v>0</v>
      </c>
      <c r="N156" s="435"/>
      <c r="O156" s="435" t="s">
        <v>2622</v>
      </c>
      <c r="P156" s="191">
        <v>15</v>
      </c>
      <c r="Q156" s="188">
        <v>20</v>
      </c>
      <c r="R156" s="188">
        <v>35</v>
      </c>
      <c r="S156" s="188">
        <v>35</v>
      </c>
      <c r="T156" s="188" t="s">
        <v>1325</v>
      </c>
      <c r="U156" s="26" t="s">
        <v>373</v>
      </c>
      <c r="V156" s="15">
        <v>0.2</v>
      </c>
      <c r="W156" s="26" t="s">
        <v>374</v>
      </c>
      <c r="X156" s="26"/>
      <c r="Y156" s="14" t="s">
        <v>2587</v>
      </c>
      <c r="Z156" s="26" t="s">
        <v>2548</v>
      </c>
      <c r="AA156" s="239">
        <f t="shared" si="23"/>
        <v>2.3256000000000001E-3</v>
      </c>
      <c r="AB156" s="252">
        <v>0</v>
      </c>
      <c r="AC156" s="262">
        <f>+(Tabla1[[#This Row],[Avance PDI]]*100%)/Tabla1[[#This Row],[ponderacion_meta]]</f>
        <v>0</v>
      </c>
      <c r="AD156" s="257">
        <v>1.6611428571428571E-3</v>
      </c>
      <c r="AE156" s="257">
        <v>2.214857142857143E-3</v>
      </c>
      <c r="AF156" s="257">
        <v>3.8760000000000001E-3</v>
      </c>
      <c r="AG156" s="257">
        <v>3.8760000000000001E-3</v>
      </c>
      <c r="AH156" s="393">
        <f t="shared" si="21"/>
        <v>1.9088790000000005E-2</v>
      </c>
      <c r="AI156" s="393">
        <f t="shared" si="22"/>
        <v>4.2766666666666675E-2</v>
      </c>
      <c r="AJ156" s="318">
        <f t="shared" si="20"/>
        <v>4.2766666666666675E-2</v>
      </c>
      <c r="AK156" s="385">
        <v>4.3922900000000001E-3</v>
      </c>
      <c r="AL156" s="402">
        <f t="shared" si="24"/>
        <v>3.2499999999999994E-2</v>
      </c>
      <c r="AM156" s="325">
        <v>0</v>
      </c>
      <c r="AN156" s="411">
        <f t="shared" si="25"/>
        <v>4.6666666666666662E-2</v>
      </c>
      <c r="AO156" s="360" t="e">
        <f>+([1]!Tabla1[[#This Row],[ponderacion_accion]]/4)*AQ156</f>
        <v>#REF!</v>
      </c>
      <c r="AP156" s="360" t="e">
        <f>Tabla1[[#This Row],[ponderacion_meta]]*AO156</f>
        <v>#REF!</v>
      </c>
      <c r="AQ156" s="356"/>
      <c r="AR156" s="380">
        <v>0</v>
      </c>
      <c r="AS156" s="9"/>
      <c r="AT156" s="521">
        <v>0</v>
      </c>
    </row>
    <row r="157" spans="1:46" ht="15" customHeight="1" x14ac:dyDescent="0.35">
      <c r="A157" s="236" t="s">
        <v>1150</v>
      </c>
      <c r="B157" s="237" t="s">
        <v>148</v>
      </c>
      <c r="C157" s="237" t="s">
        <v>1719</v>
      </c>
      <c r="D157" s="237" t="s">
        <v>1157</v>
      </c>
      <c r="E157" s="172" t="s">
        <v>324</v>
      </c>
      <c r="F157" s="176" t="s">
        <v>2597</v>
      </c>
      <c r="G157" s="160" t="s">
        <v>334</v>
      </c>
      <c r="H157" s="160" t="s">
        <v>1731</v>
      </c>
      <c r="I157" s="23" t="s">
        <v>375</v>
      </c>
      <c r="J157" s="264">
        <v>1.1627999999999999E-2</v>
      </c>
      <c r="K157" s="24" t="s">
        <v>376</v>
      </c>
      <c r="L157" s="128" t="s">
        <v>1135</v>
      </c>
      <c r="M157" s="128">
        <v>0</v>
      </c>
      <c r="N157" s="436"/>
      <c r="O157" s="436" t="s">
        <v>2622</v>
      </c>
      <c r="P157" s="192">
        <v>1</v>
      </c>
      <c r="Q157" s="193">
        <v>1</v>
      </c>
      <c r="R157" s="193">
        <v>1</v>
      </c>
      <c r="S157" s="193">
        <v>1</v>
      </c>
      <c r="T157" s="193" t="s">
        <v>1326</v>
      </c>
      <c r="U157" s="284" t="s">
        <v>377</v>
      </c>
      <c r="V157" s="285">
        <v>0.2</v>
      </c>
      <c r="W157" s="284" t="s">
        <v>358</v>
      </c>
      <c r="X157" s="284"/>
      <c r="Y157" s="518" t="s">
        <v>2587</v>
      </c>
      <c r="Z157" s="284" t="s">
        <v>2548</v>
      </c>
      <c r="AA157" s="286">
        <f t="shared" si="23"/>
        <v>2.3256000000000001E-3</v>
      </c>
      <c r="AB157" s="254">
        <f>+(Tabla1[[#This Row],[ponderacion_meta]]*Tabla1[[#This Row],[ponderacion_accion]])/4*1</f>
        <v>5.8140000000000004E-4</v>
      </c>
      <c r="AC157" s="278">
        <f>+(Tabla1[[#This Row],[Avance PDI]]*100%)/Tabla1[[#This Row],[ponderacion_meta]]</f>
        <v>0.05</v>
      </c>
      <c r="AD157" s="279">
        <f>+Tabla1[[#This Row],[ponderacion_meta]]/4</f>
        <v>2.9069999999999999E-3</v>
      </c>
      <c r="AE157" s="279">
        <f>+Tabla1[[#This Row],[ponderacion_meta]]/4</f>
        <v>2.9069999999999999E-3</v>
      </c>
      <c r="AF157" s="279">
        <f>+Tabla1[[#This Row],[ponderacion_meta]]/4</f>
        <v>2.9069999999999999E-3</v>
      </c>
      <c r="AG157" s="279">
        <f>+Tabla1[[#This Row],[ponderacion_meta]]/4</f>
        <v>2.9069999999999999E-3</v>
      </c>
      <c r="AH157" s="393">
        <f t="shared" si="21"/>
        <v>1.9088790000000005E-2</v>
      </c>
      <c r="AI157" s="393">
        <f t="shared" si="22"/>
        <v>4.2766666666666675E-2</v>
      </c>
      <c r="AJ157" s="318">
        <f t="shared" si="20"/>
        <v>4.2766666666666675E-2</v>
      </c>
      <c r="AK157" s="385">
        <v>4.3922900000000001E-3</v>
      </c>
      <c r="AL157" s="402">
        <f t="shared" si="24"/>
        <v>3.2499999999999994E-2</v>
      </c>
      <c r="AM157" s="325">
        <v>0</v>
      </c>
      <c r="AN157" s="411">
        <f t="shared" si="25"/>
        <v>4.6666666666666662E-2</v>
      </c>
      <c r="AO157" s="343" t="e">
        <f>+([1]!Tabla1[[#This Row],[ponderacion_accion]]/4)*AQ157</f>
        <v>#REF!</v>
      </c>
      <c r="AP157" s="343" t="e">
        <f>Tabla1[[#This Row],[ponderacion_meta]]*AO157</f>
        <v>#REF!</v>
      </c>
      <c r="AQ157" s="353">
        <v>1</v>
      </c>
      <c r="AR157" s="377">
        <v>10213787.5</v>
      </c>
      <c r="AS157" s="7" t="e">
        <f>+((SUM(AO157:AO159)*100)/50)</f>
        <v>#REF!</v>
      </c>
      <c r="AT157" s="521">
        <v>0</v>
      </c>
    </row>
    <row r="158" spans="1:46" ht="15" customHeight="1" x14ac:dyDescent="0.35">
      <c r="A158" s="236" t="s">
        <v>1150</v>
      </c>
      <c r="B158" s="237" t="s">
        <v>148</v>
      </c>
      <c r="C158" s="237" t="s">
        <v>1719</v>
      </c>
      <c r="D158" s="237" t="s">
        <v>1157</v>
      </c>
      <c r="E158" s="172" t="s">
        <v>324</v>
      </c>
      <c r="F158" s="176" t="s">
        <v>2597</v>
      </c>
      <c r="G158" s="160" t="s">
        <v>334</v>
      </c>
      <c r="H158" s="160" t="s">
        <v>1731</v>
      </c>
      <c r="I158" s="23" t="s">
        <v>375</v>
      </c>
      <c r="J158" s="264">
        <v>1.1627999999999999E-2</v>
      </c>
      <c r="K158" s="24" t="s">
        <v>376</v>
      </c>
      <c r="L158" s="128" t="s">
        <v>1135</v>
      </c>
      <c r="M158" s="128">
        <v>0</v>
      </c>
      <c r="N158" s="436"/>
      <c r="O158" s="436" t="s">
        <v>2622</v>
      </c>
      <c r="P158" s="192">
        <v>1</v>
      </c>
      <c r="Q158" s="193">
        <v>1</v>
      </c>
      <c r="R158" s="193">
        <v>1</v>
      </c>
      <c r="S158" s="193">
        <v>1</v>
      </c>
      <c r="T158" s="193" t="s">
        <v>1327</v>
      </c>
      <c r="U158" s="24" t="s">
        <v>378</v>
      </c>
      <c r="V158" s="25">
        <v>0.2</v>
      </c>
      <c r="W158" s="24" t="s">
        <v>379</v>
      </c>
      <c r="X158" s="24"/>
      <c r="Y158" s="23" t="s">
        <v>2587</v>
      </c>
      <c r="Z158" s="24" t="s">
        <v>2548</v>
      </c>
      <c r="AA158" s="238">
        <f t="shared" si="23"/>
        <v>2.3256000000000001E-3</v>
      </c>
      <c r="AB158" s="252">
        <v>0</v>
      </c>
      <c r="AC158" s="278">
        <f>+(Tabla1[[#This Row],[Avance PDI]]*100%)/Tabla1[[#This Row],[ponderacion_meta]]</f>
        <v>0</v>
      </c>
      <c r="AD158" s="279">
        <v>2.9069999999999999E-3</v>
      </c>
      <c r="AE158" s="279">
        <v>2.9069999999999999E-3</v>
      </c>
      <c r="AF158" s="279">
        <v>2.9069999999999999E-3</v>
      </c>
      <c r="AG158" s="279">
        <v>2.9069999999999999E-3</v>
      </c>
      <c r="AH158" s="393">
        <f t="shared" si="21"/>
        <v>1.9088790000000005E-2</v>
      </c>
      <c r="AI158" s="393">
        <f t="shared" si="22"/>
        <v>4.2766666666666675E-2</v>
      </c>
      <c r="AJ158" s="318">
        <f t="shared" si="20"/>
        <v>4.2766666666666675E-2</v>
      </c>
      <c r="AK158" s="385">
        <v>4.3922900000000001E-3</v>
      </c>
      <c r="AL158" s="402">
        <f t="shared" si="24"/>
        <v>3.2499999999999994E-2</v>
      </c>
      <c r="AM158" s="325">
        <v>0</v>
      </c>
      <c r="AN158" s="411">
        <f t="shared" si="25"/>
        <v>4.6666666666666662E-2</v>
      </c>
      <c r="AO158" s="344" t="e">
        <f>+([1]!Tabla1[[#This Row],[ponderacion_accion]]/4)*AQ158</f>
        <v>#REF!</v>
      </c>
      <c r="AP158" s="344" t="e">
        <f>Tabla1[[#This Row],[ponderacion_meta]]*AO158</f>
        <v>#REF!</v>
      </c>
      <c r="AQ158" s="354"/>
      <c r="AR158" s="378">
        <v>0</v>
      </c>
      <c r="AS158" s="9"/>
      <c r="AT158" s="521">
        <v>0</v>
      </c>
    </row>
    <row r="159" spans="1:46" ht="15" customHeight="1" x14ac:dyDescent="0.35">
      <c r="A159" s="236" t="s">
        <v>1150</v>
      </c>
      <c r="B159" s="237" t="s">
        <v>148</v>
      </c>
      <c r="C159" s="237" t="s">
        <v>1719</v>
      </c>
      <c r="D159" s="237" t="s">
        <v>1157</v>
      </c>
      <c r="E159" s="172" t="s">
        <v>324</v>
      </c>
      <c r="F159" s="176" t="s">
        <v>2597</v>
      </c>
      <c r="G159" s="160" t="s">
        <v>334</v>
      </c>
      <c r="H159" s="160" t="s">
        <v>1731</v>
      </c>
      <c r="I159" s="23" t="s">
        <v>375</v>
      </c>
      <c r="J159" s="264">
        <v>1.1627999999999999E-2</v>
      </c>
      <c r="K159" s="24" t="s">
        <v>376</v>
      </c>
      <c r="L159" s="128" t="s">
        <v>1135</v>
      </c>
      <c r="M159" s="128">
        <v>0</v>
      </c>
      <c r="N159" s="436"/>
      <c r="O159" s="436" t="s">
        <v>2622</v>
      </c>
      <c r="P159" s="192">
        <v>1</v>
      </c>
      <c r="Q159" s="193">
        <v>1</v>
      </c>
      <c r="R159" s="193">
        <v>1</v>
      </c>
      <c r="S159" s="193">
        <v>1</v>
      </c>
      <c r="T159" s="193" t="s">
        <v>1328</v>
      </c>
      <c r="U159" s="24" t="s">
        <v>380</v>
      </c>
      <c r="V159" s="25">
        <v>0.6</v>
      </c>
      <c r="W159" s="24" t="s">
        <v>132</v>
      </c>
      <c r="X159" s="24"/>
      <c r="Y159" s="23" t="s">
        <v>2587</v>
      </c>
      <c r="Z159" s="24" t="s">
        <v>2548</v>
      </c>
      <c r="AA159" s="238">
        <f t="shared" si="23"/>
        <v>6.9767999999999991E-3</v>
      </c>
      <c r="AB159" s="252">
        <v>0</v>
      </c>
      <c r="AC159" s="278">
        <f>+(Tabla1[[#This Row],[Avance PDI]]*100%)/Tabla1[[#This Row],[ponderacion_meta]]</f>
        <v>0</v>
      </c>
      <c r="AD159" s="279">
        <v>2.9069999999999999E-3</v>
      </c>
      <c r="AE159" s="279">
        <v>2.9069999999999999E-3</v>
      </c>
      <c r="AF159" s="279">
        <v>2.9069999999999999E-3</v>
      </c>
      <c r="AG159" s="279">
        <v>2.9069999999999999E-3</v>
      </c>
      <c r="AH159" s="393">
        <f t="shared" si="21"/>
        <v>1.9088790000000005E-2</v>
      </c>
      <c r="AI159" s="393">
        <f t="shared" si="22"/>
        <v>4.2766666666666675E-2</v>
      </c>
      <c r="AJ159" s="318">
        <f t="shared" si="20"/>
        <v>4.2766666666666675E-2</v>
      </c>
      <c r="AK159" s="385">
        <v>4.3922900000000001E-3</v>
      </c>
      <c r="AL159" s="402">
        <f t="shared" si="24"/>
        <v>3.2499999999999994E-2</v>
      </c>
      <c r="AM159" s="325">
        <v>0</v>
      </c>
      <c r="AN159" s="411">
        <f t="shared" si="25"/>
        <v>4.6666666666666662E-2</v>
      </c>
      <c r="AO159" s="345" t="e">
        <f>+([1]!Tabla1[[#This Row],[ponderacion_accion]]/4)*AQ159</f>
        <v>#REF!</v>
      </c>
      <c r="AP159" s="345" t="e">
        <f>Tabla1[[#This Row],[ponderacion_meta]]*AO159</f>
        <v>#REF!</v>
      </c>
      <c r="AQ159" s="357"/>
      <c r="AR159" s="379">
        <v>0</v>
      </c>
      <c r="AS159" s="9"/>
      <c r="AT159" s="521">
        <v>0</v>
      </c>
    </row>
    <row r="160" spans="1:46" ht="15" customHeight="1" x14ac:dyDescent="0.35">
      <c r="A160" s="236" t="s">
        <v>1150</v>
      </c>
      <c r="B160" s="237" t="s">
        <v>148</v>
      </c>
      <c r="C160" s="237" t="s">
        <v>1719</v>
      </c>
      <c r="D160" s="237" t="s">
        <v>1157</v>
      </c>
      <c r="E160" s="172" t="s">
        <v>324</v>
      </c>
      <c r="F160" s="156" t="s">
        <v>2598</v>
      </c>
      <c r="G160" s="159" t="s">
        <v>381</v>
      </c>
      <c r="H160" s="417" t="s">
        <v>1730</v>
      </c>
      <c r="I160" s="14" t="s">
        <v>382</v>
      </c>
      <c r="J160" s="265">
        <v>6.4939999999999998E-3</v>
      </c>
      <c r="K160" s="26" t="s">
        <v>383</v>
      </c>
      <c r="L160" s="127">
        <v>228163000</v>
      </c>
      <c r="M160" s="127">
        <v>0</v>
      </c>
      <c r="N160" s="435"/>
      <c r="O160" s="435" t="s">
        <v>2622</v>
      </c>
      <c r="P160" s="194">
        <v>4</v>
      </c>
      <c r="Q160" s="195">
        <v>4</v>
      </c>
      <c r="R160" s="195">
        <v>4</v>
      </c>
      <c r="S160" s="195">
        <v>4</v>
      </c>
      <c r="T160" s="195" t="s">
        <v>1329</v>
      </c>
      <c r="U160" s="284" t="s">
        <v>384</v>
      </c>
      <c r="V160" s="285">
        <v>0.2</v>
      </c>
      <c r="W160" s="284" t="s">
        <v>385</v>
      </c>
      <c r="X160" s="284"/>
      <c r="Y160" s="518" t="s">
        <v>2587</v>
      </c>
      <c r="Z160" s="284" t="s">
        <v>2548</v>
      </c>
      <c r="AA160" s="286">
        <f t="shared" si="23"/>
        <v>1.2988000000000001E-3</v>
      </c>
      <c r="AB160" s="254">
        <f>+(Tabla1[[#This Row],[ponderacion_meta]]*Tabla1[[#This Row],[ponderacion_accion]])/4*1</f>
        <v>3.2470000000000003E-4</v>
      </c>
      <c r="AC160" s="262">
        <f>+(Tabla1[[#This Row],[Avance PDI]]*100%)/Tabla1[[#This Row],[ponderacion_meta]]</f>
        <v>5.000000000000001E-2</v>
      </c>
      <c r="AD160" s="257">
        <f>+Tabla1[[#This Row],[ponderacion_meta]]/4</f>
        <v>1.6234999999999999E-3</v>
      </c>
      <c r="AE160" s="257">
        <f>+Tabla1[[#This Row],[ponderacion_meta]]/4</f>
        <v>1.6234999999999999E-3</v>
      </c>
      <c r="AF160" s="257">
        <f>+Tabla1[[#This Row],[ponderacion_meta]]/4</f>
        <v>1.6234999999999999E-3</v>
      </c>
      <c r="AG160" s="257">
        <f>+Tabla1[[#This Row],[ponderacion_meta]]/4</f>
        <v>1.6234999999999999E-3</v>
      </c>
      <c r="AH160" s="393">
        <f t="shared" si="21"/>
        <v>1.9088790000000005E-2</v>
      </c>
      <c r="AI160" s="393">
        <f t="shared" si="22"/>
        <v>4.2766666666666675E-2</v>
      </c>
      <c r="AJ160" s="318">
        <f t="shared" si="20"/>
        <v>4.2766666666666675E-2</v>
      </c>
      <c r="AK160" s="385">
        <v>4.3922900000000001E-3</v>
      </c>
      <c r="AL160" s="402">
        <f t="shared" si="24"/>
        <v>3.2499999999999994E-2</v>
      </c>
      <c r="AM160" s="326">
        <f>+SUM(AB160:AB162)</f>
        <v>3.2470000000000003E-4</v>
      </c>
      <c r="AN160" s="410">
        <f>+SUM(AC160:AC162)/1</f>
        <v>5.000000000000001E-2</v>
      </c>
      <c r="AO160" s="358" t="e">
        <f>+([1]!Tabla1[[#This Row],[ponderacion_accion]]/16)*AQ160</f>
        <v>#REF!</v>
      </c>
      <c r="AP160" s="358" t="e">
        <f>Tabla1[[#This Row],[ponderacion_meta]]*AO160</f>
        <v>#REF!</v>
      </c>
      <c r="AQ160" s="361">
        <v>4</v>
      </c>
      <c r="AR160" s="380">
        <v>85073721.165000007</v>
      </c>
      <c r="AS160" s="7" t="e">
        <f>+((SUM(AO160:AO162)*100)/50)</f>
        <v>#REF!</v>
      </c>
      <c r="AT160" s="521">
        <v>0</v>
      </c>
    </row>
    <row r="161" spans="1:46" ht="15" customHeight="1" x14ac:dyDescent="0.35">
      <c r="A161" s="236" t="s">
        <v>1150</v>
      </c>
      <c r="B161" s="237" t="s">
        <v>148</v>
      </c>
      <c r="C161" s="237" t="s">
        <v>1719</v>
      </c>
      <c r="D161" s="237" t="s">
        <v>1157</v>
      </c>
      <c r="E161" s="172" t="s">
        <v>324</v>
      </c>
      <c r="F161" s="156" t="s">
        <v>2598</v>
      </c>
      <c r="G161" s="159" t="s">
        <v>381</v>
      </c>
      <c r="H161" s="159" t="s">
        <v>1730</v>
      </c>
      <c r="I161" s="14" t="s">
        <v>382</v>
      </c>
      <c r="J161" s="265">
        <v>6.4939999999999998E-3</v>
      </c>
      <c r="K161" s="26" t="s">
        <v>383</v>
      </c>
      <c r="L161" s="127">
        <v>228163000</v>
      </c>
      <c r="M161" s="127">
        <v>0</v>
      </c>
      <c r="N161" s="435"/>
      <c r="O161" s="435" t="s">
        <v>2622</v>
      </c>
      <c r="P161" s="194">
        <v>4</v>
      </c>
      <c r="Q161" s="195">
        <v>4</v>
      </c>
      <c r="R161" s="195">
        <v>4</v>
      </c>
      <c r="S161" s="195">
        <v>4</v>
      </c>
      <c r="T161" s="195" t="s">
        <v>1330</v>
      </c>
      <c r="U161" s="26" t="s">
        <v>386</v>
      </c>
      <c r="V161" s="15">
        <v>0.2</v>
      </c>
      <c r="W161" s="26" t="s">
        <v>387</v>
      </c>
      <c r="X161" s="26"/>
      <c r="Y161" s="14" t="s">
        <v>2587</v>
      </c>
      <c r="Z161" s="26" t="s">
        <v>2548</v>
      </c>
      <c r="AA161" s="239">
        <f t="shared" si="23"/>
        <v>1.2988000000000001E-3</v>
      </c>
      <c r="AB161" s="252">
        <v>0</v>
      </c>
      <c r="AC161" s="262">
        <f>+(Tabla1[[#This Row],[Avance PDI]]*100%)/Tabla1[[#This Row],[ponderacion_meta]]</f>
        <v>0</v>
      </c>
      <c r="AD161" s="257">
        <v>1.6234999999999999E-3</v>
      </c>
      <c r="AE161" s="257">
        <v>1.6234999999999999E-3</v>
      </c>
      <c r="AF161" s="257">
        <v>1.6234999999999999E-3</v>
      </c>
      <c r="AG161" s="257">
        <v>1.6234999999999999E-3</v>
      </c>
      <c r="AH161" s="393">
        <f t="shared" si="21"/>
        <v>1.9088790000000005E-2</v>
      </c>
      <c r="AI161" s="393">
        <f t="shared" si="22"/>
        <v>4.2766666666666675E-2</v>
      </c>
      <c r="AJ161" s="318">
        <f t="shared" si="20"/>
        <v>4.2766666666666675E-2</v>
      </c>
      <c r="AK161" s="385">
        <v>4.3922900000000001E-3</v>
      </c>
      <c r="AL161" s="402">
        <f t="shared" si="24"/>
        <v>3.2499999999999994E-2</v>
      </c>
      <c r="AM161" s="327">
        <v>0</v>
      </c>
      <c r="AN161" s="410">
        <f>$AN$160</f>
        <v>5.000000000000001E-2</v>
      </c>
      <c r="AO161" s="359" t="e">
        <f>+([1]!Tabla1[[#This Row],[ponderacion_accion]]/16)*AQ161</f>
        <v>#REF!</v>
      </c>
      <c r="AP161" s="359" t="e">
        <f>Tabla1[[#This Row],[ponderacion_meta]]*AO161</f>
        <v>#REF!</v>
      </c>
      <c r="AQ161" s="351"/>
      <c r="AR161" s="380">
        <v>0</v>
      </c>
      <c r="AS161" s="9"/>
      <c r="AT161" s="521">
        <v>0</v>
      </c>
    </row>
    <row r="162" spans="1:46" ht="15" customHeight="1" x14ac:dyDescent="0.35">
      <c r="A162" s="236" t="s">
        <v>1150</v>
      </c>
      <c r="B162" s="237" t="s">
        <v>148</v>
      </c>
      <c r="C162" s="237" t="s">
        <v>1719</v>
      </c>
      <c r="D162" s="237" t="s">
        <v>1157</v>
      </c>
      <c r="E162" s="172" t="s">
        <v>324</v>
      </c>
      <c r="F162" s="156" t="s">
        <v>2598</v>
      </c>
      <c r="G162" s="159" t="s">
        <v>381</v>
      </c>
      <c r="H162" s="159" t="s">
        <v>1730</v>
      </c>
      <c r="I162" s="14" t="s">
        <v>382</v>
      </c>
      <c r="J162" s="265">
        <v>6.4939999999999998E-3</v>
      </c>
      <c r="K162" s="26" t="s">
        <v>383</v>
      </c>
      <c r="L162" s="127">
        <v>228163000</v>
      </c>
      <c r="M162" s="127">
        <v>0</v>
      </c>
      <c r="N162" s="435"/>
      <c r="O162" s="435" t="s">
        <v>2622</v>
      </c>
      <c r="P162" s="194">
        <v>4</v>
      </c>
      <c r="Q162" s="195">
        <v>4</v>
      </c>
      <c r="R162" s="195">
        <v>4</v>
      </c>
      <c r="S162" s="195">
        <v>4</v>
      </c>
      <c r="T162" s="195" t="s">
        <v>1331</v>
      </c>
      <c r="U162" s="26" t="s">
        <v>388</v>
      </c>
      <c r="V162" s="15">
        <v>0.6</v>
      </c>
      <c r="W162" s="26" t="s">
        <v>389</v>
      </c>
      <c r="X162" s="26"/>
      <c r="Y162" s="14" t="s">
        <v>2587</v>
      </c>
      <c r="Z162" s="26" t="s">
        <v>2548</v>
      </c>
      <c r="AA162" s="239">
        <f t="shared" si="23"/>
        <v>3.8963999999999995E-3</v>
      </c>
      <c r="AB162" s="252">
        <v>0</v>
      </c>
      <c r="AC162" s="262">
        <f>+(Tabla1[[#This Row],[Avance PDI]]*100%)/Tabla1[[#This Row],[ponderacion_meta]]</f>
        <v>0</v>
      </c>
      <c r="AD162" s="257">
        <v>1.6234999999999999E-3</v>
      </c>
      <c r="AE162" s="257">
        <v>1.6234999999999999E-3</v>
      </c>
      <c r="AF162" s="257">
        <v>1.6234999999999999E-3</v>
      </c>
      <c r="AG162" s="257">
        <v>1.6234999999999999E-3</v>
      </c>
      <c r="AH162" s="393">
        <f t="shared" si="21"/>
        <v>1.9088790000000005E-2</v>
      </c>
      <c r="AI162" s="393">
        <f t="shared" si="22"/>
        <v>4.2766666666666675E-2</v>
      </c>
      <c r="AJ162" s="318">
        <f t="shared" si="20"/>
        <v>4.2766666666666675E-2</v>
      </c>
      <c r="AK162" s="385">
        <v>4.3922900000000001E-3</v>
      </c>
      <c r="AL162" s="402">
        <f t="shared" si="24"/>
        <v>3.2499999999999994E-2</v>
      </c>
      <c r="AM162" s="327">
        <v>0</v>
      </c>
      <c r="AN162" s="410">
        <f>$AN$160</f>
        <v>5.000000000000001E-2</v>
      </c>
      <c r="AO162" s="360" t="e">
        <f>+([1]!Tabla1[[#This Row],[ponderacion_accion]]/16)*AQ162</f>
        <v>#REF!</v>
      </c>
      <c r="AP162" s="360" t="e">
        <f>Tabla1[[#This Row],[ponderacion_meta]]*AO162</f>
        <v>#REF!</v>
      </c>
      <c r="AQ162" s="356"/>
      <c r="AR162" s="380">
        <v>0</v>
      </c>
      <c r="AS162" s="9"/>
      <c r="AT162" s="521">
        <v>0</v>
      </c>
    </row>
    <row r="163" spans="1:46" ht="15" customHeight="1" x14ac:dyDescent="0.35">
      <c r="A163" s="236" t="s">
        <v>1150</v>
      </c>
      <c r="B163" s="237" t="s">
        <v>148</v>
      </c>
      <c r="C163" s="237" t="s">
        <v>1719</v>
      </c>
      <c r="D163" s="237" t="s">
        <v>1157</v>
      </c>
      <c r="E163" s="172" t="s">
        <v>324</v>
      </c>
      <c r="F163" s="176" t="s">
        <v>2599</v>
      </c>
      <c r="G163" s="160" t="s">
        <v>390</v>
      </c>
      <c r="H163" s="418" t="s">
        <v>1729</v>
      </c>
      <c r="I163" s="23" t="s">
        <v>391</v>
      </c>
      <c r="J163" s="264">
        <v>6.4939999999999998E-3</v>
      </c>
      <c r="K163" s="24" t="s">
        <v>392</v>
      </c>
      <c r="L163" s="128">
        <v>225305600</v>
      </c>
      <c r="M163" s="128">
        <v>0</v>
      </c>
      <c r="N163" s="436"/>
      <c r="O163" s="436" t="s">
        <v>2622</v>
      </c>
      <c r="P163" s="192">
        <v>0</v>
      </c>
      <c r="Q163" s="193">
        <v>3</v>
      </c>
      <c r="R163" s="193">
        <v>3</v>
      </c>
      <c r="S163" s="193">
        <v>1</v>
      </c>
      <c r="T163" s="193" t="s">
        <v>1332</v>
      </c>
      <c r="U163" s="24" t="s">
        <v>393</v>
      </c>
      <c r="V163" s="25">
        <v>0.2</v>
      </c>
      <c r="W163" s="24" t="s">
        <v>394</v>
      </c>
      <c r="X163" s="24"/>
      <c r="Y163" s="23" t="s">
        <v>2587</v>
      </c>
      <c r="Z163" s="24" t="s">
        <v>2548</v>
      </c>
      <c r="AA163" s="238">
        <f t="shared" si="23"/>
        <v>1.2988000000000001E-3</v>
      </c>
      <c r="AB163" s="252">
        <v>0</v>
      </c>
      <c r="AC163" s="278">
        <f>+(Tabla1[[#This Row],[Avance PDI]]*100%)/Tabla1[[#This Row],[ponderacion_meta]]</f>
        <v>0</v>
      </c>
      <c r="AD163" s="279">
        <f>+Tabla1[[#This Row],[ponderacion_meta]]*Tabla1[[#This Row],[proyeccion_año1]]</f>
        <v>0</v>
      </c>
      <c r="AE163" s="279">
        <f>+Tabla1[[#This Row],[ponderacion_meta]]/7*3</f>
        <v>2.7831428571428573E-3</v>
      </c>
      <c r="AF163" s="279">
        <f>+Tabla1[[#This Row],[ponderacion_meta]]/7*3</f>
        <v>2.7831428571428573E-3</v>
      </c>
      <c r="AG163" s="279">
        <f>+Tabla1[[#This Row],[ponderacion_meta]]/7*1</f>
        <v>9.2771428571428573E-4</v>
      </c>
      <c r="AH163" s="393">
        <f t="shared" si="21"/>
        <v>1.9088790000000005E-2</v>
      </c>
      <c r="AI163" s="393">
        <f t="shared" si="22"/>
        <v>4.2766666666666675E-2</v>
      </c>
      <c r="AJ163" s="318">
        <f t="shared" si="20"/>
        <v>4.2766666666666675E-2</v>
      </c>
      <c r="AK163" s="385">
        <v>4.3922900000000001E-3</v>
      </c>
      <c r="AL163" s="402">
        <f t="shared" si="24"/>
        <v>3.2499999999999994E-2</v>
      </c>
      <c r="AM163" s="324">
        <f>+SUM(AB163:AB181)</f>
        <v>3.2470000000000003E-4</v>
      </c>
      <c r="AN163" s="411">
        <f>+SUM(AC163:AC181)/6</f>
        <v>8.333333333333335E-3</v>
      </c>
      <c r="AO163" s="343" t="e">
        <f>+([1]!Tabla1[[#This Row],[ponderacion_accion]]/7)*AQ163</f>
        <v>#REF!</v>
      </c>
      <c r="AP163" s="343" t="e">
        <f>Tabla1[[#This Row],[ponderacion_meta]]*AO163</f>
        <v>#REF!</v>
      </c>
      <c r="AQ163" s="353"/>
      <c r="AR163" s="377">
        <v>0</v>
      </c>
      <c r="AS163" s="7" t="e">
        <f>+((SUM(AO163:AO166)*100)/42.85)</f>
        <v>#REF!</v>
      </c>
      <c r="AT163" s="521">
        <v>0</v>
      </c>
    </row>
    <row r="164" spans="1:46" ht="15" customHeight="1" x14ac:dyDescent="0.35">
      <c r="A164" s="236" t="s">
        <v>1150</v>
      </c>
      <c r="B164" s="237" t="s">
        <v>148</v>
      </c>
      <c r="C164" s="237" t="s">
        <v>1719</v>
      </c>
      <c r="D164" s="237" t="s">
        <v>1157</v>
      </c>
      <c r="E164" s="172" t="s">
        <v>324</v>
      </c>
      <c r="F164" s="176" t="s">
        <v>2599</v>
      </c>
      <c r="G164" s="160" t="s">
        <v>390</v>
      </c>
      <c r="H164" s="160" t="s">
        <v>1729</v>
      </c>
      <c r="I164" s="23" t="s">
        <v>391</v>
      </c>
      <c r="J164" s="264">
        <v>6.4939999999999998E-3</v>
      </c>
      <c r="K164" s="24" t="s">
        <v>392</v>
      </c>
      <c r="L164" s="128">
        <v>225305600</v>
      </c>
      <c r="M164" s="128">
        <v>0</v>
      </c>
      <c r="N164" s="436"/>
      <c r="O164" s="436" t="s">
        <v>2622</v>
      </c>
      <c r="P164" s="192">
        <v>0</v>
      </c>
      <c r="Q164" s="193">
        <v>3</v>
      </c>
      <c r="R164" s="193">
        <v>3</v>
      </c>
      <c r="S164" s="193">
        <v>1</v>
      </c>
      <c r="T164" s="193" t="s">
        <v>1333</v>
      </c>
      <c r="U164" s="24" t="s">
        <v>395</v>
      </c>
      <c r="V164" s="25">
        <v>0.2</v>
      </c>
      <c r="W164" s="24" t="s">
        <v>396</v>
      </c>
      <c r="X164" s="24"/>
      <c r="Y164" s="23" t="s">
        <v>2587</v>
      </c>
      <c r="Z164" s="24" t="s">
        <v>2548</v>
      </c>
      <c r="AA164" s="238">
        <f t="shared" si="23"/>
        <v>1.2988000000000001E-3</v>
      </c>
      <c r="AB164" s="252">
        <v>0</v>
      </c>
      <c r="AC164" s="278">
        <f>+(Tabla1[[#This Row],[Avance PDI]]*100%)/Tabla1[[#This Row],[ponderacion_meta]]</f>
        <v>0</v>
      </c>
      <c r="AD164" s="279">
        <v>0</v>
      </c>
      <c r="AE164" s="279">
        <v>2.7831428571428573E-3</v>
      </c>
      <c r="AF164" s="279">
        <v>2.7831428571428573E-3</v>
      </c>
      <c r="AG164" s="279">
        <v>9.2771428571428573E-4</v>
      </c>
      <c r="AH164" s="393">
        <f t="shared" si="21"/>
        <v>1.9088790000000005E-2</v>
      </c>
      <c r="AI164" s="393">
        <f t="shared" si="22"/>
        <v>4.2766666666666675E-2</v>
      </c>
      <c r="AJ164" s="318">
        <f t="shared" si="20"/>
        <v>4.2766666666666675E-2</v>
      </c>
      <c r="AK164" s="385">
        <v>4.3922900000000001E-3</v>
      </c>
      <c r="AL164" s="402">
        <f t="shared" si="24"/>
        <v>3.2499999999999994E-2</v>
      </c>
      <c r="AM164" s="325">
        <v>0</v>
      </c>
      <c r="AN164" s="411">
        <f>$AN$163</f>
        <v>8.333333333333335E-3</v>
      </c>
      <c r="AO164" s="344" t="e">
        <f>+([1]!Tabla1[[#This Row],[ponderacion_accion]]/7)*AQ164</f>
        <v>#REF!</v>
      </c>
      <c r="AP164" s="344" t="e">
        <f>Tabla1[[#This Row],[ponderacion_meta]]*AO164</f>
        <v>#REF!</v>
      </c>
      <c r="AQ164" s="354"/>
      <c r="AR164" s="378">
        <v>0</v>
      </c>
      <c r="AS164" s="9"/>
      <c r="AT164" s="521">
        <v>0</v>
      </c>
    </row>
    <row r="165" spans="1:46" ht="15" customHeight="1" x14ac:dyDescent="0.35">
      <c r="A165" s="236" t="s">
        <v>1150</v>
      </c>
      <c r="B165" s="237" t="s">
        <v>148</v>
      </c>
      <c r="C165" s="237" t="s">
        <v>1719</v>
      </c>
      <c r="D165" s="237" t="s">
        <v>1157</v>
      </c>
      <c r="E165" s="172" t="s">
        <v>324</v>
      </c>
      <c r="F165" s="176" t="s">
        <v>2599</v>
      </c>
      <c r="G165" s="160" t="s">
        <v>390</v>
      </c>
      <c r="H165" s="160" t="s">
        <v>1729</v>
      </c>
      <c r="I165" s="23" t="s">
        <v>391</v>
      </c>
      <c r="J165" s="264">
        <v>6.4939999999999998E-3</v>
      </c>
      <c r="K165" s="24" t="s">
        <v>392</v>
      </c>
      <c r="L165" s="128">
        <v>225305600</v>
      </c>
      <c r="M165" s="128">
        <v>0</v>
      </c>
      <c r="N165" s="436"/>
      <c r="O165" s="436" t="s">
        <v>2622</v>
      </c>
      <c r="P165" s="192">
        <v>0</v>
      </c>
      <c r="Q165" s="193">
        <v>3</v>
      </c>
      <c r="R165" s="193">
        <v>3</v>
      </c>
      <c r="S165" s="193">
        <v>1</v>
      </c>
      <c r="T165" s="193" t="s">
        <v>1334</v>
      </c>
      <c r="U165" s="24" t="s">
        <v>397</v>
      </c>
      <c r="V165" s="25">
        <v>0.1</v>
      </c>
      <c r="W165" s="24" t="s">
        <v>398</v>
      </c>
      <c r="X165" s="24"/>
      <c r="Y165" s="23" t="s">
        <v>2587</v>
      </c>
      <c r="Z165" s="24" t="s">
        <v>2548</v>
      </c>
      <c r="AA165" s="238">
        <f t="shared" si="23"/>
        <v>6.4940000000000006E-4</v>
      </c>
      <c r="AB165" s="252">
        <v>0</v>
      </c>
      <c r="AC165" s="278">
        <f>+(Tabla1[[#This Row],[Avance PDI]]*100%)/Tabla1[[#This Row],[ponderacion_meta]]</f>
        <v>0</v>
      </c>
      <c r="AD165" s="279">
        <v>0</v>
      </c>
      <c r="AE165" s="279">
        <v>2.7831428571428573E-3</v>
      </c>
      <c r="AF165" s="279">
        <v>2.7831428571428573E-3</v>
      </c>
      <c r="AG165" s="279">
        <v>9.2771428571428573E-4</v>
      </c>
      <c r="AH165" s="393">
        <f t="shared" si="21"/>
        <v>1.9088790000000005E-2</v>
      </c>
      <c r="AI165" s="393">
        <f t="shared" si="22"/>
        <v>4.2766666666666675E-2</v>
      </c>
      <c r="AJ165" s="318">
        <f t="shared" si="20"/>
        <v>4.2766666666666675E-2</v>
      </c>
      <c r="AK165" s="385">
        <v>4.3922900000000001E-3</v>
      </c>
      <c r="AL165" s="402">
        <f t="shared" si="24"/>
        <v>3.2499999999999994E-2</v>
      </c>
      <c r="AM165" s="325">
        <v>0</v>
      </c>
      <c r="AN165" s="411">
        <f t="shared" ref="AN165:AN181" si="26">$AN$163</f>
        <v>8.333333333333335E-3</v>
      </c>
      <c r="AO165" s="344" t="e">
        <f>+([1]!Tabla1[[#This Row],[ponderacion_accion]]/7)*AQ165</f>
        <v>#REF!</v>
      </c>
      <c r="AP165" s="344" t="e">
        <f>Tabla1[[#This Row],[ponderacion_meta]]*AO165</f>
        <v>#REF!</v>
      </c>
      <c r="AQ165" s="354"/>
      <c r="AR165" s="378">
        <v>0</v>
      </c>
      <c r="AS165" s="9"/>
      <c r="AT165" s="521">
        <v>0</v>
      </c>
    </row>
    <row r="166" spans="1:46" ht="15" customHeight="1" x14ac:dyDescent="0.35">
      <c r="A166" s="236" t="s">
        <v>1150</v>
      </c>
      <c r="B166" s="237" t="s">
        <v>148</v>
      </c>
      <c r="C166" s="237" t="s">
        <v>1719</v>
      </c>
      <c r="D166" s="237" t="s">
        <v>1157</v>
      </c>
      <c r="E166" s="172" t="s">
        <v>324</v>
      </c>
      <c r="F166" s="176" t="s">
        <v>2599</v>
      </c>
      <c r="G166" s="160" t="s">
        <v>390</v>
      </c>
      <c r="H166" s="160" t="s">
        <v>1729</v>
      </c>
      <c r="I166" s="23" t="s">
        <v>391</v>
      </c>
      <c r="J166" s="264">
        <v>6.4939999999999998E-3</v>
      </c>
      <c r="K166" s="24" t="s">
        <v>392</v>
      </c>
      <c r="L166" s="128">
        <v>225305600</v>
      </c>
      <c r="M166" s="128">
        <v>0</v>
      </c>
      <c r="N166" s="436"/>
      <c r="O166" s="436" t="s">
        <v>2622</v>
      </c>
      <c r="P166" s="192">
        <v>0</v>
      </c>
      <c r="Q166" s="193">
        <v>3</v>
      </c>
      <c r="R166" s="193">
        <v>3</v>
      </c>
      <c r="S166" s="193">
        <v>1</v>
      </c>
      <c r="T166" s="193" t="s">
        <v>1335</v>
      </c>
      <c r="U166" s="24" t="s">
        <v>399</v>
      </c>
      <c r="V166" s="25">
        <v>0.5</v>
      </c>
      <c r="W166" s="24" t="s">
        <v>400</v>
      </c>
      <c r="X166" s="24"/>
      <c r="Y166" s="23" t="s">
        <v>2588</v>
      </c>
      <c r="Z166" s="24" t="s">
        <v>2548</v>
      </c>
      <c r="AA166" s="238">
        <f t="shared" si="23"/>
        <v>3.2469999999999999E-3</v>
      </c>
      <c r="AB166" s="252">
        <v>0</v>
      </c>
      <c r="AC166" s="278">
        <f>+(Tabla1[[#This Row],[Avance PDI]]*100%)/Tabla1[[#This Row],[ponderacion_meta]]</f>
        <v>0</v>
      </c>
      <c r="AD166" s="279">
        <v>0</v>
      </c>
      <c r="AE166" s="279">
        <v>2.7831428571428573E-3</v>
      </c>
      <c r="AF166" s="279">
        <v>2.7831428571428573E-3</v>
      </c>
      <c r="AG166" s="279">
        <v>9.2771428571428573E-4</v>
      </c>
      <c r="AH166" s="393">
        <f t="shared" si="21"/>
        <v>1.9088790000000005E-2</v>
      </c>
      <c r="AI166" s="393">
        <f t="shared" si="22"/>
        <v>4.2766666666666675E-2</v>
      </c>
      <c r="AJ166" s="318">
        <f t="shared" si="20"/>
        <v>4.2766666666666675E-2</v>
      </c>
      <c r="AK166" s="385">
        <v>4.3922900000000001E-3</v>
      </c>
      <c r="AL166" s="402">
        <f t="shared" si="24"/>
        <v>3.2499999999999994E-2</v>
      </c>
      <c r="AM166" s="325">
        <v>0</v>
      </c>
      <c r="AN166" s="411">
        <f t="shared" si="26"/>
        <v>8.333333333333335E-3</v>
      </c>
      <c r="AO166" s="345" t="e">
        <f>+([1]!Tabla1[[#This Row],[ponderacion_accion]]/7)*AQ166</f>
        <v>#REF!</v>
      </c>
      <c r="AP166" s="345" t="e">
        <f>Tabla1[[#This Row],[ponderacion_meta]]*AO166</f>
        <v>#REF!</v>
      </c>
      <c r="AQ166" s="357"/>
      <c r="AR166" s="379">
        <v>0</v>
      </c>
      <c r="AS166" s="9"/>
      <c r="AT166" s="521">
        <v>0</v>
      </c>
    </row>
    <row r="167" spans="1:46" ht="15" customHeight="1" x14ac:dyDescent="0.35">
      <c r="A167" s="236" t="s">
        <v>1150</v>
      </c>
      <c r="B167" s="237" t="s">
        <v>148</v>
      </c>
      <c r="C167" s="237" t="s">
        <v>1719</v>
      </c>
      <c r="D167" s="237" t="s">
        <v>1157</v>
      </c>
      <c r="E167" s="172" t="s">
        <v>324</v>
      </c>
      <c r="F167" s="176" t="s">
        <v>2599</v>
      </c>
      <c r="G167" s="160" t="s">
        <v>390</v>
      </c>
      <c r="H167" s="160" t="s">
        <v>1729</v>
      </c>
      <c r="I167" s="14" t="s">
        <v>401</v>
      </c>
      <c r="J167" s="265">
        <v>6.4939999999999998E-3</v>
      </c>
      <c r="K167" s="26" t="s">
        <v>402</v>
      </c>
      <c r="L167" s="127">
        <v>652126160</v>
      </c>
      <c r="M167" s="127">
        <v>0</v>
      </c>
      <c r="N167" s="435"/>
      <c r="O167" s="435" t="s">
        <v>2622</v>
      </c>
      <c r="P167" s="194">
        <v>5</v>
      </c>
      <c r="Q167" s="195">
        <v>5</v>
      </c>
      <c r="R167" s="195">
        <v>5</v>
      </c>
      <c r="S167" s="195">
        <v>5</v>
      </c>
      <c r="T167" s="195" t="s">
        <v>1336</v>
      </c>
      <c r="U167" s="284" t="s">
        <v>403</v>
      </c>
      <c r="V167" s="287">
        <v>0.2</v>
      </c>
      <c r="W167" s="284" t="s">
        <v>404</v>
      </c>
      <c r="X167" s="284"/>
      <c r="Y167" s="518" t="s">
        <v>2587</v>
      </c>
      <c r="Z167" s="284" t="s">
        <v>2436</v>
      </c>
      <c r="AA167" s="286">
        <f t="shared" si="23"/>
        <v>1.2988000000000001E-3</v>
      </c>
      <c r="AB167" s="254">
        <f>+(Tabla1[[#This Row],[ponderacion_meta]]*Tabla1[[#This Row],[ponderacion_accion]])/4*1</f>
        <v>3.2470000000000003E-4</v>
      </c>
      <c r="AC167" s="262">
        <f>+(Tabla1[[#This Row],[Avance PDI]]*100%)/Tabla1[[#This Row],[ponderacion_meta]]</f>
        <v>5.000000000000001E-2</v>
      </c>
      <c r="AD167" s="257">
        <f>+Tabla1[[#This Row],[ponderacion_meta]]/20*Tabla1[[#This Row],[proyeccion_año1]]</f>
        <v>1.6234999999999999E-3</v>
      </c>
      <c r="AE167" s="257">
        <f>+Tabla1[[#This Row],[ponderacion_meta]]/20*Tabla1[[#This Row],[proyeccion_año2]]</f>
        <v>1.6234999999999999E-3</v>
      </c>
      <c r="AF167" s="257">
        <f>+Tabla1[[#This Row],[ponderacion_meta]]/20*Tabla1[[#This Row],[proyeccion_año3]]</f>
        <v>1.6234999999999999E-3</v>
      </c>
      <c r="AG167" s="257">
        <f>+Tabla1[[#This Row],[ponderacion_meta]]/20*Tabla1[[#This Row],[proyeccion_año4]]</f>
        <v>1.6234999999999999E-3</v>
      </c>
      <c r="AH167" s="393">
        <f t="shared" si="21"/>
        <v>1.9088790000000005E-2</v>
      </c>
      <c r="AI167" s="393">
        <f t="shared" si="22"/>
        <v>4.2766666666666675E-2</v>
      </c>
      <c r="AJ167" s="318">
        <f t="shared" si="20"/>
        <v>4.2766666666666675E-2</v>
      </c>
      <c r="AK167" s="385">
        <v>4.3922900000000001E-3</v>
      </c>
      <c r="AL167" s="402">
        <f t="shared" si="24"/>
        <v>3.2499999999999994E-2</v>
      </c>
      <c r="AM167" s="325">
        <v>0</v>
      </c>
      <c r="AN167" s="411">
        <f t="shared" si="26"/>
        <v>8.333333333333335E-3</v>
      </c>
      <c r="AO167" s="358" t="e">
        <f>+([1]!Tabla1[[#This Row],[ponderacion_accion]]/20)*AQ167</f>
        <v>#REF!</v>
      </c>
      <c r="AP167" s="358" t="e">
        <f>Tabla1[[#This Row],[ponderacion_meta]]*AO167</f>
        <v>#REF!</v>
      </c>
      <c r="AQ167" s="361">
        <v>5</v>
      </c>
      <c r="AR167" s="380">
        <v>0</v>
      </c>
      <c r="AS167" s="7" t="e">
        <f>+((SUM(AO167:AO169)*100)/50)</f>
        <v>#REF!</v>
      </c>
      <c r="AT167" s="521">
        <v>0</v>
      </c>
    </row>
    <row r="168" spans="1:46" ht="15" customHeight="1" x14ac:dyDescent="0.35">
      <c r="A168" s="236" t="s">
        <v>1150</v>
      </c>
      <c r="B168" s="237" t="s">
        <v>148</v>
      </c>
      <c r="C168" s="237" t="s">
        <v>1719</v>
      </c>
      <c r="D168" s="237" t="s">
        <v>1157</v>
      </c>
      <c r="E168" s="172" t="s">
        <v>324</v>
      </c>
      <c r="F168" s="176" t="s">
        <v>2599</v>
      </c>
      <c r="G168" s="160" t="s">
        <v>390</v>
      </c>
      <c r="H168" s="160" t="s">
        <v>1729</v>
      </c>
      <c r="I168" s="14" t="s">
        <v>401</v>
      </c>
      <c r="J168" s="265">
        <v>6.4939999999999998E-3</v>
      </c>
      <c r="K168" s="26" t="s">
        <v>402</v>
      </c>
      <c r="L168" s="127">
        <v>652126160</v>
      </c>
      <c r="M168" s="127">
        <v>0</v>
      </c>
      <c r="N168" s="435"/>
      <c r="O168" s="435" t="s">
        <v>2622</v>
      </c>
      <c r="P168" s="194">
        <v>5</v>
      </c>
      <c r="Q168" s="195">
        <v>5</v>
      </c>
      <c r="R168" s="195">
        <v>5</v>
      </c>
      <c r="S168" s="195">
        <v>5</v>
      </c>
      <c r="T168" s="195" t="s">
        <v>1337</v>
      </c>
      <c r="U168" s="26" t="s">
        <v>405</v>
      </c>
      <c r="V168" s="29">
        <v>0.2</v>
      </c>
      <c r="W168" s="26" t="s">
        <v>406</v>
      </c>
      <c r="X168" s="26"/>
      <c r="Y168" s="14" t="s">
        <v>2587</v>
      </c>
      <c r="Z168" s="26" t="s">
        <v>2436</v>
      </c>
      <c r="AA168" s="239">
        <f t="shared" si="23"/>
        <v>1.2988000000000001E-3</v>
      </c>
      <c r="AB168" s="252">
        <v>0</v>
      </c>
      <c r="AC168" s="262">
        <f>+(Tabla1[[#This Row],[Avance PDI]]*100%)/Tabla1[[#This Row],[ponderacion_meta]]</f>
        <v>0</v>
      </c>
      <c r="AD168" s="257">
        <v>1.6234999999999999E-3</v>
      </c>
      <c r="AE168" s="257">
        <v>1.6234999999999999E-3</v>
      </c>
      <c r="AF168" s="257">
        <v>1.6234999999999999E-3</v>
      </c>
      <c r="AG168" s="257">
        <v>1.6234999999999999E-3</v>
      </c>
      <c r="AH168" s="393">
        <f t="shared" si="21"/>
        <v>1.9088790000000005E-2</v>
      </c>
      <c r="AI168" s="393">
        <f t="shared" si="22"/>
        <v>4.2766666666666675E-2</v>
      </c>
      <c r="AJ168" s="318">
        <f t="shared" si="20"/>
        <v>4.2766666666666675E-2</v>
      </c>
      <c r="AK168" s="385">
        <v>4.3922900000000001E-3</v>
      </c>
      <c r="AL168" s="402">
        <f t="shared" si="24"/>
        <v>3.2499999999999994E-2</v>
      </c>
      <c r="AM168" s="325">
        <v>0</v>
      </c>
      <c r="AN168" s="411">
        <f t="shared" si="26"/>
        <v>8.333333333333335E-3</v>
      </c>
      <c r="AO168" s="359" t="e">
        <f>+([1]!Tabla1[[#This Row],[ponderacion_accion]]/20)*AQ168</f>
        <v>#REF!</v>
      </c>
      <c r="AP168" s="359" t="e">
        <f>Tabla1[[#This Row],[ponderacion_meta]]*AO168</f>
        <v>#REF!</v>
      </c>
      <c r="AQ168" s="351"/>
      <c r="AR168" s="380">
        <v>0</v>
      </c>
      <c r="AS168" s="9"/>
      <c r="AT168" s="521">
        <v>0</v>
      </c>
    </row>
    <row r="169" spans="1:46" ht="15" customHeight="1" x14ac:dyDescent="0.35">
      <c r="A169" s="236" t="s">
        <v>1150</v>
      </c>
      <c r="B169" s="237" t="s">
        <v>148</v>
      </c>
      <c r="C169" s="237" t="s">
        <v>1719</v>
      </c>
      <c r="D169" s="237" t="s">
        <v>1157</v>
      </c>
      <c r="E169" s="172" t="s">
        <v>324</v>
      </c>
      <c r="F169" s="176" t="s">
        <v>2599</v>
      </c>
      <c r="G169" s="160" t="s">
        <v>390</v>
      </c>
      <c r="H169" s="160" t="s">
        <v>1729</v>
      </c>
      <c r="I169" s="14" t="s">
        <v>401</v>
      </c>
      <c r="J169" s="265">
        <v>6.4939999999999998E-3</v>
      </c>
      <c r="K169" s="26" t="s">
        <v>402</v>
      </c>
      <c r="L169" s="127">
        <v>652126160</v>
      </c>
      <c r="M169" s="127">
        <v>0</v>
      </c>
      <c r="N169" s="435"/>
      <c r="O169" s="435" t="s">
        <v>2622</v>
      </c>
      <c r="P169" s="194">
        <v>5</v>
      </c>
      <c r="Q169" s="195">
        <v>5</v>
      </c>
      <c r="R169" s="195">
        <v>5</v>
      </c>
      <c r="S169" s="195">
        <v>5</v>
      </c>
      <c r="T169" s="195" t="s">
        <v>1338</v>
      </c>
      <c r="U169" s="26" t="s">
        <v>407</v>
      </c>
      <c r="V169" s="29">
        <v>0.6</v>
      </c>
      <c r="W169" s="26" t="s">
        <v>408</v>
      </c>
      <c r="X169" s="26"/>
      <c r="Y169" s="14" t="s">
        <v>2587</v>
      </c>
      <c r="Z169" s="26" t="s">
        <v>2436</v>
      </c>
      <c r="AA169" s="239">
        <f t="shared" si="23"/>
        <v>3.8963999999999995E-3</v>
      </c>
      <c r="AB169" s="252">
        <v>0</v>
      </c>
      <c r="AC169" s="262">
        <f>+(Tabla1[[#This Row],[Avance PDI]]*100%)/Tabla1[[#This Row],[ponderacion_meta]]</f>
        <v>0</v>
      </c>
      <c r="AD169" s="257">
        <v>1.6234999999999999E-3</v>
      </c>
      <c r="AE169" s="257">
        <v>1.6234999999999999E-3</v>
      </c>
      <c r="AF169" s="257">
        <v>1.6234999999999999E-3</v>
      </c>
      <c r="AG169" s="257">
        <v>1.6234999999999999E-3</v>
      </c>
      <c r="AH169" s="393">
        <f t="shared" si="21"/>
        <v>1.9088790000000005E-2</v>
      </c>
      <c r="AI169" s="393">
        <f t="shared" si="22"/>
        <v>4.2766666666666675E-2</v>
      </c>
      <c r="AJ169" s="318">
        <f t="shared" si="20"/>
        <v>4.2766666666666675E-2</v>
      </c>
      <c r="AK169" s="385">
        <v>4.3922900000000001E-3</v>
      </c>
      <c r="AL169" s="402">
        <f t="shared" si="24"/>
        <v>3.2499999999999994E-2</v>
      </c>
      <c r="AM169" s="325">
        <v>0</v>
      </c>
      <c r="AN169" s="411">
        <f t="shared" si="26"/>
        <v>8.333333333333335E-3</v>
      </c>
      <c r="AO169" s="360" t="e">
        <f>+([1]!Tabla1[[#This Row],[ponderacion_accion]]/20)*AQ169</f>
        <v>#REF!</v>
      </c>
      <c r="AP169" s="360" t="e">
        <f>Tabla1[[#This Row],[ponderacion_meta]]*AO169</f>
        <v>#REF!</v>
      </c>
      <c r="AQ169" s="356"/>
      <c r="AR169" s="380">
        <v>0</v>
      </c>
      <c r="AS169" s="9"/>
      <c r="AT169" s="521">
        <v>0</v>
      </c>
    </row>
    <row r="170" spans="1:46" ht="15" customHeight="1" x14ac:dyDescent="0.35">
      <c r="A170" s="236" t="s">
        <v>1150</v>
      </c>
      <c r="B170" s="237" t="s">
        <v>148</v>
      </c>
      <c r="C170" s="237" t="s">
        <v>1719</v>
      </c>
      <c r="D170" s="237" t="s">
        <v>1157</v>
      </c>
      <c r="E170" s="172" t="s">
        <v>324</v>
      </c>
      <c r="F170" s="176" t="s">
        <v>2599</v>
      </c>
      <c r="G170" s="160" t="s">
        <v>390</v>
      </c>
      <c r="H170" s="160" t="s">
        <v>1729</v>
      </c>
      <c r="I170" s="23" t="s">
        <v>409</v>
      </c>
      <c r="J170" s="264">
        <v>6.4939999999999998E-3</v>
      </c>
      <c r="K170" s="24" t="s">
        <v>410</v>
      </c>
      <c r="L170" s="128">
        <v>0</v>
      </c>
      <c r="M170" s="128">
        <v>0</v>
      </c>
      <c r="N170" s="436"/>
      <c r="O170" s="436" t="s">
        <v>2622</v>
      </c>
      <c r="P170" s="192">
        <v>6</v>
      </c>
      <c r="Q170" s="193">
        <v>6</v>
      </c>
      <c r="R170" s="193">
        <v>6</v>
      </c>
      <c r="S170" s="193">
        <v>6</v>
      </c>
      <c r="T170" s="193" t="s">
        <v>1339</v>
      </c>
      <c r="U170" s="24" t="s">
        <v>411</v>
      </c>
      <c r="V170" s="25">
        <v>0.1</v>
      </c>
      <c r="W170" s="24" t="s">
        <v>200</v>
      </c>
      <c r="X170" s="24"/>
      <c r="Y170" s="23" t="s">
        <v>2587</v>
      </c>
      <c r="Z170" s="24" t="s">
        <v>2436</v>
      </c>
      <c r="AA170" s="238">
        <f t="shared" si="23"/>
        <v>6.4940000000000006E-4</v>
      </c>
      <c r="AB170" s="252">
        <v>0</v>
      </c>
      <c r="AC170" s="278">
        <f>+(Tabla1[[#This Row],[Avance PDI]]*100%)/Tabla1[[#This Row],[ponderacion_meta]]</f>
        <v>0</v>
      </c>
      <c r="AD170" s="279">
        <f>+Tabla1[[#This Row],[ponderacion_meta]]/20*5</f>
        <v>1.6234999999999999E-3</v>
      </c>
      <c r="AE170" s="279">
        <f>+Tabla1[[#This Row],[ponderacion_meta]]/20*5</f>
        <v>1.6234999999999999E-3</v>
      </c>
      <c r="AF170" s="279">
        <f>+Tabla1[[#This Row],[ponderacion_meta]]/20*5</f>
        <v>1.6234999999999999E-3</v>
      </c>
      <c r="AG170" s="279">
        <f>+Tabla1[[#This Row],[ponderacion_meta]]/20*5</f>
        <v>1.6234999999999999E-3</v>
      </c>
      <c r="AH170" s="393">
        <f t="shared" si="21"/>
        <v>1.9088790000000005E-2</v>
      </c>
      <c r="AI170" s="393">
        <f t="shared" si="22"/>
        <v>4.2766666666666675E-2</v>
      </c>
      <c r="AJ170" s="318">
        <f t="shared" si="20"/>
        <v>4.2766666666666675E-2</v>
      </c>
      <c r="AK170" s="385">
        <v>4.3922900000000001E-3</v>
      </c>
      <c r="AL170" s="402">
        <f t="shared" si="24"/>
        <v>3.2499999999999994E-2</v>
      </c>
      <c r="AM170" s="325">
        <v>0</v>
      </c>
      <c r="AN170" s="411">
        <f t="shared" si="26"/>
        <v>8.333333333333335E-3</v>
      </c>
      <c r="AO170" s="343" t="e">
        <f>+([1]!Tabla1[[#This Row],[ponderacion_accion]]/24)*AQ170</f>
        <v>#REF!</v>
      </c>
      <c r="AP170" s="343" t="e">
        <f>Tabla1[[#This Row],[ponderacion_meta]]*AO170</f>
        <v>#REF!</v>
      </c>
      <c r="AQ170" s="353"/>
      <c r="AR170" s="377">
        <v>0</v>
      </c>
      <c r="AS170" s="7" t="e">
        <f>+((SUM(AO170:AO173)*100)/50)</f>
        <v>#REF!</v>
      </c>
      <c r="AT170" s="521">
        <v>0</v>
      </c>
    </row>
    <row r="171" spans="1:46" ht="15" customHeight="1" x14ac:dyDescent="0.35">
      <c r="A171" s="236" t="s">
        <v>1150</v>
      </c>
      <c r="B171" s="237" t="s">
        <v>148</v>
      </c>
      <c r="C171" s="237" t="s">
        <v>1719</v>
      </c>
      <c r="D171" s="237" t="s">
        <v>1157</v>
      </c>
      <c r="E171" s="172" t="s">
        <v>324</v>
      </c>
      <c r="F171" s="176" t="s">
        <v>2599</v>
      </c>
      <c r="G171" s="160" t="s">
        <v>390</v>
      </c>
      <c r="H171" s="160" t="s">
        <v>1729</v>
      </c>
      <c r="I171" s="23" t="s">
        <v>409</v>
      </c>
      <c r="J171" s="264">
        <v>6.4939999999999998E-3</v>
      </c>
      <c r="K171" s="24" t="s">
        <v>410</v>
      </c>
      <c r="L171" s="128">
        <v>0</v>
      </c>
      <c r="M171" s="128">
        <v>0</v>
      </c>
      <c r="N171" s="436"/>
      <c r="O171" s="436" t="s">
        <v>2622</v>
      </c>
      <c r="P171" s="192">
        <v>6</v>
      </c>
      <c r="Q171" s="193">
        <v>6</v>
      </c>
      <c r="R171" s="193">
        <v>6</v>
      </c>
      <c r="S171" s="193">
        <v>6</v>
      </c>
      <c r="T171" s="193" t="s">
        <v>1340</v>
      </c>
      <c r="U171" s="24" t="s">
        <v>412</v>
      </c>
      <c r="V171" s="25">
        <v>0.1</v>
      </c>
      <c r="W171" s="24" t="s">
        <v>202</v>
      </c>
      <c r="X171" s="24"/>
      <c r="Y171" s="23" t="s">
        <v>2587</v>
      </c>
      <c r="Z171" s="24" t="s">
        <v>2436</v>
      </c>
      <c r="AA171" s="238">
        <f t="shared" si="23"/>
        <v>6.4940000000000006E-4</v>
      </c>
      <c r="AB171" s="252">
        <v>0</v>
      </c>
      <c r="AC171" s="278">
        <f>+(Tabla1[[#This Row],[Avance PDI]]*100%)/Tabla1[[#This Row],[ponderacion_meta]]</f>
        <v>0</v>
      </c>
      <c r="AD171" s="279">
        <v>1.6234999999999999E-3</v>
      </c>
      <c r="AE171" s="279">
        <v>1.6234999999999999E-3</v>
      </c>
      <c r="AF171" s="279">
        <v>1.6234999999999999E-3</v>
      </c>
      <c r="AG171" s="279">
        <v>1.6234999999999999E-3</v>
      </c>
      <c r="AH171" s="393">
        <f t="shared" si="21"/>
        <v>1.9088790000000005E-2</v>
      </c>
      <c r="AI171" s="393">
        <f t="shared" si="22"/>
        <v>4.2766666666666675E-2</v>
      </c>
      <c r="AJ171" s="318">
        <f t="shared" si="20"/>
        <v>4.2766666666666675E-2</v>
      </c>
      <c r="AK171" s="385">
        <v>4.3922900000000001E-3</v>
      </c>
      <c r="AL171" s="402">
        <f t="shared" si="24"/>
        <v>3.2499999999999994E-2</v>
      </c>
      <c r="AM171" s="325">
        <v>0</v>
      </c>
      <c r="AN171" s="411">
        <f t="shared" si="26"/>
        <v>8.333333333333335E-3</v>
      </c>
      <c r="AO171" s="344" t="e">
        <f>+([1]!Tabla1[[#This Row],[ponderacion_accion]]/24)*AQ171</f>
        <v>#REF!</v>
      </c>
      <c r="AP171" s="344" t="e">
        <f>Tabla1[[#This Row],[ponderacion_meta]]*AO171</f>
        <v>#REF!</v>
      </c>
      <c r="AQ171" s="354"/>
      <c r="AR171" s="378">
        <v>0</v>
      </c>
      <c r="AS171" s="9"/>
      <c r="AT171" s="521">
        <v>0</v>
      </c>
    </row>
    <row r="172" spans="1:46" ht="15" customHeight="1" x14ac:dyDescent="0.35">
      <c r="A172" s="236" t="s">
        <v>1150</v>
      </c>
      <c r="B172" s="237" t="s">
        <v>148</v>
      </c>
      <c r="C172" s="237" t="s">
        <v>1719</v>
      </c>
      <c r="D172" s="237" t="s">
        <v>1157</v>
      </c>
      <c r="E172" s="172" t="s">
        <v>324</v>
      </c>
      <c r="F172" s="176" t="s">
        <v>2599</v>
      </c>
      <c r="G172" s="160" t="s">
        <v>390</v>
      </c>
      <c r="H172" s="160" t="s">
        <v>1729</v>
      </c>
      <c r="I172" s="23" t="s">
        <v>409</v>
      </c>
      <c r="J172" s="264">
        <v>6.4939999999999998E-3</v>
      </c>
      <c r="K172" s="24" t="s">
        <v>410</v>
      </c>
      <c r="L172" s="128">
        <v>0</v>
      </c>
      <c r="M172" s="128">
        <v>0</v>
      </c>
      <c r="N172" s="436"/>
      <c r="O172" s="436" t="s">
        <v>2622</v>
      </c>
      <c r="P172" s="192">
        <v>6</v>
      </c>
      <c r="Q172" s="193">
        <v>6</v>
      </c>
      <c r="R172" s="193">
        <v>6</v>
      </c>
      <c r="S172" s="193">
        <v>6</v>
      </c>
      <c r="T172" s="193" t="s">
        <v>1341</v>
      </c>
      <c r="U172" s="24" t="s">
        <v>413</v>
      </c>
      <c r="V172" s="25">
        <v>0.2</v>
      </c>
      <c r="W172" s="24" t="s">
        <v>414</v>
      </c>
      <c r="X172" s="24"/>
      <c r="Y172" s="23" t="s">
        <v>2587</v>
      </c>
      <c r="Z172" s="24" t="s">
        <v>2436</v>
      </c>
      <c r="AA172" s="238">
        <f t="shared" si="23"/>
        <v>1.2988000000000001E-3</v>
      </c>
      <c r="AB172" s="252">
        <v>0</v>
      </c>
      <c r="AC172" s="278">
        <f>+(Tabla1[[#This Row],[Avance PDI]]*100%)/Tabla1[[#This Row],[ponderacion_meta]]</f>
        <v>0</v>
      </c>
      <c r="AD172" s="279">
        <v>1.6234999999999999E-3</v>
      </c>
      <c r="AE172" s="279">
        <v>1.6234999999999999E-3</v>
      </c>
      <c r="AF172" s="279">
        <v>1.6234999999999999E-3</v>
      </c>
      <c r="AG172" s="279">
        <v>1.6234999999999999E-3</v>
      </c>
      <c r="AH172" s="393">
        <f t="shared" si="21"/>
        <v>1.9088790000000005E-2</v>
      </c>
      <c r="AI172" s="393">
        <f t="shared" si="22"/>
        <v>4.2766666666666675E-2</v>
      </c>
      <c r="AJ172" s="318">
        <f t="shared" si="20"/>
        <v>4.2766666666666675E-2</v>
      </c>
      <c r="AK172" s="385">
        <v>4.3922900000000001E-3</v>
      </c>
      <c r="AL172" s="402">
        <f t="shared" si="24"/>
        <v>3.2499999999999994E-2</v>
      </c>
      <c r="AM172" s="325">
        <v>0</v>
      </c>
      <c r="AN172" s="411">
        <f t="shared" si="26"/>
        <v>8.333333333333335E-3</v>
      </c>
      <c r="AO172" s="344" t="e">
        <f>+([1]!Tabla1[[#This Row],[ponderacion_accion]]/24)*AQ172</f>
        <v>#REF!</v>
      </c>
      <c r="AP172" s="344" t="e">
        <f>Tabla1[[#This Row],[ponderacion_meta]]*AO172</f>
        <v>#REF!</v>
      </c>
      <c r="AQ172" s="354"/>
      <c r="AR172" s="378">
        <v>0</v>
      </c>
      <c r="AS172" s="9"/>
      <c r="AT172" s="521">
        <v>0</v>
      </c>
    </row>
    <row r="173" spans="1:46" ht="15" customHeight="1" x14ac:dyDescent="0.35">
      <c r="A173" s="236" t="s">
        <v>1150</v>
      </c>
      <c r="B173" s="237" t="s">
        <v>148</v>
      </c>
      <c r="C173" s="237" t="s">
        <v>1719</v>
      </c>
      <c r="D173" s="237" t="s">
        <v>1157</v>
      </c>
      <c r="E173" s="172" t="s">
        <v>324</v>
      </c>
      <c r="F173" s="176" t="s">
        <v>2599</v>
      </c>
      <c r="G173" s="160" t="s">
        <v>390</v>
      </c>
      <c r="H173" s="160" t="s">
        <v>1729</v>
      </c>
      <c r="I173" s="23" t="s">
        <v>409</v>
      </c>
      <c r="J173" s="264">
        <v>6.4939999999999998E-3</v>
      </c>
      <c r="K173" s="24" t="s">
        <v>410</v>
      </c>
      <c r="L173" s="128">
        <v>0</v>
      </c>
      <c r="M173" s="128">
        <v>0</v>
      </c>
      <c r="N173" s="436"/>
      <c r="O173" s="436" t="s">
        <v>2622</v>
      </c>
      <c r="P173" s="192">
        <v>6</v>
      </c>
      <c r="Q173" s="193">
        <v>6</v>
      </c>
      <c r="R173" s="193">
        <v>6</v>
      </c>
      <c r="S173" s="193">
        <v>6</v>
      </c>
      <c r="T173" s="193" t="s">
        <v>1342</v>
      </c>
      <c r="U173" s="24" t="s">
        <v>415</v>
      </c>
      <c r="V173" s="25">
        <v>0.6</v>
      </c>
      <c r="W173" s="24" t="s">
        <v>416</v>
      </c>
      <c r="X173" s="24"/>
      <c r="Y173" s="23" t="s">
        <v>2587</v>
      </c>
      <c r="Z173" s="24" t="s">
        <v>2436</v>
      </c>
      <c r="AA173" s="238">
        <f t="shared" si="23"/>
        <v>3.8963999999999995E-3</v>
      </c>
      <c r="AB173" s="252">
        <v>0</v>
      </c>
      <c r="AC173" s="278">
        <f>+(Tabla1[[#This Row],[Avance PDI]]*100%)/Tabla1[[#This Row],[ponderacion_meta]]</f>
        <v>0</v>
      </c>
      <c r="AD173" s="279">
        <v>1.6234999999999999E-3</v>
      </c>
      <c r="AE173" s="279">
        <v>1.6234999999999999E-3</v>
      </c>
      <c r="AF173" s="279">
        <v>1.6234999999999999E-3</v>
      </c>
      <c r="AG173" s="279">
        <v>1.6234999999999999E-3</v>
      </c>
      <c r="AH173" s="393">
        <f t="shared" si="21"/>
        <v>1.9088790000000005E-2</v>
      </c>
      <c r="AI173" s="393">
        <f t="shared" si="22"/>
        <v>4.2766666666666675E-2</v>
      </c>
      <c r="AJ173" s="318">
        <f t="shared" si="20"/>
        <v>4.2766666666666675E-2</v>
      </c>
      <c r="AK173" s="385">
        <v>4.3922900000000001E-3</v>
      </c>
      <c r="AL173" s="402">
        <f t="shared" si="24"/>
        <v>3.2499999999999994E-2</v>
      </c>
      <c r="AM173" s="325">
        <v>0</v>
      </c>
      <c r="AN173" s="411">
        <f t="shared" si="26"/>
        <v>8.333333333333335E-3</v>
      </c>
      <c r="AO173" s="345" t="e">
        <f>+([1]!Tabla1[[#This Row],[ponderacion_accion]]/24)*AQ173</f>
        <v>#REF!</v>
      </c>
      <c r="AP173" s="345" t="e">
        <f>Tabla1[[#This Row],[ponderacion_meta]]*AO173</f>
        <v>#REF!</v>
      </c>
      <c r="AQ173" s="357"/>
      <c r="AR173" s="379">
        <v>0</v>
      </c>
      <c r="AS173" s="9"/>
      <c r="AT173" s="521">
        <v>0</v>
      </c>
    </row>
    <row r="174" spans="1:46" ht="15" customHeight="1" x14ac:dyDescent="0.35">
      <c r="A174" s="236" t="s">
        <v>1150</v>
      </c>
      <c r="B174" s="237" t="s">
        <v>148</v>
      </c>
      <c r="C174" s="237" t="s">
        <v>1719</v>
      </c>
      <c r="D174" s="237" t="s">
        <v>1157</v>
      </c>
      <c r="E174" s="172" t="s">
        <v>324</v>
      </c>
      <c r="F174" s="176" t="s">
        <v>2599</v>
      </c>
      <c r="G174" s="160" t="s">
        <v>390</v>
      </c>
      <c r="H174" s="160" t="s">
        <v>1729</v>
      </c>
      <c r="I174" s="14" t="s">
        <v>417</v>
      </c>
      <c r="J174" s="265">
        <v>6.4939999999999998E-3</v>
      </c>
      <c r="K174" s="26" t="s">
        <v>418</v>
      </c>
      <c r="L174" s="127">
        <v>1775498666.6600001</v>
      </c>
      <c r="M174" s="127">
        <v>0</v>
      </c>
      <c r="N174" s="435"/>
      <c r="O174" s="435" t="s">
        <v>2622</v>
      </c>
      <c r="P174" s="194">
        <v>1</v>
      </c>
      <c r="Q174" s="195">
        <v>3</v>
      </c>
      <c r="R174" s="195">
        <v>3</v>
      </c>
      <c r="S174" s="195">
        <v>2</v>
      </c>
      <c r="T174" s="195" t="s">
        <v>1343</v>
      </c>
      <c r="U174" s="26" t="s">
        <v>419</v>
      </c>
      <c r="V174" s="15">
        <v>0.1</v>
      </c>
      <c r="W174" s="26" t="s">
        <v>420</v>
      </c>
      <c r="X174" s="26"/>
      <c r="Y174" s="14" t="s">
        <v>2587</v>
      </c>
      <c r="Z174" s="26" t="s">
        <v>2436</v>
      </c>
      <c r="AA174" s="239">
        <f t="shared" si="23"/>
        <v>6.4940000000000006E-4</v>
      </c>
      <c r="AB174" s="252">
        <v>0</v>
      </c>
      <c r="AC174" s="262">
        <f>+(Tabla1[[#This Row],[Avance PDI]]*100%)/Tabla1[[#This Row],[ponderacion_meta]]</f>
        <v>0</v>
      </c>
      <c r="AD174" s="257">
        <f>+Tabla1[[#This Row],[ponderacion_meta]]/9*1</f>
        <v>7.2155555555555558E-4</v>
      </c>
      <c r="AE174" s="257">
        <f>+Tabla1[[#This Row],[ponderacion_meta]]/9*3</f>
        <v>2.1646666666666667E-3</v>
      </c>
      <c r="AF174" s="257">
        <f>+Tabla1[[#This Row],[ponderacion_meta]]/9*3</f>
        <v>2.1646666666666667E-3</v>
      </c>
      <c r="AG174" s="257">
        <f>+Tabla1[[#This Row],[ponderacion_meta]]/9*2</f>
        <v>1.4431111111111112E-3</v>
      </c>
      <c r="AH174" s="393">
        <f t="shared" si="21"/>
        <v>1.9088790000000005E-2</v>
      </c>
      <c r="AI174" s="393">
        <f t="shared" si="22"/>
        <v>4.2766666666666675E-2</v>
      </c>
      <c r="AJ174" s="318">
        <f t="shared" si="20"/>
        <v>4.2766666666666675E-2</v>
      </c>
      <c r="AK174" s="385">
        <v>4.3922900000000001E-3</v>
      </c>
      <c r="AL174" s="402">
        <f t="shared" si="24"/>
        <v>3.2499999999999994E-2</v>
      </c>
      <c r="AM174" s="325">
        <v>0</v>
      </c>
      <c r="AN174" s="411">
        <f t="shared" si="26"/>
        <v>8.333333333333335E-3</v>
      </c>
      <c r="AO174" s="358" t="e">
        <f>+([1]!Tabla1[[#This Row],[ponderacion_accion]]/9)*AQ174</f>
        <v>#REF!</v>
      </c>
      <c r="AP174" s="358" t="e">
        <f>Tabla1[[#This Row],[ponderacion_meta]]*AO174</f>
        <v>#REF!</v>
      </c>
      <c r="AQ174" s="361"/>
      <c r="AR174" s="380">
        <v>0</v>
      </c>
      <c r="AS174" s="7" t="e">
        <f>+((SUM(AO174:AO176)*100)/44.44)</f>
        <v>#REF!</v>
      </c>
      <c r="AT174" s="521">
        <v>0</v>
      </c>
    </row>
    <row r="175" spans="1:46" ht="15" customHeight="1" x14ac:dyDescent="0.35">
      <c r="A175" s="236" t="s">
        <v>1150</v>
      </c>
      <c r="B175" s="237" t="s">
        <v>148</v>
      </c>
      <c r="C175" s="237" t="s">
        <v>1719</v>
      </c>
      <c r="D175" s="237" t="s">
        <v>1157</v>
      </c>
      <c r="E175" s="172" t="s">
        <v>324</v>
      </c>
      <c r="F175" s="176" t="s">
        <v>2599</v>
      </c>
      <c r="G175" s="160" t="s">
        <v>390</v>
      </c>
      <c r="H175" s="160" t="s">
        <v>1729</v>
      </c>
      <c r="I175" s="14" t="s">
        <v>417</v>
      </c>
      <c r="J175" s="265">
        <v>6.4939999999999998E-3</v>
      </c>
      <c r="K175" s="26" t="s">
        <v>418</v>
      </c>
      <c r="L175" s="127">
        <v>1775498666.6600001</v>
      </c>
      <c r="M175" s="127">
        <v>0</v>
      </c>
      <c r="N175" s="435"/>
      <c r="O175" s="435" t="s">
        <v>2622</v>
      </c>
      <c r="P175" s="194">
        <v>1</v>
      </c>
      <c r="Q175" s="195">
        <v>3</v>
      </c>
      <c r="R175" s="195">
        <v>3</v>
      </c>
      <c r="S175" s="195">
        <v>2</v>
      </c>
      <c r="T175" s="195" t="s">
        <v>1344</v>
      </c>
      <c r="U175" s="26" t="s">
        <v>421</v>
      </c>
      <c r="V175" s="15">
        <v>0.3</v>
      </c>
      <c r="W175" s="26" t="s">
        <v>422</v>
      </c>
      <c r="X175" s="26"/>
      <c r="Y175" s="14" t="s">
        <v>2587</v>
      </c>
      <c r="Z175" s="26" t="s">
        <v>2436</v>
      </c>
      <c r="AA175" s="239">
        <f t="shared" si="23"/>
        <v>1.9481999999999998E-3</v>
      </c>
      <c r="AB175" s="252">
        <v>0</v>
      </c>
      <c r="AC175" s="262">
        <f>+(Tabla1[[#This Row],[Avance PDI]]*100%)/Tabla1[[#This Row],[ponderacion_meta]]</f>
        <v>0</v>
      </c>
      <c r="AD175" s="257">
        <v>7.2155555555555558E-4</v>
      </c>
      <c r="AE175" s="257">
        <v>2.1646666666666667E-3</v>
      </c>
      <c r="AF175" s="257">
        <v>2.1646666666666667E-3</v>
      </c>
      <c r="AG175" s="257">
        <v>1.4431111111111112E-3</v>
      </c>
      <c r="AH175" s="393">
        <f t="shared" si="21"/>
        <v>1.9088790000000005E-2</v>
      </c>
      <c r="AI175" s="393">
        <f t="shared" si="22"/>
        <v>4.2766666666666675E-2</v>
      </c>
      <c r="AJ175" s="318">
        <f t="shared" si="20"/>
        <v>4.2766666666666675E-2</v>
      </c>
      <c r="AK175" s="385">
        <v>4.3922900000000001E-3</v>
      </c>
      <c r="AL175" s="402">
        <f t="shared" si="24"/>
        <v>3.2499999999999994E-2</v>
      </c>
      <c r="AM175" s="325">
        <v>0</v>
      </c>
      <c r="AN175" s="411">
        <f t="shared" si="26"/>
        <v>8.333333333333335E-3</v>
      </c>
      <c r="AO175" s="359" t="e">
        <f>+([1]!Tabla1[[#This Row],[ponderacion_accion]]/9)*AQ175</f>
        <v>#REF!</v>
      </c>
      <c r="AP175" s="359" t="e">
        <f>Tabla1[[#This Row],[ponderacion_meta]]*AO175</f>
        <v>#REF!</v>
      </c>
      <c r="AQ175" s="351"/>
      <c r="AR175" s="380">
        <v>0</v>
      </c>
      <c r="AS175" s="9"/>
      <c r="AT175" s="521">
        <v>0</v>
      </c>
    </row>
    <row r="176" spans="1:46" ht="15" customHeight="1" x14ac:dyDescent="0.35">
      <c r="A176" s="236" t="s">
        <v>1150</v>
      </c>
      <c r="B176" s="237" t="s">
        <v>148</v>
      </c>
      <c r="C176" s="237" t="s">
        <v>1719</v>
      </c>
      <c r="D176" s="237" t="s">
        <v>1157</v>
      </c>
      <c r="E176" s="172" t="s">
        <v>324</v>
      </c>
      <c r="F176" s="176" t="s">
        <v>2599</v>
      </c>
      <c r="G176" s="160" t="s">
        <v>390</v>
      </c>
      <c r="H176" s="160" t="s">
        <v>1729</v>
      </c>
      <c r="I176" s="14" t="s">
        <v>417</v>
      </c>
      <c r="J176" s="265">
        <v>6.4939999999999998E-3</v>
      </c>
      <c r="K176" s="26" t="s">
        <v>418</v>
      </c>
      <c r="L176" s="127">
        <v>1775498666.6600001</v>
      </c>
      <c r="M176" s="127">
        <v>0</v>
      </c>
      <c r="N176" s="435"/>
      <c r="O176" s="435" t="s">
        <v>2622</v>
      </c>
      <c r="P176" s="194">
        <v>1</v>
      </c>
      <c r="Q176" s="195">
        <v>3</v>
      </c>
      <c r="R176" s="195">
        <v>3</v>
      </c>
      <c r="S176" s="195">
        <v>2</v>
      </c>
      <c r="T176" s="195" t="s">
        <v>1345</v>
      </c>
      <c r="U176" s="26" t="s">
        <v>423</v>
      </c>
      <c r="V176" s="15">
        <v>0.6</v>
      </c>
      <c r="W176" s="26" t="s">
        <v>424</v>
      </c>
      <c r="X176" s="26"/>
      <c r="Y176" s="14" t="s">
        <v>2587</v>
      </c>
      <c r="Z176" s="26" t="s">
        <v>2436</v>
      </c>
      <c r="AA176" s="239">
        <f t="shared" si="23"/>
        <v>3.8963999999999995E-3</v>
      </c>
      <c r="AB176" s="252">
        <v>0</v>
      </c>
      <c r="AC176" s="262">
        <f>+(Tabla1[[#This Row],[Avance PDI]]*100%)/Tabla1[[#This Row],[ponderacion_meta]]</f>
        <v>0</v>
      </c>
      <c r="AD176" s="257">
        <v>7.2155555555555558E-4</v>
      </c>
      <c r="AE176" s="257">
        <v>2.1646666666666667E-3</v>
      </c>
      <c r="AF176" s="257">
        <v>2.1646666666666667E-3</v>
      </c>
      <c r="AG176" s="257">
        <v>1.4431111111111112E-3</v>
      </c>
      <c r="AH176" s="393">
        <f t="shared" si="21"/>
        <v>1.9088790000000005E-2</v>
      </c>
      <c r="AI176" s="393">
        <f t="shared" si="22"/>
        <v>4.2766666666666675E-2</v>
      </c>
      <c r="AJ176" s="318">
        <f t="shared" si="20"/>
        <v>4.2766666666666675E-2</v>
      </c>
      <c r="AK176" s="385">
        <v>4.3922900000000001E-3</v>
      </c>
      <c r="AL176" s="402">
        <f t="shared" si="24"/>
        <v>3.2499999999999994E-2</v>
      </c>
      <c r="AM176" s="325">
        <v>0</v>
      </c>
      <c r="AN176" s="411">
        <f t="shared" si="26"/>
        <v>8.333333333333335E-3</v>
      </c>
      <c r="AO176" s="360" t="e">
        <f>+([1]!Tabla1[[#This Row],[ponderacion_accion]]/9)*AQ176</f>
        <v>#REF!</v>
      </c>
      <c r="AP176" s="360" t="e">
        <f>Tabla1[[#This Row],[ponderacion_meta]]*AO176</f>
        <v>#REF!</v>
      </c>
      <c r="AQ176" s="356"/>
      <c r="AR176" s="380">
        <v>0</v>
      </c>
      <c r="AS176" s="9"/>
      <c r="AT176" s="521">
        <v>0</v>
      </c>
    </row>
    <row r="177" spans="1:46" ht="15" customHeight="1" x14ac:dyDescent="0.35">
      <c r="A177" s="236" t="s">
        <v>1150</v>
      </c>
      <c r="B177" s="237" t="s">
        <v>148</v>
      </c>
      <c r="C177" s="237" t="s">
        <v>1719</v>
      </c>
      <c r="D177" s="237" t="s">
        <v>1157</v>
      </c>
      <c r="E177" s="172" t="s">
        <v>324</v>
      </c>
      <c r="F177" s="176" t="s">
        <v>2599</v>
      </c>
      <c r="G177" s="160" t="s">
        <v>390</v>
      </c>
      <c r="H177" s="160" t="s">
        <v>1729</v>
      </c>
      <c r="I177" s="23" t="s">
        <v>425</v>
      </c>
      <c r="J177" s="264">
        <v>6.4939999999999998E-3</v>
      </c>
      <c r="K177" s="24" t="s">
        <v>426</v>
      </c>
      <c r="L177" s="128">
        <v>17978333.329999998</v>
      </c>
      <c r="M177" s="128">
        <v>0</v>
      </c>
      <c r="N177" s="436"/>
      <c r="O177" s="436" t="s">
        <v>2622</v>
      </c>
      <c r="P177" s="192">
        <v>3</v>
      </c>
      <c r="Q177" s="193">
        <v>3</v>
      </c>
      <c r="R177" s="193">
        <v>3</v>
      </c>
      <c r="S177" s="193">
        <v>3</v>
      </c>
      <c r="T177" s="193" t="s">
        <v>1346</v>
      </c>
      <c r="U177" s="24" t="s">
        <v>427</v>
      </c>
      <c r="V177" s="25">
        <v>0.25</v>
      </c>
      <c r="W177" s="24" t="s">
        <v>358</v>
      </c>
      <c r="X177" s="24"/>
      <c r="Y177" s="23" t="s">
        <v>2587</v>
      </c>
      <c r="Z177" s="24" t="s">
        <v>2436</v>
      </c>
      <c r="AA177" s="238">
        <f t="shared" si="23"/>
        <v>1.6234999999999999E-3</v>
      </c>
      <c r="AB177" s="252">
        <v>0</v>
      </c>
      <c r="AC177" s="278">
        <f>+(Tabla1[[#This Row],[Avance PDI]]*100%)/Tabla1[[#This Row],[ponderacion_meta]]</f>
        <v>0</v>
      </c>
      <c r="AD177" s="279">
        <f>+Tabla1[[#This Row],[ponderacion_meta]]/12*3</f>
        <v>1.6234999999999999E-3</v>
      </c>
      <c r="AE177" s="279">
        <f>+Tabla1[[#This Row],[ponderacion_meta]]/12*3</f>
        <v>1.6234999999999999E-3</v>
      </c>
      <c r="AF177" s="279">
        <f>+Tabla1[[#This Row],[ponderacion_meta]]/12*3</f>
        <v>1.6234999999999999E-3</v>
      </c>
      <c r="AG177" s="279">
        <f>+Tabla1[[#This Row],[ponderacion_meta]]/12*3</f>
        <v>1.6234999999999999E-3</v>
      </c>
      <c r="AH177" s="393">
        <f t="shared" si="21"/>
        <v>1.9088790000000005E-2</v>
      </c>
      <c r="AI177" s="393">
        <f t="shared" si="22"/>
        <v>4.2766666666666675E-2</v>
      </c>
      <c r="AJ177" s="318">
        <f t="shared" si="20"/>
        <v>4.2766666666666675E-2</v>
      </c>
      <c r="AK177" s="385">
        <v>4.3922900000000001E-3</v>
      </c>
      <c r="AL177" s="402">
        <f t="shared" si="24"/>
        <v>3.2499999999999994E-2</v>
      </c>
      <c r="AM177" s="325">
        <v>0</v>
      </c>
      <c r="AN177" s="411">
        <f t="shared" si="26"/>
        <v>8.333333333333335E-3</v>
      </c>
      <c r="AO177" s="343" t="e">
        <f>+([1]!Tabla1[[#This Row],[ponderacion_accion]]/12)*AQ177</f>
        <v>#REF!</v>
      </c>
      <c r="AP177" s="343" t="e">
        <f>Tabla1[[#This Row],[ponderacion_meta]]*AO177</f>
        <v>#REF!</v>
      </c>
      <c r="AQ177" s="353"/>
      <c r="AR177" s="377">
        <v>0</v>
      </c>
      <c r="AS177" s="7" t="e">
        <f>+((SUM(AO177:AO179)*100)/50)</f>
        <v>#REF!</v>
      </c>
      <c r="AT177" s="521">
        <v>0</v>
      </c>
    </row>
    <row r="178" spans="1:46" ht="15" customHeight="1" x14ac:dyDescent="0.35">
      <c r="A178" s="236" t="s">
        <v>1150</v>
      </c>
      <c r="B178" s="237" t="s">
        <v>148</v>
      </c>
      <c r="C178" s="237" t="s">
        <v>1719</v>
      </c>
      <c r="D178" s="237" t="s">
        <v>1157</v>
      </c>
      <c r="E178" s="172" t="s">
        <v>324</v>
      </c>
      <c r="F178" s="176" t="s">
        <v>2599</v>
      </c>
      <c r="G178" s="160" t="s">
        <v>390</v>
      </c>
      <c r="H178" s="160" t="s">
        <v>1729</v>
      </c>
      <c r="I178" s="23" t="s">
        <v>425</v>
      </c>
      <c r="J178" s="264">
        <v>6.4939999999999998E-3</v>
      </c>
      <c r="K178" s="24" t="s">
        <v>426</v>
      </c>
      <c r="L178" s="128">
        <v>17978333.329999998</v>
      </c>
      <c r="M178" s="128">
        <v>0</v>
      </c>
      <c r="N178" s="436"/>
      <c r="O178" s="436" t="s">
        <v>2622</v>
      </c>
      <c r="P178" s="192">
        <v>3</v>
      </c>
      <c r="Q178" s="193">
        <v>3</v>
      </c>
      <c r="R178" s="193">
        <v>3</v>
      </c>
      <c r="S178" s="193">
        <v>3</v>
      </c>
      <c r="T178" s="193" t="s">
        <v>1347</v>
      </c>
      <c r="U178" s="24" t="s">
        <v>428</v>
      </c>
      <c r="V178" s="25">
        <v>0.6</v>
      </c>
      <c r="W178" s="24" t="s">
        <v>429</v>
      </c>
      <c r="X178" s="24"/>
      <c r="Y178" s="23" t="s">
        <v>2587</v>
      </c>
      <c r="Z178" s="24" t="s">
        <v>2436</v>
      </c>
      <c r="AA178" s="238">
        <f t="shared" si="23"/>
        <v>3.8963999999999995E-3</v>
      </c>
      <c r="AB178" s="252">
        <v>0</v>
      </c>
      <c r="AC178" s="278">
        <f>+(Tabla1[[#This Row],[Avance PDI]]*100%)/Tabla1[[#This Row],[ponderacion_meta]]</f>
        <v>0</v>
      </c>
      <c r="AD178" s="279">
        <v>1.6234999999999999E-3</v>
      </c>
      <c r="AE178" s="279">
        <v>1.6234999999999999E-3</v>
      </c>
      <c r="AF178" s="279">
        <v>1.6234999999999999E-3</v>
      </c>
      <c r="AG178" s="279">
        <v>1.6234999999999999E-3</v>
      </c>
      <c r="AH178" s="393">
        <f t="shared" si="21"/>
        <v>1.9088790000000005E-2</v>
      </c>
      <c r="AI178" s="393">
        <f t="shared" si="22"/>
        <v>4.2766666666666675E-2</v>
      </c>
      <c r="AJ178" s="318">
        <f t="shared" si="20"/>
        <v>4.2766666666666675E-2</v>
      </c>
      <c r="AK178" s="385">
        <v>4.3922900000000001E-3</v>
      </c>
      <c r="AL178" s="402">
        <f t="shared" si="24"/>
        <v>3.2499999999999994E-2</v>
      </c>
      <c r="AM178" s="325">
        <v>0</v>
      </c>
      <c r="AN178" s="411">
        <f t="shared" si="26"/>
        <v>8.333333333333335E-3</v>
      </c>
      <c r="AO178" s="344" t="e">
        <f>+([1]!Tabla1[[#This Row],[ponderacion_accion]]/12)*AQ178</f>
        <v>#REF!</v>
      </c>
      <c r="AP178" s="344" t="e">
        <f>Tabla1[[#This Row],[ponderacion_meta]]*AO178</f>
        <v>#REF!</v>
      </c>
      <c r="AQ178" s="354"/>
      <c r="AR178" s="378">
        <v>0</v>
      </c>
      <c r="AS178" s="9"/>
      <c r="AT178" s="521">
        <v>0</v>
      </c>
    </row>
    <row r="179" spans="1:46" ht="15" customHeight="1" x14ac:dyDescent="0.35">
      <c r="A179" s="236" t="s">
        <v>1150</v>
      </c>
      <c r="B179" s="237" t="s">
        <v>148</v>
      </c>
      <c r="C179" s="237" t="s">
        <v>1719</v>
      </c>
      <c r="D179" s="237" t="s">
        <v>1157</v>
      </c>
      <c r="E179" s="172" t="s">
        <v>324</v>
      </c>
      <c r="F179" s="176" t="s">
        <v>2599</v>
      </c>
      <c r="G179" s="160" t="s">
        <v>390</v>
      </c>
      <c r="H179" s="160" t="s">
        <v>1729</v>
      </c>
      <c r="I179" s="23" t="s">
        <v>425</v>
      </c>
      <c r="J179" s="264">
        <v>6.4939999999999998E-3</v>
      </c>
      <c r="K179" s="24" t="s">
        <v>426</v>
      </c>
      <c r="L179" s="128">
        <v>17978333.329999998</v>
      </c>
      <c r="M179" s="128">
        <v>0</v>
      </c>
      <c r="N179" s="436"/>
      <c r="O179" s="436" t="s">
        <v>2622</v>
      </c>
      <c r="P179" s="192">
        <v>3</v>
      </c>
      <c r="Q179" s="193">
        <v>3</v>
      </c>
      <c r="R179" s="193">
        <v>3</v>
      </c>
      <c r="S179" s="193">
        <v>3</v>
      </c>
      <c r="T179" s="193" t="s">
        <v>1348</v>
      </c>
      <c r="U179" s="24" t="s">
        <v>430</v>
      </c>
      <c r="V179" s="25">
        <v>0.15</v>
      </c>
      <c r="W179" s="24" t="s">
        <v>431</v>
      </c>
      <c r="X179" s="24"/>
      <c r="Y179" s="23" t="s">
        <v>2587</v>
      </c>
      <c r="Z179" s="24" t="s">
        <v>2436</v>
      </c>
      <c r="AA179" s="238">
        <f t="shared" si="23"/>
        <v>9.7409999999999988E-4</v>
      </c>
      <c r="AB179" s="252">
        <v>0</v>
      </c>
      <c r="AC179" s="278">
        <f>+(Tabla1[[#This Row],[Avance PDI]]*100%)/Tabla1[[#This Row],[ponderacion_meta]]</f>
        <v>0</v>
      </c>
      <c r="AD179" s="279">
        <v>1.6234999999999999E-3</v>
      </c>
      <c r="AE179" s="279">
        <v>1.6234999999999999E-3</v>
      </c>
      <c r="AF179" s="279">
        <v>1.6234999999999999E-3</v>
      </c>
      <c r="AG179" s="279">
        <v>1.6234999999999999E-3</v>
      </c>
      <c r="AH179" s="393">
        <f t="shared" si="21"/>
        <v>1.9088790000000005E-2</v>
      </c>
      <c r="AI179" s="393">
        <f t="shared" si="22"/>
        <v>4.2766666666666675E-2</v>
      </c>
      <c r="AJ179" s="318">
        <f t="shared" si="20"/>
        <v>4.2766666666666675E-2</v>
      </c>
      <c r="AK179" s="385">
        <v>4.3922900000000001E-3</v>
      </c>
      <c r="AL179" s="402">
        <f t="shared" si="24"/>
        <v>3.2499999999999994E-2</v>
      </c>
      <c r="AM179" s="325">
        <v>0</v>
      </c>
      <c r="AN179" s="411">
        <f t="shared" si="26"/>
        <v>8.333333333333335E-3</v>
      </c>
      <c r="AO179" s="345" t="e">
        <f>+([1]!Tabla1[[#This Row],[ponderacion_accion]]/12)*AQ179</f>
        <v>#REF!</v>
      </c>
      <c r="AP179" s="345" t="e">
        <f>Tabla1[[#This Row],[ponderacion_meta]]*AO179</f>
        <v>#REF!</v>
      </c>
      <c r="AQ179" s="357"/>
      <c r="AR179" s="379">
        <v>0</v>
      </c>
      <c r="AS179" s="9"/>
      <c r="AT179" s="521">
        <v>0</v>
      </c>
    </row>
    <row r="180" spans="1:46" ht="15" customHeight="1" x14ac:dyDescent="0.35">
      <c r="A180" s="236" t="s">
        <v>1150</v>
      </c>
      <c r="B180" s="237" t="s">
        <v>148</v>
      </c>
      <c r="C180" s="237" t="s">
        <v>1719</v>
      </c>
      <c r="D180" s="237" t="s">
        <v>1157</v>
      </c>
      <c r="E180" s="172" t="s">
        <v>324</v>
      </c>
      <c r="F180" s="176" t="s">
        <v>2599</v>
      </c>
      <c r="G180" s="160" t="s">
        <v>390</v>
      </c>
      <c r="H180" s="160" t="s">
        <v>1729</v>
      </c>
      <c r="I180" s="14" t="s">
        <v>432</v>
      </c>
      <c r="J180" s="265">
        <v>1.1627999999999999E-2</v>
      </c>
      <c r="K180" s="26" t="s">
        <v>433</v>
      </c>
      <c r="L180" s="127">
        <v>0</v>
      </c>
      <c r="M180" s="127">
        <v>0</v>
      </c>
      <c r="N180" s="435"/>
      <c r="O180" s="435" t="s">
        <v>1753</v>
      </c>
      <c r="P180" s="185">
        <v>0.2</v>
      </c>
      <c r="Q180" s="186">
        <v>0.2</v>
      </c>
      <c r="R180" s="186">
        <v>0.2</v>
      </c>
      <c r="S180" s="186">
        <v>0.2</v>
      </c>
      <c r="T180" s="186" t="s">
        <v>1349</v>
      </c>
      <c r="U180" s="26" t="s">
        <v>434</v>
      </c>
      <c r="V180" s="15">
        <v>0.4</v>
      </c>
      <c r="W180" s="26" t="s">
        <v>435</v>
      </c>
      <c r="X180" s="26"/>
      <c r="Y180" s="14" t="s">
        <v>2587</v>
      </c>
      <c r="Z180" s="26" t="s">
        <v>2436</v>
      </c>
      <c r="AA180" s="239">
        <f t="shared" si="23"/>
        <v>4.6512000000000003E-3</v>
      </c>
      <c r="AB180" s="252">
        <v>0</v>
      </c>
      <c r="AC180" s="262">
        <f>+(Tabla1[[#This Row],[Avance PDI]]*100%)/Tabla1[[#This Row],[ponderacion_meta]]</f>
        <v>0</v>
      </c>
      <c r="AD180" s="257">
        <f>+Tabla1[[#This Row],[ponderacion_meta]]/80%*Tabla1[[#This Row],[proyeccion_año1]]</f>
        <v>2.9069999999999999E-3</v>
      </c>
      <c r="AE180" s="257">
        <f>+Tabla1[[#This Row],[ponderacion_meta]]/80%*Tabla1[[#This Row],[proyeccion_año2]]</f>
        <v>2.9069999999999999E-3</v>
      </c>
      <c r="AF180" s="257">
        <f>+Tabla1[[#This Row],[ponderacion_meta]]/80%*Tabla1[[#This Row],[proyeccion_año3]]</f>
        <v>2.9069999999999999E-3</v>
      </c>
      <c r="AG180" s="257">
        <f>+Tabla1[[#This Row],[ponderacion_meta]]/80%*Tabla1[[#This Row],[proyeccion_año4]]</f>
        <v>2.9069999999999999E-3</v>
      </c>
      <c r="AH180" s="393">
        <f t="shared" si="21"/>
        <v>1.9088790000000005E-2</v>
      </c>
      <c r="AI180" s="393">
        <f t="shared" si="22"/>
        <v>4.2766666666666675E-2</v>
      </c>
      <c r="AJ180" s="318">
        <f t="shared" si="20"/>
        <v>4.2766666666666675E-2</v>
      </c>
      <c r="AK180" s="385">
        <v>4.3922900000000001E-3</v>
      </c>
      <c r="AL180" s="402">
        <f t="shared" si="24"/>
        <v>3.2499999999999994E-2</v>
      </c>
      <c r="AM180" s="325">
        <v>0</v>
      </c>
      <c r="AN180" s="411">
        <f t="shared" si="26"/>
        <v>8.333333333333335E-3</v>
      </c>
      <c r="AO180" s="358" t="e">
        <f>+([1]!Tabla1[[#This Row],[ponderacion_accion]]/4)*AQ180</f>
        <v>#REF!</v>
      </c>
      <c r="AP180" s="358" t="e">
        <f>Tabla1[[#This Row],[ponderacion_meta]]*AO180</f>
        <v>#REF!</v>
      </c>
      <c r="AQ180" s="361"/>
      <c r="AR180" s="380">
        <v>0</v>
      </c>
      <c r="AS180" s="7" t="e">
        <f>+((SUM(AO180:AO181)*100)/50)</f>
        <v>#REF!</v>
      </c>
      <c r="AT180" s="521">
        <v>0</v>
      </c>
    </row>
    <row r="181" spans="1:46" ht="15" customHeight="1" x14ac:dyDescent="0.35">
      <c r="A181" s="236" t="s">
        <v>1150</v>
      </c>
      <c r="B181" s="237" t="s">
        <v>148</v>
      </c>
      <c r="C181" s="237" t="s">
        <v>1719</v>
      </c>
      <c r="D181" s="237" t="s">
        <v>1157</v>
      </c>
      <c r="E181" s="172" t="s">
        <v>324</v>
      </c>
      <c r="F181" s="176" t="s">
        <v>2599</v>
      </c>
      <c r="G181" s="160" t="s">
        <v>390</v>
      </c>
      <c r="H181" s="160" t="s">
        <v>1729</v>
      </c>
      <c r="I181" s="14" t="s">
        <v>432</v>
      </c>
      <c r="J181" s="265">
        <v>1.1627999999999999E-2</v>
      </c>
      <c r="K181" s="26" t="s">
        <v>433</v>
      </c>
      <c r="L181" s="127">
        <v>0</v>
      </c>
      <c r="M181" s="127">
        <v>0</v>
      </c>
      <c r="N181" s="435"/>
      <c r="O181" s="435" t="s">
        <v>1753</v>
      </c>
      <c r="P181" s="185">
        <v>0.2</v>
      </c>
      <c r="Q181" s="186">
        <v>0.2</v>
      </c>
      <c r="R181" s="186">
        <v>0.2</v>
      </c>
      <c r="S181" s="186">
        <v>0.2</v>
      </c>
      <c r="T181" s="186" t="s">
        <v>1350</v>
      </c>
      <c r="U181" s="26" t="s">
        <v>436</v>
      </c>
      <c r="V181" s="15">
        <v>0.6</v>
      </c>
      <c r="W181" s="26" t="s">
        <v>437</v>
      </c>
      <c r="X181" s="26"/>
      <c r="Y181" s="14" t="s">
        <v>2587</v>
      </c>
      <c r="Z181" s="26" t="s">
        <v>2436</v>
      </c>
      <c r="AA181" s="239">
        <f t="shared" si="23"/>
        <v>6.9767999999999991E-3</v>
      </c>
      <c r="AB181" s="252">
        <v>0</v>
      </c>
      <c r="AC181" s="262">
        <f>+(Tabla1[[#This Row],[Avance PDI]]*100%)/Tabla1[[#This Row],[ponderacion_meta]]</f>
        <v>0</v>
      </c>
      <c r="AD181" s="257">
        <v>2.9069999999999999E-3</v>
      </c>
      <c r="AE181" s="257">
        <v>2.9069999999999999E-3</v>
      </c>
      <c r="AF181" s="257">
        <v>2.9069999999999999E-3</v>
      </c>
      <c r="AG181" s="257">
        <v>2.9069999999999999E-3</v>
      </c>
      <c r="AH181" s="393">
        <f t="shared" si="21"/>
        <v>1.9088790000000005E-2</v>
      </c>
      <c r="AI181" s="393">
        <f t="shared" si="22"/>
        <v>4.2766666666666675E-2</v>
      </c>
      <c r="AJ181" s="318">
        <f t="shared" si="20"/>
        <v>4.2766666666666675E-2</v>
      </c>
      <c r="AK181" s="385">
        <v>4.3922900000000001E-3</v>
      </c>
      <c r="AL181" s="402">
        <f t="shared" si="24"/>
        <v>3.2499999999999994E-2</v>
      </c>
      <c r="AM181" s="325">
        <v>0</v>
      </c>
      <c r="AN181" s="411">
        <f t="shared" si="26"/>
        <v>8.333333333333335E-3</v>
      </c>
      <c r="AO181" s="360" t="e">
        <f>+([1]!Tabla1[[#This Row],[ponderacion_accion]]/4)*AQ181</f>
        <v>#REF!</v>
      </c>
      <c r="AP181" s="360" t="e">
        <f>Tabla1[[#This Row],[ponderacion_meta]]*AO181</f>
        <v>#REF!</v>
      </c>
      <c r="AQ181" s="356"/>
      <c r="AR181" s="380">
        <v>0</v>
      </c>
      <c r="AS181" s="9"/>
      <c r="AT181" s="521">
        <v>0</v>
      </c>
    </row>
    <row r="182" spans="1:46" ht="15" customHeight="1" x14ac:dyDescent="0.35">
      <c r="A182" s="236" t="s">
        <v>1150</v>
      </c>
      <c r="B182" s="237" t="s">
        <v>148</v>
      </c>
      <c r="C182" s="237" t="s">
        <v>1719</v>
      </c>
      <c r="D182" s="237" t="s">
        <v>1158</v>
      </c>
      <c r="E182" s="178" t="s">
        <v>438</v>
      </c>
      <c r="F182" s="156" t="s">
        <v>2600</v>
      </c>
      <c r="G182" s="161" t="s">
        <v>439</v>
      </c>
      <c r="H182" s="419" t="s">
        <v>1728</v>
      </c>
      <c r="I182" s="32" t="s">
        <v>440</v>
      </c>
      <c r="J182" s="264">
        <v>1.1627999999999999E-2</v>
      </c>
      <c r="K182" s="33" t="s">
        <v>441</v>
      </c>
      <c r="L182" s="129">
        <v>150000000</v>
      </c>
      <c r="M182" s="129">
        <v>0</v>
      </c>
      <c r="N182" s="437"/>
      <c r="O182" s="437" t="s">
        <v>2622</v>
      </c>
      <c r="P182" s="192">
        <v>0</v>
      </c>
      <c r="Q182" s="193">
        <v>4</v>
      </c>
      <c r="R182" s="193">
        <v>5</v>
      </c>
      <c r="S182" s="193">
        <v>4</v>
      </c>
      <c r="T182" s="193" t="s">
        <v>1351</v>
      </c>
      <c r="U182" s="33" t="s">
        <v>442</v>
      </c>
      <c r="V182" s="34">
        <v>0.1</v>
      </c>
      <c r="W182" s="33" t="s">
        <v>394</v>
      </c>
      <c r="X182" s="33"/>
      <c r="Y182" s="32" t="s">
        <v>2587</v>
      </c>
      <c r="Z182" s="489" t="s">
        <v>2549</v>
      </c>
      <c r="AA182" s="238">
        <f t="shared" si="23"/>
        <v>1.1628000000000001E-3</v>
      </c>
      <c r="AB182" s="252">
        <v>0</v>
      </c>
      <c r="AC182" s="278">
        <f>+(Tabla1[[#This Row],[Avance PDI]]*100%)/Tabla1[[#This Row],[ponderacion_meta]]</f>
        <v>0</v>
      </c>
      <c r="AD182" s="279">
        <f>+Tabla1[[#This Row],[ponderacion_meta]]*Tabla1[[#This Row],[proyeccion_año1]]</f>
        <v>0</v>
      </c>
      <c r="AE182" s="279">
        <f>+Tabla1[[#This Row],[ponderacion_meta]]/13*Tabla1[[#This Row],[proyeccion_año2]]</f>
        <v>3.5778461538461537E-3</v>
      </c>
      <c r="AF182" s="279">
        <f>+Tabla1[[#This Row],[ponderacion_meta]]/13*Tabla1[[#This Row],[proyeccion_año3]]</f>
        <v>4.4723076923076921E-3</v>
      </c>
      <c r="AG182" s="279">
        <f>+Tabla1[[#This Row],[ponderacion_meta]]/13*Tabla1[[#This Row],[proyeccion_año4]]</f>
        <v>3.5778461538461537E-3</v>
      </c>
      <c r="AH182" s="393">
        <f t="shared" si="21"/>
        <v>1.9088790000000005E-2</v>
      </c>
      <c r="AI182" s="393">
        <f t="shared" si="22"/>
        <v>4.2766666666666675E-2</v>
      </c>
      <c r="AJ182" s="318">
        <f t="shared" si="20"/>
        <v>4.2766666666666675E-2</v>
      </c>
      <c r="AK182" s="388">
        <v>1.6234999999999999E-3</v>
      </c>
      <c r="AL182" s="315">
        <f>+SUM(AC182:AC196)/4</f>
        <v>6.25E-2</v>
      </c>
      <c r="AM182" s="326">
        <f>+SUM(AB182:AB191)</f>
        <v>1.6234999999999999E-3</v>
      </c>
      <c r="AN182" s="410">
        <f>+SUM(AC182:AC191)/3</f>
        <v>8.3333333333333329E-2</v>
      </c>
      <c r="AO182" s="343" t="e">
        <f>+([1]!Tabla1[[#This Row],[ponderacion_accion]]/13)*AQ182</f>
        <v>#REF!</v>
      </c>
      <c r="AP182" s="343" t="e">
        <f>Tabla1[[#This Row],[ponderacion_meta]]*AO182</f>
        <v>#REF!</v>
      </c>
      <c r="AQ182" s="353"/>
      <c r="AR182" s="377">
        <v>0</v>
      </c>
      <c r="AS182" s="7" t="e">
        <f>+((SUM(AO182:AO185)*100)/30.76)</f>
        <v>#REF!</v>
      </c>
      <c r="AT182" s="521">
        <v>0</v>
      </c>
    </row>
    <row r="183" spans="1:46" ht="15" customHeight="1" x14ac:dyDescent="0.35">
      <c r="A183" s="236" t="s">
        <v>1150</v>
      </c>
      <c r="B183" s="237" t="s">
        <v>148</v>
      </c>
      <c r="C183" s="237" t="s">
        <v>1719</v>
      </c>
      <c r="D183" s="237" t="s">
        <v>1158</v>
      </c>
      <c r="E183" s="178" t="s">
        <v>438</v>
      </c>
      <c r="F183" s="156" t="s">
        <v>2600</v>
      </c>
      <c r="G183" s="161" t="s">
        <v>439</v>
      </c>
      <c r="H183" s="161" t="s">
        <v>1728</v>
      </c>
      <c r="I183" s="32" t="s">
        <v>440</v>
      </c>
      <c r="J183" s="264">
        <v>1.1627999999999999E-2</v>
      </c>
      <c r="K183" s="33" t="s">
        <v>441</v>
      </c>
      <c r="L183" s="129">
        <v>150000000</v>
      </c>
      <c r="M183" s="129">
        <v>0</v>
      </c>
      <c r="N183" s="437"/>
      <c r="O183" s="437" t="s">
        <v>2622</v>
      </c>
      <c r="P183" s="192">
        <v>0</v>
      </c>
      <c r="Q183" s="193">
        <v>4</v>
      </c>
      <c r="R183" s="193">
        <v>5</v>
      </c>
      <c r="S183" s="193">
        <v>4</v>
      </c>
      <c r="T183" s="193" t="s">
        <v>1352</v>
      </c>
      <c r="U183" s="33" t="s">
        <v>443</v>
      </c>
      <c r="V183" s="34">
        <v>0.25</v>
      </c>
      <c r="W183" s="33" t="s">
        <v>444</v>
      </c>
      <c r="X183" s="33"/>
      <c r="Y183" s="32" t="s">
        <v>2587</v>
      </c>
      <c r="Z183" s="489" t="s">
        <v>2549</v>
      </c>
      <c r="AA183" s="238">
        <f t="shared" si="23"/>
        <v>2.9069999999999999E-3</v>
      </c>
      <c r="AB183" s="252">
        <v>0</v>
      </c>
      <c r="AC183" s="278">
        <f>+(Tabla1[[#This Row],[Avance PDI]]*100%)/Tabla1[[#This Row],[ponderacion_meta]]</f>
        <v>0</v>
      </c>
      <c r="AD183" s="279">
        <v>0</v>
      </c>
      <c r="AE183" s="279">
        <v>3.5778461538461537E-3</v>
      </c>
      <c r="AF183" s="279">
        <v>4.4723076923076921E-3</v>
      </c>
      <c r="AG183" s="279">
        <v>3.5778461538461537E-3</v>
      </c>
      <c r="AH183" s="393">
        <f t="shared" si="21"/>
        <v>1.9088790000000005E-2</v>
      </c>
      <c r="AI183" s="393">
        <f t="shared" si="22"/>
        <v>4.2766666666666675E-2</v>
      </c>
      <c r="AJ183" s="318">
        <f t="shared" si="20"/>
        <v>4.2766666666666675E-2</v>
      </c>
      <c r="AK183" s="388">
        <v>1.6234999999999999E-3</v>
      </c>
      <c r="AL183" s="408">
        <f>$AL$182</f>
        <v>6.25E-2</v>
      </c>
      <c r="AM183" s="327">
        <v>0</v>
      </c>
      <c r="AN183" s="410">
        <f>$AN$182</f>
        <v>8.3333333333333329E-2</v>
      </c>
      <c r="AO183" s="344" t="e">
        <f>+([1]!Tabla1[[#This Row],[ponderacion_accion]]/13)*AQ183</f>
        <v>#REF!</v>
      </c>
      <c r="AP183" s="344" t="e">
        <f>Tabla1[[#This Row],[ponderacion_meta]]*AO183</f>
        <v>#REF!</v>
      </c>
      <c r="AQ183" s="354"/>
      <c r="AR183" s="378">
        <v>0</v>
      </c>
      <c r="AS183" s="9"/>
      <c r="AT183" s="521">
        <v>0</v>
      </c>
    </row>
    <row r="184" spans="1:46" ht="15" customHeight="1" x14ac:dyDescent="0.35">
      <c r="A184" s="236" t="s">
        <v>1150</v>
      </c>
      <c r="B184" s="237" t="s">
        <v>148</v>
      </c>
      <c r="C184" s="237" t="s">
        <v>1719</v>
      </c>
      <c r="D184" s="237" t="s">
        <v>1158</v>
      </c>
      <c r="E184" s="178" t="s">
        <v>438</v>
      </c>
      <c r="F184" s="156" t="s">
        <v>2600</v>
      </c>
      <c r="G184" s="161" t="s">
        <v>439</v>
      </c>
      <c r="H184" s="161" t="s">
        <v>1728</v>
      </c>
      <c r="I184" s="32" t="s">
        <v>440</v>
      </c>
      <c r="J184" s="264">
        <v>1.1627999999999999E-2</v>
      </c>
      <c r="K184" s="33" t="s">
        <v>441</v>
      </c>
      <c r="L184" s="129">
        <v>150000000</v>
      </c>
      <c r="M184" s="129">
        <v>0</v>
      </c>
      <c r="N184" s="437"/>
      <c r="O184" s="437" t="s">
        <v>2622</v>
      </c>
      <c r="P184" s="192">
        <v>0</v>
      </c>
      <c r="Q184" s="193">
        <v>4</v>
      </c>
      <c r="R184" s="193">
        <v>5</v>
      </c>
      <c r="S184" s="193">
        <v>4</v>
      </c>
      <c r="T184" s="193" t="s">
        <v>1353</v>
      </c>
      <c r="U184" s="35" t="s">
        <v>445</v>
      </c>
      <c r="V184" s="34">
        <v>0.15</v>
      </c>
      <c r="W184" s="33" t="s">
        <v>446</v>
      </c>
      <c r="X184" s="33"/>
      <c r="Y184" s="32" t="s">
        <v>2587</v>
      </c>
      <c r="Z184" s="489" t="s">
        <v>2549</v>
      </c>
      <c r="AA184" s="238">
        <f t="shared" si="23"/>
        <v>1.7441999999999998E-3</v>
      </c>
      <c r="AB184" s="252">
        <v>0</v>
      </c>
      <c r="AC184" s="278">
        <f>+(Tabla1[[#This Row],[Avance PDI]]*100%)/Tabla1[[#This Row],[ponderacion_meta]]</f>
        <v>0</v>
      </c>
      <c r="AD184" s="279">
        <v>0</v>
      </c>
      <c r="AE184" s="279">
        <v>3.5778461538461537E-3</v>
      </c>
      <c r="AF184" s="279">
        <v>4.4723076923076921E-3</v>
      </c>
      <c r="AG184" s="279">
        <v>3.5778461538461537E-3</v>
      </c>
      <c r="AH184" s="393">
        <f t="shared" si="21"/>
        <v>1.9088790000000005E-2</v>
      </c>
      <c r="AI184" s="393">
        <f t="shared" si="22"/>
        <v>4.2766666666666675E-2</v>
      </c>
      <c r="AJ184" s="318">
        <f t="shared" si="20"/>
        <v>4.2766666666666675E-2</v>
      </c>
      <c r="AK184" s="388">
        <v>1.6234999999999999E-3</v>
      </c>
      <c r="AL184" s="408">
        <f t="shared" ref="AL184:AL195" si="27">$AL$182</f>
        <v>6.25E-2</v>
      </c>
      <c r="AM184" s="327">
        <v>0</v>
      </c>
      <c r="AN184" s="410">
        <f t="shared" ref="AN184:AN191" si="28">$AN$182</f>
        <v>8.3333333333333329E-2</v>
      </c>
      <c r="AO184" s="344" t="e">
        <f>+([1]!Tabla1[[#This Row],[ponderacion_accion]]/13)*AQ184</f>
        <v>#REF!</v>
      </c>
      <c r="AP184" s="344" t="e">
        <f>Tabla1[[#This Row],[ponderacion_meta]]*AO184</f>
        <v>#REF!</v>
      </c>
      <c r="AQ184" s="354"/>
      <c r="AR184" s="378">
        <v>0</v>
      </c>
      <c r="AS184" s="9"/>
      <c r="AT184" s="521">
        <v>0</v>
      </c>
    </row>
    <row r="185" spans="1:46" ht="15" customHeight="1" x14ac:dyDescent="0.35">
      <c r="A185" s="236" t="s">
        <v>1150</v>
      </c>
      <c r="B185" s="237" t="s">
        <v>148</v>
      </c>
      <c r="C185" s="237" t="s">
        <v>1719</v>
      </c>
      <c r="D185" s="237" t="s">
        <v>1158</v>
      </c>
      <c r="E185" s="178" t="s">
        <v>438</v>
      </c>
      <c r="F185" s="156" t="s">
        <v>2600</v>
      </c>
      <c r="G185" s="161" t="s">
        <v>439</v>
      </c>
      <c r="H185" s="161" t="s">
        <v>1728</v>
      </c>
      <c r="I185" s="32" t="s">
        <v>440</v>
      </c>
      <c r="J185" s="264">
        <v>1.1627999999999999E-2</v>
      </c>
      <c r="K185" s="33" t="s">
        <v>441</v>
      </c>
      <c r="L185" s="129">
        <v>150000000</v>
      </c>
      <c r="M185" s="129">
        <v>0</v>
      </c>
      <c r="N185" s="437"/>
      <c r="O185" s="437" t="s">
        <v>2622</v>
      </c>
      <c r="P185" s="192">
        <v>0</v>
      </c>
      <c r="Q185" s="193">
        <v>4</v>
      </c>
      <c r="R185" s="193">
        <v>5</v>
      </c>
      <c r="S185" s="193">
        <v>4</v>
      </c>
      <c r="T185" s="193" t="s">
        <v>1354</v>
      </c>
      <c r="U185" s="33" t="s">
        <v>447</v>
      </c>
      <c r="V185" s="34">
        <v>0.5</v>
      </c>
      <c r="W185" s="33" t="s">
        <v>448</v>
      </c>
      <c r="X185" s="33"/>
      <c r="Y185" s="32" t="s">
        <v>2587</v>
      </c>
      <c r="Z185" s="489" t="s">
        <v>2549</v>
      </c>
      <c r="AA185" s="238">
        <f t="shared" si="23"/>
        <v>5.8139999999999997E-3</v>
      </c>
      <c r="AB185" s="252">
        <v>0</v>
      </c>
      <c r="AC185" s="278">
        <f>+(Tabla1[[#This Row],[Avance PDI]]*100%)/Tabla1[[#This Row],[ponderacion_meta]]</f>
        <v>0</v>
      </c>
      <c r="AD185" s="279">
        <v>0</v>
      </c>
      <c r="AE185" s="279">
        <v>3.5778461538461537E-3</v>
      </c>
      <c r="AF185" s="279">
        <v>4.4723076923076921E-3</v>
      </c>
      <c r="AG185" s="279">
        <v>3.5778461538461537E-3</v>
      </c>
      <c r="AH185" s="393">
        <f t="shared" si="21"/>
        <v>1.9088790000000005E-2</v>
      </c>
      <c r="AI185" s="393">
        <f t="shared" si="22"/>
        <v>4.2766666666666675E-2</v>
      </c>
      <c r="AJ185" s="318">
        <f t="shared" si="20"/>
        <v>4.2766666666666675E-2</v>
      </c>
      <c r="AK185" s="388">
        <v>1.6234999999999999E-3</v>
      </c>
      <c r="AL185" s="408">
        <f t="shared" si="27"/>
        <v>6.25E-2</v>
      </c>
      <c r="AM185" s="327">
        <v>0</v>
      </c>
      <c r="AN185" s="410">
        <f t="shared" si="28"/>
        <v>8.3333333333333329E-2</v>
      </c>
      <c r="AO185" s="345" t="e">
        <f>+([1]!Tabla1[[#This Row],[ponderacion_accion]]/13)*AQ185</f>
        <v>#REF!</v>
      </c>
      <c r="AP185" s="345" t="e">
        <f>Tabla1[[#This Row],[ponderacion_meta]]*AO185</f>
        <v>#REF!</v>
      </c>
      <c r="AQ185" s="357"/>
      <c r="AR185" s="379">
        <v>0</v>
      </c>
      <c r="AS185" s="9"/>
      <c r="AT185" s="521">
        <v>0</v>
      </c>
    </row>
    <row r="186" spans="1:46" ht="15" customHeight="1" x14ac:dyDescent="0.35">
      <c r="A186" s="236" t="s">
        <v>1150</v>
      </c>
      <c r="B186" s="237" t="s">
        <v>148</v>
      </c>
      <c r="C186" s="237" t="s">
        <v>1719</v>
      </c>
      <c r="D186" s="237" t="s">
        <v>1158</v>
      </c>
      <c r="E186" s="178" t="s">
        <v>438</v>
      </c>
      <c r="F186" s="156" t="s">
        <v>2600</v>
      </c>
      <c r="G186" s="161" t="s">
        <v>439</v>
      </c>
      <c r="H186" s="161" t="s">
        <v>1728</v>
      </c>
      <c r="I186" s="36" t="s">
        <v>449</v>
      </c>
      <c r="J186" s="265">
        <v>6.4939999999999998E-3</v>
      </c>
      <c r="K186" s="37" t="s">
        <v>450</v>
      </c>
      <c r="L186" s="130">
        <v>80000000</v>
      </c>
      <c r="M186" s="130">
        <v>0</v>
      </c>
      <c r="N186" s="438"/>
      <c r="O186" s="438" t="s">
        <v>2622</v>
      </c>
      <c r="P186" s="194">
        <v>0</v>
      </c>
      <c r="Q186" s="195">
        <v>1</v>
      </c>
      <c r="R186" s="195">
        <v>1</v>
      </c>
      <c r="S186" s="195">
        <v>1</v>
      </c>
      <c r="T186" s="195" t="s">
        <v>1355</v>
      </c>
      <c r="U186" s="37" t="s">
        <v>451</v>
      </c>
      <c r="V186" s="38">
        <v>0.1</v>
      </c>
      <c r="W186" s="37" t="s">
        <v>452</v>
      </c>
      <c r="X186" s="37"/>
      <c r="Y186" s="36" t="s">
        <v>2587</v>
      </c>
      <c r="Z186" s="37" t="s">
        <v>1926</v>
      </c>
      <c r="AA186" s="239">
        <f t="shared" si="23"/>
        <v>6.4940000000000006E-4</v>
      </c>
      <c r="AB186" s="252">
        <v>0</v>
      </c>
      <c r="AC186" s="262">
        <f>+(Tabla1[[#This Row],[Avance PDI]]*100%)/Tabla1[[#This Row],[ponderacion_meta]]</f>
        <v>0</v>
      </c>
      <c r="AD186" s="257">
        <f>+Tabla1[[#This Row],[ponderacion_meta]]*Tabla1[[#This Row],[proyeccion_año1]]</f>
        <v>0</v>
      </c>
      <c r="AE186" s="257">
        <f>+Tabla1[[#This Row],[ponderacion_meta]]/3*Tabla1[[#This Row],[proyeccion_año2]]</f>
        <v>2.1646666666666667E-3</v>
      </c>
      <c r="AF186" s="257">
        <f>+Tabla1[[#This Row],[ponderacion_meta]]/3*Tabla1[[#This Row],[proyeccion_año3]]</f>
        <v>2.1646666666666667E-3</v>
      </c>
      <c r="AG186" s="257">
        <f>+Tabla1[[#This Row],[ponderacion_meta]]/3*Tabla1[[#This Row],[proyeccion_año4]]</f>
        <v>2.1646666666666667E-3</v>
      </c>
      <c r="AH186" s="393">
        <f t="shared" si="21"/>
        <v>1.9088790000000005E-2</v>
      </c>
      <c r="AI186" s="393">
        <f t="shared" si="22"/>
        <v>4.2766666666666675E-2</v>
      </c>
      <c r="AJ186" s="318">
        <f t="shared" ref="AJ186:AJ249" si="29">+SUM($AC$57:$AC$257)/50</f>
        <v>4.2766666666666675E-2</v>
      </c>
      <c r="AK186" s="388">
        <v>1.6234999999999999E-3</v>
      </c>
      <c r="AL186" s="408">
        <f t="shared" si="27"/>
        <v>6.25E-2</v>
      </c>
      <c r="AM186" s="327">
        <v>0</v>
      </c>
      <c r="AN186" s="410">
        <f t="shared" si="28"/>
        <v>8.3333333333333329E-2</v>
      </c>
      <c r="AO186" s="358" t="e">
        <f>+([1]!Tabla1[[#This Row],[ponderacion_accion]]/3)*AQ186</f>
        <v>#REF!</v>
      </c>
      <c r="AP186" s="358" t="e">
        <f>Tabla1[[#This Row],[ponderacion_meta]]*AO186</f>
        <v>#REF!</v>
      </c>
      <c r="AQ186" s="361"/>
      <c r="AR186" s="380">
        <v>0</v>
      </c>
      <c r="AS186" s="7" t="e">
        <f>+((SUM(AO186:AO188)*100)/33.33)</f>
        <v>#REF!</v>
      </c>
      <c r="AT186" s="521">
        <v>0</v>
      </c>
    </row>
    <row r="187" spans="1:46" ht="15" customHeight="1" x14ac:dyDescent="0.35">
      <c r="A187" s="236" t="s">
        <v>1150</v>
      </c>
      <c r="B187" s="237" t="s">
        <v>148</v>
      </c>
      <c r="C187" s="237" t="s">
        <v>1719</v>
      </c>
      <c r="D187" s="237" t="s">
        <v>1158</v>
      </c>
      <c r="E187" s="178" t="s">
        <v>438</v>
      </c>
      <c r="F187" s="156" t="s">
        <v>2600</v>
      </c>
      <c r="G187" s="161" t="s">
        <v>439</v>
      </c>
      <c r="H187" s="161" t="s">
        <v>1728</v>
      </c>
      <c r="I187" s="36" t="s">
        <v>449</v>
      </c>
      <c r="J187" s="265">
        <v>6.4939999999999998E-3</v>
      </c>
      <c r="K187" s="37" t="s">
        <v>450</v>
      </c>
      <c r="L187" s="130">
        <v>80000000</v>
      </c>
      <c r="M187" s="130">
        <v>0</v>
      </c>
      <c r="N187" s="438"/>
      <c r="O187" s="438" t="s">
        <v>2622</v>
      </c>
      <c r="P187" s="194">
        <v>0</v>
      </c>
      <c r="Q187" s="195">
        <v>1</v>
      </c>
      <c r="R187" s="195">
        <v>1</v>
      </c>
      <c r="S187" s="195">
        <v>1</v>
      </c>
      <c r="T187" s="195" t="s">
        <v>1356</v>
      </c>
      <c r="U187" s="37" t="s">
        <v>453</v>
      </c>
      <c r="V187" s="38">
        <v>0.6</v>
      </c>
      <c r="W187" s="37" t="s">
        <v>24</v>
      </c>
      <c r="X187" s="37"/>
      <c r="Y187" s="36" t="s">
        <v>2587</v>
      </c>
      <c r="Z187" s="37" t="s">
        <v>1926</v>
      </c>
      <c r="AA187" s="239">
        <f t="shared" si="23"/>
        <v>3.8963999999999995E-3</v>
      </c>
      <c r="AB187" s="252">
        <v>0</v>
      </c>
      <c r="AC187" s="262">
        <f>+(Tabla1[[#This Row],[Avance PDI]]*100%)/Tabla1[[#This Row],[ponderacion_meta]]</f>
        <v>0</v>
      </c>
      <c r="AD187" s="257">
        <v>0</v>
      </c>
      <c r="AE187" s="257">
        <v>2.1646666666666667E-3</v>
      </c>
      <c r="AF187" s="257">
        <v>2.1646666666666667E-3</v>
      </c>
      <c r="AG187" s="257">
        <v>2.1646666666666667E-3</v>
      </c>
      <c r="AH187" s="393">
        <f t="shared" ref="AH187:AH250" si="30">$AH$57</f>
        <v>1.9088790000000005E-2</v>
      </c>
      <c r="AI187" s="393">
        <f t="shared" ref="AI187:AI250" si="31">$AI$57</f>
        <v>4.2766666666666675E-2</v>
      </c>
      <c r="AJ187" s="318">
        <f t="shared" si="29"/>
        <v>4.2766666666666675E-2</v>
      </c>
      <c r="AK187" s="388">
        <v>1.6234999999999999E-3</v>
      </c>
      <c r="AL187" s="408">
        <f t="shared" si="27"/>
        <v>6.25E-2</v>
      </c>
      <c r="AM187" s="327">
        <v>0</v>
      </c>
      <c r="AN187" s="410">
        <f t="shared" si="28"/>
        <v>8.3333333333333329E-2</v>
      </c>
      <c r="AO187" s="359" t="e">
        <f>+([1]!Tabla1[[#This Row],[ponderacion_accion]]/3)*AQ187</f>
        <v>#REF!</v>
      </c>
      <c r="AP187" s="359" t="e">
        <f>Tabla1[[#This Row],[ponderacion_meta]]*AO187</f>
        <v>#REF!</v>
      </c>
      <c r="AQ187" s="351"/>
      <c r="AR187" s="380">
        <v>0</v>
      </c>
      <c r="AS187" s="9"/>
      <c r="AT187" s="521">
        <v>0</v>
      </c>
    </row>
    <row r="188" spans="1:46" ht="15" customHeight="1" x14ac:dyDescent="0.35">
      <c r="A188" s="236" t="s">
        <v>1150</v>
      </c>
      <c r="B188" s="237" t="s">
        <v>148</v>
      </c>
      <c r="C188" s="237" t="s">
        <v>1719</v>
      </c>
      <c r="D188" s="237" t="s">
        <v>1158</v>
      </c>
      <c r="E188" s="178" t="s">
        <v>438</v>
      </c>
      <c r="F188" s="156" t="s">
        <v>2600</v>
      </c>
      <c r="G188" s="161" t="s">
        <v>439</v>
      </c>
      <c r="H188" s="161" t="s">
        <v>1728</v>
      </c>
      <c r="I188" s="36" t="s">
        <v>449</v>
      </c>
      <c r="J188" s="265">
        <v>6.4939999999999998E-3</v>
      </c>
      <c r="K188" s="37" t="s">
        <v>450</v>
      </c>
      <c r="L188" s="130">
        <v>80000000</v>
      </c>
      <c r="M188" s="130">
        <v>0</v>
      </c>
      <c r="N188" s="438"/>
      <c r="O188" s="438" t="s">
        <v>2622</v>
      </c>
      <c r="P188" s="194">
        <v>0</v>
      </c>
      <c r="Q188" s="195">
        <v>1</v>
      </c>
      <c r="R188" s="195">
        <v>1</v>
      </c>
      <c r="S188" s="195">
        <v>1</v>
      </c>
      <c r="T188" s="195" t="s">
        <v>1357</v>
      </c>
      <c r="U188" s="37" t="s">
        <v>454</v>
      </c>
      <c r="V188" s="38">
        <v>0.3</v>
      </c>
      <c r="W188" s="37" t="s">
        <v>132</v>
      </c>
      <c r="X188" s="37"/>
      <c r="Y188" s="36" t="s">
        <v>2587</v>
      </c>
      <c r="Z188" s="37" t="s">
        <v>1926</v>
      </c>
      <c r="AA188" s="239">
        <f t="shared" si="23"/>
        <v>1.9481999999999998E-3</v>
      </c>
      <c r="AB188" s="252">
        <v>0</v>
      </c>
      <c r="AC188" s="262">
        <f>+(Tabla1[[#This Row],[Avance PDI]]*100%)/Tabla1[[#This Row],[ponderacion_meta]]</f>
        <v>0</v>
      </c>
      <c r="AD188" s="257">
        <v>0</v>
      </c>
      <c r="AE188" s="257">
        <v>2.1646666666666667E-3</v>
      </c>
      <c r="AF188" s="257">
        <v>2.1646666666666667E-3</v>
      </c>
      <c r="AG188" s="257">
        <v>2.1646666666666667E-3</v>
      </c>
      <c r="AH188" s="393">
        <f t="shared" si="30"/>
        <v>1.9088790000000005E-2</v>
      </c>
      <c r="AI188" s="393">
        <f t="shared" si="31"/>
        <v>4.2766666666666675E-2</v>
      </c>
      <c r="AJ188" s="318">
        <f t="shared" si="29"/>
        <v>4.2766666666666675E-2</v>
      </c>
      <c r="AK188" s="388">
        <v>1.6234999999999999E-3</v>
      </c>
      <c r="AL188" s="408">
        <f t="shared" si="27"/>
        <v>6.25E-2</v>
      </c>
      <c r="AM188" s="327">
        <v>0</v>
      </c>
      <c r="AN188" s="410">
        <f t="shared" si="28"/>
        <v>8.3333333333333329E-2</v>
      </c>
      <c r="AO188" s="360" t="e">
        <f>+([1]!Tabla1[[#This Row],[ponderacion_accion]]/3)*AQ188</f>
        <v>#REF!</v>
      </c>
      <c r="AP188" s="360" t="e">
        <f>Tabla1[[#This Row],[ponderacion_meta]]*AO188</f>
        <v>#REF!</v>
      </c>
      <c r="AQ188" s="356"/>
      <c r="AR188" s="380">
        <v>0</v>
      </c>
      <c r="AS188" s="9"/>
      <c r="AT188" s="521">
        <v>0</v>
      </c>
    </row>
    <row r="189" spans="1:46" ht="15" customHeight="1" x14ac:dyDescent="0.35">
      <c r="A189" s="236" t="s">
        <v>1150</v>
      </c>
      <c r="B189" s="237" t="s">
        <v>148</v>
      </c>
      <c r="C189" s="237" t="s">
        <v>1719</v>
      </c>
      <c r="D189" s="237" t="s">
        <v>1158</v>
      </c>
      <c r="E189" s="178" t="s">
        <v>438</v>
      </c>
      <c r="F189" s="156" t="s">
        <v>2600</v>
      </c>
      <c r="G189" s="161" t="s">
        <v>439</v>
      </c>
      <c r="H189" s="161" t="s">
        <v>1728</v>
      </c>
      <c r="I189" s="32" t="s">
        <v>455</v>
      </c>
      <c r="J189" s="264">
        <v>6.4939999999999998E-3</v>
      </c>
      <c r="K189" s="24" t="s">
        <v>456</v>
      </c>
      <c r="L189" s="128">
        <v>0</v>
      </c>
      <c r="M189" s="128">
        <v>0</v>
      </c>
      <c r="N189" s="436"/>
      <c r="O189" s="436" t="s">
        <v>2622</v>
      </c>
      <c r="P189" s="192">
        <v>3</v>
      </c>
      <c r="Q189" s="193">
        <v>3</v>
      </c>
      <c r="R189" s="193">
        <v>3</v>
      </c>
      <c r="S189" s="193">
        <v>3</v>
      </c>
      <c r="T189" s="193" t="s">
        <v>1358</v>
      </c>
      <c r="U189" s="24" t="s">
        <v>457</v>
      </c>
      <c r="V189" s="25">
        <v>0.2</v>
      </c>
      <c r="W189" s="24" t="s">
        <v>140</v>
      </c>
      <c r="X189" s="24"/>
      <c r="Y189" s="23" t="s">
        <v>2587</v>
      </c>
      <c r="Z189" s="490" t="s">
        <v>2549</v>
      </c>
      <c r="AA189" s="238">
        <f t="shared" si="23"/>
        <v>1.2988000000000001E-3</v>
      </c>
      <c r="AB189" s="254">
        <f>+(Tabla1[[#This Row],[ponderacion_meta]]*Tabla1[[#This Row],[ponderacion_accion]])/12*3</f>
        <v>3.2470000000000003E-4</v>
      </c>
      <c r="AC189" s="278">
        <f>+(Tabla1[[#This Row],[Avance PDI]]*100%)/Tabla1[[#This Row],[ponderacion_meta]]</f>
        <v>5.000000000000001E-2</v>
      </c>
      <c r="AD189" s="279">
        <f>+Tabla1[[#This Row],[ponderacion_meta]]/12*Tabla1[[#This Row],[proyeccion_año2]]</f>
        <v>1.6234999999999999E-3</v>
      </c>
      <c r="AE189" s="279">
        <f>+Tabla1[[#This Row],[ponderacion_meta]]/12*Tabla1[[#This Row],[proyeccion_año2]]</f>
        <v>1.6234999999999999E-3</v>
      </c>
      <c r="AF189" s="279">
        <f>+Tabla1[[#This Row],[ponderacion_meta]]/12*Tabla1[[#This Row],[proyeccion_año3]]</f>
        <v>1.6234999999999999E-3</v>
      </c>
      <c r="AG189" s="279">
        <f>+Tabla1[[#This Row],[ponderacion_meta]]/12*Tabla1[[#This Row],[proyeccion_año4]]</f>
        <v>1.6234999999999999E-3</v>
      </c>
      <c r="AH189" s="393">
        <f t="shared" si="30"/>
        <v>1.9088790000000005E-2</v>
      </c>
      <c r="AI189" s="393">
        <f t="shared" si="31"/>
        <v>4.2766666666666675E-2</v>
      </c>
      <c r="AJ189" s="318">
        <f t="shared" si="29"/>
        <v>4.2766666666666675E-2</v>
      </c>
      <c r="AK189" s="388">
        <v>1.6234999999999999E-3</v>
      </c>
      <c r="AL189" s="408">
        <f t="shared" si="27"/>
        <v>6.25E-2</v>
      </c>
      <c r="AM189" s="327">
        <v>0</v>
      </c>
      <c r="AN189" s="410">
        <f t="shared" si="28"/>
        <v>8.3333333333333329E-2</v>
      </c>
      <c r="AO189" s="343" t="e">
        <f>+([1]!Tabla1[[#This Row],[ponderacion_accion]]/12)*AQ189</f>
        <v>#REF!</v>
      </c>
      <c r="AP189" s="343" t="e">
        <f>Tabla1[[#This Row],[ponderacion_meta]]*AO189</f>
        <v>#REF!</v>
      </c>
      <c r="AQ189" s="353">
        <v>3</v>
      </c>
      <c r="AR189" s="377">
        <v>0</v>
      </c>
      <c r="AS189" s="7" t="e">
        <f>+((SUM(AO189:AO191)*100)/50)</f>
        <v>#REF!</v>
      </c>
      <c r="AT189" s="521">
        <v>0</v>
      </c>
    </row>
    <row r="190" spans="1:46" ht="15" customHeight="1" x14ac:dyDescent="0.35">
      <c r="A190" s="236" t="s">
        <v>1150</v>
      </c>
      <c r="B190" s="237" t="s">
        <v>148</v>
      </c>
      <c r="C190" s="237" t="s">
        <v>1719</v>
      </c>
      <c r="D190" s="237" t="s">
        <v>1158</v>
      </c>
      <c r="E190" s="178" t="s">
        <v>438</v>
      </c>
      <c r="F190" s="156" t="s">
        <v>2600</v>
      </c>
      <c r="G190" s="161" t="s">
        <v>439</v>
      </c>
      <c r="H190" s="161" t="s">
        <v>1728</v>
      </c>
      <c r="I190" s="32" t="s">
        <v>455</v>
      </c>
      <c r="J190" s="264">
        <v>6.4939999999999998E-3</v>
      </c>
      <c r="K190" s="24" t="s">
        <v>456</v>
      </c>
      <c r="L190" s="128">
        <v>0</v>
      </c>
      <c r="M190" s="128">
        <v>0</v>
      </c>
      <c r="N190" s="436"/>
      <c r="O190" s="436" t="s">
        <v>2622</v>
      </c>
      <c r="P190" s="192">
        <v>3</v>
      </c>
      <c r="Q190" s="193">
        <v>3</v>
      </c>
      <c r="R190" s="193">
        <v>3</v>
      </c>
      <c r="S190" s="193">
        <v>3</v>
      </c>
      <c r="T190" s="193" t="s">
        <v>1359</v>
      </c>
      <c r="U190" s="24" t="s">
        <v>458</v>
      </c>
      <c r="V190" s="25">
        <v>0.2</v>
      </c>
      <c r="W190" s="24" t="s">
        <v>459</v>
      </c>
      <c r="X190" s="24"/>
      <c r="Y190" s="23" t="s">
        <v>2587</v>
      </c>
      <c r="Z190" s="490" t="s">
        <v>2549</v>
      </c>
      <c r="AA190" s="238">
        <f t="shared" si="23"/>
        <v>1.2988000000000001E-3</v>
      </c>
      <c r="AB190" s="254">
        <f>+(Tabla1[[#This Row],[ponderacion_meta]]*Tabla1[[#This Row],[ponderacion_accion]])/12*3</f>
        <v>3.2470000000000003E-4</v>
      </c>
      <c r="AC190" s="278">
        <f>+(Tabla1[[#This Row],[Avance PDI]]*100%)/Tabla1[[#This Row],[ponderacion_meta]]</f>
        <v>5.000000000000001E-2</v>
      </c>
      <c r="AD190" s="279">
        <v>1.6234999999999999E-3</v>
      </c>
      <c r="AE190" s="279">
        <v>1.6234999999999999E-3</v>
      </c>
      <c r="AF190" s="279">
        <v>1.6234999999999999E-3</v>
      </c>
      <c r="AG190" s="279">
        <v>1.6234999999999999E-3</v>
      </c>
      <c r="AH190" s="393">
        <f t="shared" si="30"/>
        <v>1.9088790000000005E-2</v>
      </c>
      <c r="AI190" s="393">
        <f t="shared" si="31"/>
        <v>4.2766666666666675E-2</v>
      </c>
      <c r="AJ190" s="318">
        <f t="shared" si="29"/>
        <v>4.2766666666666675E-2</v>
      </c>
      <c r="AK190" s="388">
        <v>1.6234999999999999E-3</v>
      </c>
      <c r="AL190" s="408">
        <f t="shared" si="27"/>
        <v>6.25E-2</v>
      </c>
      <c r="AM190" s="327">
        <v>0</v>
      </c>
      <c r="AN190" s="410">
        <f t="shared" si="28"/>
        <v>8.3333333333333329E-2</v>
      </c>
      <c r="AO190" s="344" t="e">
        <f>+([1]!Tabla1[[#This Row],[ponderacion_accion]]/12)*AQ190</f>
        <v>#REF!</v>
      </c>
      <c r="AP190" s="344" t="e">
        <f>Tabla1[[#This Row],[ponderacion_meta]]*AO190</f>
        <v>#REF!</v>
      </c>
      <c r="AQ190" s="354">
        <v>3</v>
      </c>
      <c r="AR190" s="378">
        <v>0</v>
      </c>
      <c r="AS190" s="9"/>
      <c r="AT190" s="521">
        <v>0</v>
      </c>
    </row>
    <row r="191" spans="1:46" ht="15" customHeight="1" x14ac:dyDescent="0.35">
      <c r="A191" s="236" t="s">
        <v>1150</v>
      </c>
      <c r="B191" s="237" t="s">
        <v>148</v>
      </c>
      <c r="C191" s="237" t="s">
        <v>1719</v>
      </c>
      <c r="D191" s="237" t="s">
        <v>1158</v>
      </c>
      <c r="E191" s="178" t="s">
        <v>438</v>
      </c>
      <c r="F191" s="156" t="s">
        <v>2600</v>
      </c>
      <c r="G191" s="161" t="s">
        <v>439</v>
      </c>
      <c r="H191" s="161" t="s">
        <v>1728</v>
      </c>
      <c r="I191" s="32" t="s">
        <v>455</v>
      </c>
      <c r="J191" s="264">
        <v>6.4939999999999998E-3</v>
      </c>
      <c r="K191" s="24" t="s">
        <v>456</v>
      </c>
      <c r="L191" s="128">
        <v>0</v>
      </c>
      <c r="M191" s="128">
        <v>0</v>
      </c>
      <c r="N191" s="436"/>
      <c r="O191" s="436" t="s">
        <v>2622</v>
      </c>
      <c r="P191" s="192">
        <v>3</v>
      </c>
      <c r="Q191" s="193">
        <v>3</v>
      </c>
      <c r="R191" s="193">
        <v>3</v>
      </c>
      <c r="S191" s="193">
        <v>3</v>
      </c>
      <c r="T191" s="193" t="s">
        <v>1360</v>
      </c>
      <c r="U191" s="24" t="s">
        <v>460</v>
      </c>
      <c r="V191" s="25">
        <v>0.6</v>
      </c>
      <c r="W191" s="24" t="s">
        <v>132</v>
      </c>
      <c r="X191" s="24"/>
      <c r="Y191" s="23" t="s">
        <v>2587</v>
      </c>
      <c r="Z191" s="490" t="s">
        <v>2549</v>
      </c>
      <c r="AA191" s="238">
        <f t="shared" si="23"/>
        <v>3.8963999999999995E-3</v>
      </c>
      <c r="AB191" s="254">
        <f>+(Tabla1[[#This Row],[ponderacion_meta]]*Tabla1[[#This Row],[ponderacion_accion]])/12*3</f>
        <v>9.7409999999999988E-4</v>
      </c>
      <c r="AC191" s="278">
        <f>+(Tabla1[[#This Row],[Avance PDI]]*100%)/Tabla1[[#This Row],[ponderacion_meta]]</f>
        <v>0.15</v>
      </c>
      <c r="AD191" s="279">
        <v>1.6234999999999999E-3</v>
      </c>
      <c r="AE191" s="279">
        <v>1.6234999999999999E-3</v>
      </c>
      <c r="AF191" s="279">
        <v>1.6234999999999999E-3</v>
      </c>
      <c r="AG191" s="279">
        <v>1.6234999999999999E-3</v>
      </c>
      <c r="AH191" s="393">
        <f t="shared" si="30"/>
        <v>1.9088790000000005E-2</v>
      </c>
      <c r="AI191" s="393">
        <f t="shared" si="31"/>
        <v>4.2766666666666675E-2</v>
      </c>
      <c r="AJ191" s="318">
        <f t="shared" si="29"/>
        <v>4.2766666666666675E-2</v>
      </c>
      <c r="AK191" s="388">
        <v>1.6234999999999999E-3</v>
      </c>
      <c r="AL191" s="408">
        <f t="shared" si="27"/>
        <v>6.25E-2</v>
      </c>
      <c r="AM191" s="327">
        <v>0</v>
      </c>
      <c r="AN191" s="410">
        <f t="shared" si="28"/>
        <v>8.3333333333333329E-2</v>
      </c>
      <c r="AO191" s="345" t="e">
        <f>+([1]!Tabla1[[#This Row],[ponderacion_accion]]/12)*AQ191</f>
        <v>#REF!</v>
      </c>
      <c r="AP191" s="345" t="e">
        <f>Tabla1[[#This Row],[ponderacion_meta]]*AO191</f>
        <v>#REF!</v>
      </c>
      <c r="AQ191" s="357">
        <v>3</v>
      </c>
      <c r="AR191" s="379">
        <v>0</v>
      </c>
      <c r="AS191" s="9"/>
      <c r="AT191" s="521">
        <v>0</v>
      </c>
    </row>
    <row r="192" spans="1:46" ht="15" customHeight="1" x14ac:dyDescent="0.35">
      <c r="A192" s="236" t="s">
        <v>1150</v>
      </c>
      <c r="B192" s="237" t="s">
        <v>148</v>
      </c>
      <c r="C192" s="237" t="s">
        <v>1719</v>
      </c>
      <c r="D192" s="237" t="s">
        <v>1158</v>
      </c>
      <c r="E192" s="178" t="s">
        <v>438</v>
      </c>
      <c r="F192" s="176" t="s">
        <v>2601</v>
      </c>
      <c r="G192" s="162" t="s">
        <v>461</v>
      </c>
      <c r="H192" s="420" t="s">
        <v>1727</v>
      </c>
      <c r="I192" s="36" t="s">
        <v>462</v>
      </c>
      <c r="J192" s="265">
        <v>6.4939999999999998E-3</v>
      </c>
      <c r="K192" s="37" t="s">
        <v>463</v>
      </c>
      <c r="L192" s="130">
        <v>30000000</v>
      </c>
      <c r="M192" s="130">
        <v>0</v>
      </c>
      <c r="N192" s="438"/>
      <c r="O192" s="438" t="s">
        <v>2622</v>
      </c>
      <c r="P192" s="194">
        <v>0</v>
      </c>
      <c r="Q192" s="195">
        <v>0</v>
      </c>
      <c r="R192" s="195">
        <v>1</v>
      </c>
      <c r="S192" s="195">
        <v>0</v>
      </c>
      <c r="T192" s="195" t="s">
        <v>1361</v>
      </c>
      <c r="U192" s="37" t="s">
        <v>464</v>
      </c>
      <c r="V192" s="38">
        <v>0.1</v>
      </c>
      <c r="W192" s="37" t="s">
        <v>465</v>
      </c>
      <c r="X192" s="37"/>
      <c r="Y192" s="36" t="s">
        <v>2588</v>
      </c>
      <c r="Z192" s="37" t="s">
        <v>1926</v>
      </c>
      <c r="AA192" s="239">
        <f t="shared" si="23"/>
        <v>6.4940000000000006E-4</v>
      </c>
      <c r="AB192" s="252">
        <v>0</v>
      </c>
      <c r="AC192" s="262">
        <f>+(Tabla1[[#This Row],[Avance PDI]]*100%)/Tabla1[[#This Row],[ponderacion_meta]]</f>
        <v>0</v>
      </c>
      <c r="AD192" s="257">
        <f>+Tabla1[[#This Row],[ponderacion_meta]]*Tabla1[[#This Row],[proyeccion_año1]]</f>
        <v>0</v>
      </c>
      <c r="AE192" s="257">
        <f>+Tabla1[[#This Row],[ponderacion_meta]]*Tabla1[[#This Row],[proyeccion_año2]]</f>
        <v>0</v>
      </c>
      <c r="AF192" s="257">
        <f>+Tabla1[[#This Row],[ponderacion_meta]]*Tabla1[[#This Row],[proyeccion_año3]]</f>
        <v>6.4939999999999998E-3</v>
      </c>
      <c r="AG192" s="257">
        <f>+Tabla1[[#This Row],[ponderacion_meta]]*Tabla1[[#This Row],[proyeccion_año4]]</f>
        <v>0</v>
      </c>
      <c r="AH192" s="393">
        <f t="shared" si="30"/>
        <v>1.9088790000000005E-2</v>
      </c>
      <c r="AI192" s="393">
        <f t="shared" si="31"/>
        <v>4.2766666666666675E-2</v>
      </c>
      <c r="AJ192" s="318">
        <f t="shared" si="29"/>
        <v>4.2766666666666675E-2</v>
      </c>
      <c r="AK192" s="388">
        <v>1.6234999999999999E-3</v>
      </c>
      <c r="AL192" s="408">
        <f t="shared" si="27"/>
        <v>6.25E-2</v>
      </c>
      <c r="AM192" s="324">
        <f>+SUM(AB192:AB196)</f>
        <v>0</v>
      </c>
      <c r="AN192" s="411">
        <f>+SUM(AC192:AC196)</f>
        <v>0</v>
      </c>
      <c r="AO192" s="358" t="e">
        <f>+([1]!Tabla1[[#This Row],[ponderacion_accion]]/10%)*AQ192</f>
        <v>#REF!</v>
      </c>
      <c r="AP192" s="358" t="e">
        <f>Tabla1[[#This Row],[ponderacion_meta]]*AO192</f>
        <v>#REF!</v>
      </c>
      <c r="AQ192" s="361"/>
      <c r="AR192" s="380">
        <v>0</v>
      </c>
      <c r="AS192" s="7" t="e">
        <f>+((SUM(AO192:AO194)*100)/0)</f>
        <v>#REF!</v>
      </c>
      <c r="AT192" s="521">
        <v>0</v>
      </c>
    </row>
    <row r="193" spans="1:46" ht="15" customHeight="1" x14ac:dyDescent="0.35">
      <c r="A193" s="236" t="s">
        <v>1150</v>
      </c>
      <c r="B193" s="237" t="s">
        <v>148</v>
      </c>
      <c r="C193" s="237" t="s">
        <v>1719</v>
      </c>
      <c r="D193" s="237" t="s">
        <v>1158</v>
      </c>
      <c r="E193" s="178" t="s">
        <v>438</v>
      </c>
      <c r="F193" s="176" t="s">
        <v>2601</v>
      </c>
      <c r="G193" s="162" t="s">
        <v>461</v>
      </c>
      <c r="H193" s="162" t="s">
        <v>1727</v>
      </c>
      <c r="I193" s="36" t="s">
        <v>462</v>
      </c>
      <c r="J193" s="265">
        <v>6.4939999999999998E-3</v>
      </c>
      <c r="K193" s="37" t="s">
        <v>463</v>
      </c>
      <c r="L193" s="130">
        <v>30000000</v>
      </c>
      <c r="M193" s="130">
        <v>0</v>
      </c>
      <c r="N193" s="438"/>
      <c r="O193" s="438" t="s">
        <v>2622</v>
      </c>
      <c r="P193" s="194">
        <v>0</v>
      </c>
      <c r="Q193" s="195">
        <v>0</v>
      </c>
      <c r="R193" s="195">
        <v>1</v>
      </c>
      <c r="S193" s="195">
        <v>0</v>
      </c>
      <c r="T193" s="195" t="s">
        <v>1362</v>
      </c>
      <c r="U193" s="37" t="s">
        <v>466</v>
      </c>
      <c r="V193" s="38">
        <v>0.1</v>
      </c>
      <c r="W193" s="37" t="s">
        <v>467</v>
      </c>
      <c r="X193" s="37"/>
      <c r="Y193" s="36" t="s">
        <v>2588</v>
      </c>
      <c r="Z193" s="37" t="s">
        <v>1926</v>
      </c>
      <c r="AA193" s="239">
        <f t="shared" si="23"/>
        <v>6.4940000000000006E-4</v>
      </c>
      <c r="AB193" s="252">
        <v>0</v>
      </c>
      <c r="AC193" s="262">
        <f>+(Tabla1[[#This Row],[Avance PDI]]*100%)/Tabla1[[#This Row],[ponderacion_meta]]</f>
        <v>0</v>
      </c>
      <c r="AD193" s="257">
        <v>0</v>
      </c>
      <c r="AE193" s="257">
        <v>0</v>
      </c>
      <c r="AF193" s="257">
        <v>6.4939999999999998E-3</v>
      </c>
      <c r="AG193" s="257">
        <v>0</v>
      </c>
      <c r="AH193" s="393">
        <f t="shared" si="30"/>
        <v>1.9088790000000005E-2</v>
      </c>
      <c r="AI193" s="393">
        <f t="shared" si="31"/>
        <v>4.2766666666666675E-2</v>
      </c>
      <c r="AJ193" s="318">
        <f t="shared" si="29"/>
        <v>4.2766666666666675E-2</v>
      </c>
      <c r="AK193" s="388">
        <v>1.6234999999999999E-3</v>
      </c>
      <c r="AL193" s="408">
        <f t="shared" si="27"/>
        <v>6.25E-2</v>
      </c>
      <c r="AM193" s="325">
        <v>0</v>
      </c>
      <c r="AN193" s="411">
        <f>$AN$192</f>
        <v>0</v>
      </c>
      <c r="AO193" s="359" t="e">
        <f>+([1]!Tabla1[[#This Row],[ponderacion_accion]]/10%)*AQ193</f>
        <v>#REF!</v>
      </c>
      <c r="AP193" s="359" t="e">
        <f>Tabla1[[#This Row],[ponderacion_meta]]*AO193</f>
        <v>#REF!</v>
      </c>
      <c r="AQ193" s="351"/>
      <c r="AR193" s="380">
        <v>0</v>
      </c>
      <c r="AS193" s="9"/>
      <c r="AT193" s="521">
        <v>0</v>
      </c>
    </row>
    <row r="194" spans="1:46" ht="15" customHeight="1" x14ac:dyDescent="0.35">
      <c r="A194" s="236" t="s">
        <v>1150</v>
      </c>
      <c r="B194" s="237" t="s">
        <v>148</v>
      </c>
      <c r="C194" s="237" t="s">
        <v>1719</v>
      </c>
      <c r="D194" s="237" t="s">
        <v>1158</v>
      </c>
      <c r="E194" s="178" t="s">
        <v>438</v>
      </c>
      <c r="F194" s="176" t="s">
        <v>2601</v>
      </c>
      <c r="G194" s="162" t="s">
        <v>461</v>
      </c>
      <c r="H194" s="162" t="s">
        <v>1727</v>
      </c>
      <c r="I194" s="36" t="s">
        <v>462</v>
      </c>
      <c r="J194" s="265">
        <v>6.4939999999999998E-3</v>
      </c>
      <c r="K194" s="37" t="s">
        <v>463</v>
      </c>
      <c r="L194" s="130">
        <v>30000000</v>
      </c>
      <c r="M194" s="130">
        <v>0</v>
      </c>
      <c r="N194" s="438"/>
      <c r="O194" s="438" t="s">
        <v>2622</v>
      </c>
      <c r="P194" s="194">
        <v>0</v>
      </c>
      <c r="Q194" s="195">
        <v>0</v>
      </c>
      <c r="R194" s="195">
        <v>1</v>
      </c>
      <c r="S194" s="195">
        <v>0</v>
      </c>
      <c r="T194" s="195" t="s">
        <v>1363</v>
      </c>
      <c r="U194" s="37" t="s">
        <v>468</v>
      </c>
      <c r="V194" s="38">
        <v>0.1</v>
      </c>
      <c r="W194" s="37" t="s">
        <v>446</v>
      </c>
      <c r="X194" s="37"/>
      <c r="Y194" s="36" t="s">
        <v>2588</v>
      </c>
      <c r="Z194" s="37" t="s">
        <v>1926</v>
      </c>
      <c r="AA194" s="239">
        <f t="shared" ref="AA194:AA257" si="32">+J194*V194</f>
        <v>6.4940000000000006E-4</v>
      </c>
      <c r="AB194" s="252">
        <v>0</v>
      </c>
      <c r="AC194" s="262">
        <f>+(Tabla1[[#This Row],[Avance PDI]]*100%)/Tabla1[[#This Row],[ponderacion_meta]]</f>
        <v>0</v>
      </c>
      <c r="AD194" s="257">
        <v>0</v>
      </c>
      <c r="AE194" s="257">
        <v>0</v>
      </c>
      <c r="AF194" s="257">
        <v>6.4939999999999998E-3</v>
      </c>
      <c r="AG194" s="257">
        <v>0</v>
      </c>
      <c r="AH194" s="393">
        <f t="shared" si="30"/>
        <v>1.9088790000000005E-2</v>
      </c>
      <c r="AI194" s="393">
        <f t="shared" si="31"/>
        <v>4.2766666666666675E-2</v>
      </c>
      <c r="AJ194" s="318">
        <f t="shared" si="29"/>
        <v>4.2766666666666675E-2</v>
      </c>
      <c r="AK194" s="388">
        <v>1.6234999999999999E-3</v>
      </c>
      <c r="AL194" s="408">
        <f t="shared" si="27"/>
        <v>6.25E-2</v>
      </c>
      <c r="AM194" s="325">
        <v>0</v>
      </c>
      <c r="AN194" s="411">
        <f>$AN$192</f>
        <v>0</v>
      </c>
      <c r="AO194" s="359" t="e">
        <f>+([1]!Tabla1[[#This Row],[ponderacion_accion]]/10%)*AQ194</f>
        <v>#REF!</v>
      </c>
      <c r="AP194" s="359" t="e">
        <f>Tabla1[[#This Row],[ponderacion_meta]]*AO194</f>
        <v>#REF!</v>
      </c>
      <c r="AQ194" s="351"/>
      <c r="AR194" s="380">
        <v>0</v>
      </c>
      <c r="AS194" s="9"/>
      <c r="AT194" s="521">
        <v>0</v>
      </c>
    </row>
    <row r="195" spans="1:46" ht="15" customHeight="1" x14ac:dyDescent="0.35">
      <c r="A195" s="236" t="s">
        <v>1150</v>
      </c>
      <c r="B195" s="237" t="s">
        <v>148</v>
      </c>
      <c r="C195" s="237" t="s">
        <v>1719</v>
      </c>
      <c r="D195" s="237" t="s">
        <v>1158</v>
      </c>
      <c r="E195" s="178" t="s">
        <v>438</v>
      </c>
      <c r="F195" s="176" t="s">
        <v>2601</v>
      </c>
      <c r="G195" s="162" t="s">
        <v>461</v>
      </c>
      <c r="H195" s="162" t="s">
        <v>1727</v>
      </c>
      <c r="I195" s="36" t="s">
        <v>462</v>
      </c>
      <c r="J195" s="265">
        <v>6.4939999999999998E-3</v>
      </c>
      <c r="K195" s="37" t="s">
        <v>463</v>
      </c>
      <c r="L195" s="130">
        <v>30000000</v>
      </c>
      <c r="M195" s="130">
        <v>0</v>
      </c>
      <c r="N195" s="438"/>
      <c r="O195" s="438" t="s">
        <v>2622</v>
      </c>
      <c r="P195" s="194">
        <v>0</v>
      </c>
      <c r="Q195" s="195">
        <v>0</v>
      </c>
      <c r="R195" s="195">
        <v>1</v>
      </c>
      <c r="S195" s="195">
        <v>0</v>
      </c>
      <c r="T195" s="195" t="s">
        <v>1364</v>
      </c>
      <c r="U195" s="37" t="s">
        <v>469</v>
      </c>
      <c r="V195" s="38">
        <v>0.1</v>
      </c>
      <c r="W195" s="37" t="s">
        <v>470</v>
      </c>
      <c r="X195" s="37"/>
      <c r="Y195" s="36" t="s">
        <v>2588</v>
      </c>
      <c r="Z195" s="37" t="s">
        <v>1926</v>
      </c>
      <c r="AA195" s="239">
        <f t="shared" si="32"/>
        <v>6.4940000000000006E-4</v>
      </c>
      <c r="AB195" s="252">
        <v>0</v>
      </c>
      <c r="AC195" s="262">
        <f>+(Tabla1[[#This Row],[Avance PDI]]*100%)/Tabla1[[#This Row],[ponderacion_meta]]</f>
        <v>0</v>
      </c>
      <c r="AD195" s="257">
        <v>0</v>
      </c>
      <c r="AE195" s="257">
        <v>0</v>
      </c>
      <c r="AF195" s="257">
        <v>6.4939999999999998E-3</v>
      </c>
      <c r="AG195" s="257">
        <v>0</v>
      </c>
      <c r="AH195" s="393">
        <f t="shared" si="30"/>
        <v>1.9088790000000005E-2</v>
      </c>
      <c r="AI195" s="393">
        <f t="shared" si="31"/>
        <v>4.2766666666666675E-2</v>
      </c>
      <c r="AJ195" s="318">
        <f t="shared" si="29"/>
        <v>4.2766666666666675E-2</v>
      </c>
      <c r="AK195" s="388">
        <v>1.6234999999999999E-3</v>
      </c>
      <c r="AL195" s="408">
        <f t="shared" si="27"/>
        <v>6.25E-2</v>
      </c>
      <c r="AM195" s="325">
        <v>0</v>
      </c>
      <c r="AN195" s="411">
        <f>$AN$192</f>
        <v>0</v>
      </c>
      <c r="AO195" s="359" t="e">
        <f>+([1]!Tabla1[[#This Row],[ponderacion_accion]]/10%)*AQ195</f>
        <v>#REF!</v>
      </c>
      <c r="AP195" s="359" t="e">
        <f>Tabla1[[#This Row],[ponderacion_meta]]*AO195</f>
        <v>#REF!</v>
      </c>
      <c r="AQ195" s="351"/>
      <c r="AR195" s="380">
        <v>0</v>
      </c>
      <c r="AS195" s="9"/>
      <c r="AT195" s="521">
        <v>0</v>
      </c>
    </row>
    <row r="196" spans="1:46" ht="15" customHeight="1" x14ac:dyDescent="0.35">
      <c r="A196" s="236" t="s">
        <v>1150</v>
      </c>
      <c r="B196" s="237" t="s">
        <v>148</v>
      </c>
      <c r="C196" s="237" t="s">
        <v>1719</v>
      </c>
      <c r="D196" s="237" t="s">
        <v>1158</v>
      </c>
      <c r="E196" s="178" t="s">
        <v>438</v>
      </c>
      <c r="F196" s="176" t="s">
        <v>2601</v>
      </c>
      <c r="G196" s="162" t="s">
        <v>461</v>
      </c>
      <c r="H196" s="162" t="s">
        <v>1727</v>
      </c>
      <c r="I196" s="36" t="s">
        <v>462</v>
      </c>
      <c r="J196" s="265">
        <v>6.4939999999999998E-3</v>
      </c>
      <c r="K196" s="37" t="s">
        <v>463</v>
      </c>
      <c r="L196" s="130">
        <v>30000000</v>
      </c>
      <c r="M196" s="130">
        <v>0</v>
      </c>
      <c r="N196" s="438"/>
      <c r="O196" s="438" t="s">
        <v>2622</v>
      </c>
      <c r="P196" s="194">
        <v>0</v>
      </c>
      <c r="Q196" s="195">
        <v>0</v>
      </c>
      <c r="R196" s="195">
        <v>1</v>
      </c>
      <c r="S196" s="195">
        <v>0</v>
      </c>
      <c r="T196" s="195" t="s">
        <v>1365</v>
      </c>
      <c r="U196" s="37" t="s">
        <v>471</v>
      </c>
      <c r="V196" s="38">
        <v>0.6</v>
      </c>
      <c r="W196" s="37" t="s">
        <v>472</v>
      </c>
      <c r="X196" s="37"/>
      <c r="Y196" s="36" t="s">
        <v>2588</v>
      </c>
      <c r="Z196" s="37" t="s">
        <v>1926</v>
      </c>
      <c r="AA196" s="239">
        <f t="shared" si="32"/>
        <v>3.8963999999999995E-3</v>
      </c>
      <c r="AB196" s="252">
        <v>0</v>
      </c>
      <c r="AC196" s="262">
        <f>+(Tabla1[[#This Row],[Avance PDI]]*100%)/Tabla1[[#This Row],[ponderacion_meta]]</f>
        <v>0</v>
      </c>
      <c r="AD196" s="257">
        <v>0</v>
      </c>
      <c r="AE196" s="257">
        <v>0</v>
      </c>
      <c r="AF196" s="257">
        <v>6.4939999999999998E-3</v>
      </c>
      <c r="AG196" s="257">
        <v>0</v>
      </c>
      <c r="AH196" s="393">
        <f t="shared" si="30"/>
        <v>1.9088790000000005E-2</v>
      </c>
      <c r="AI196" s="393">
        <f t="shared" si="31"/>
        <v>4.2766666666666675E-2</v>
      </c>
      <c r="AJ196" s="318">
        <f t="shared" si="29"/>
        <v>4.2766666666666675E-2</v>
      </c>
      <c r="AK196" s="388">
        <v>1.6234999999999999E-3</v>
      </c>
      <c r="AL196" s="408">
        <f>$AL$182</f>
        <v>6.25E-2</v>
      </c>
      <c r="AM196" s="325">
        <v>0</v>
      </c>
      <c r="AN196" s="411">
        <f>$AN$192</f>
        <v>0</v>
      </c>
      <c r="AO196" s="360" t="e">
        <f>+([1]!Tabla1[[#This Row],[ponderacion_accion]]/60%)*AQ196</f>
        <v>#REF!</v>
      </c>
      <c r="AP196" s="360" t="e">
        <f>Tabla1[[#This Row],[ponderacion_meta]]*AO196</f>
        <v>#REF!</v>
      </c>
      <c r="AQ196" s="356"/>
      <c r="AR196" s="380">
        <v>0</v>
      </c>
      <c r="AS196" s="9"/>
      <c r="AT196" s="521">
        <v>0</v>
      </c>
    </row>
    <row r="197" spans="1:46" ht="15" customHeight="1" x14ac:dyDescent="0.35">
      <c r="A197" s="236" t="s">
        <v>1150</v>
      </c>
      <c r="B197" s="237" t="s">
        <v>148</v>
      </c>
      <c r="C197" s="237" t="s">
        <v>1719</v>
      </c>
      <c r="D197" s="237" t="s">
        <v>1159</v>
      </c>
      <c r="E197" s="173" t="s">
        <v>473</v>
      </c>
      <c r="F197" s="156" t="s">
        <v>2602</v>
      </c>
      <c r="G197" s="161" t="s">
        <v>474</v>
      </c>
      <c r="H197" s="419" t="s">
        <v>1726</v>
      </c>
      <c r="I197" s="32" t="s">
        <v>475</v>
      </c>
      <c r="J197" s="264">
        <v>6.4939999999999998E-3</v>
      </c>
      <c r="K197" s="33" t="s">
        <v>1136</v>
      </c>
      <c r="L197" s="129">
        <v>300000000</v>
      </c>
      <c r="M197" s="129">
        <v>0</v>
      </c>
      <c r="N197" s="437"/>
      <c r="O197" s="437" t="s">
        <v>2622</v>
      </c>
      <c r="P197" s="192">
        <v>0</v>
      </c>
      <c r="Q197" s="193">
        <v>1</v>
      </c>
      <c r="R197" s="193">
        <v>1</v>
      </c>
      <c r="S197" s="193">
        <v>1</v>
      </c>
      <c r="T197" s="193" t="s">
        <v>1366</v>
      </c>
      <c r="U197" s="33" t="s">
        <v>476</v>
      </c>
      <c r="V197" s="34">
        <v>0.1</v>
      </c>
      <c r="W197" s="33" t="s">
        <v>82</v>
      </c>
      <c r="X197" s="33"/>
      <c r="Y197" s="32" t="s">
        <v>2587</v>
      </c>
      <c r="Z197" s="33" t="s">
        <v>1926</v>
      </c>
      <c r="AA197" s="238">
        <f t="shared" si="32"/>
        <v>6.4940000000000006E-4</v>
      </c>
      <c r="AB197" s="252">
        <v>0</v>
      </c>
      <c r="AC197" s="278">
        <f>+(Tabla1[[#This Row],[Avance PDI]]*100%)/Tabla1[[#This Row],[ponderacion_meta]]</f>
        <v>0</v>
      </c>
      <c r="AD197" s="279">
        <f>+Tabla1[[#This Row],[ponderacion_meta]]*Tabla1[[#This Row],[proyeccion_año1]]</f>
        <v>0</v>
      </c>
      <c r="AE197" s="279">
        <f>+Tabla1[[#This Row],[ponderacion_meta]]/3*Tabla1[[#This Row],[proyeccion_año2]]</f>
        <v>2.1646666666666667E-3</v>
      </c>
      <c r="AF197" s="279">
        <f>+Tabla1[[#This Row],[ponderacion_meta]]/3*Tabla1[[#This Row],[proyeccion_año3]]</f>
        <v>2.1646666666666667E-3</v>
      </c>
      <c r="AG197" s="279">
        <f>+Tabla1[[#This Row],[ponderacion_meta]]/3*Tabla1[[#This Row],[proyeccion_año4]]</f>
        <v>2.1646666666666667E-3</v>
      </c>
      <c r="AH197" s="393">
        <f t="shared" si="30"/>
        <v>1.9088790000000005E-2</v>
      </c>
      <c r="AI197" s="393">
        <f t="shared" si="31"/>
        <v>4.2766666666666675E-2</v>
      </c>
      <c r="AJ197" s="318">
        <f t="shared" si="29"/>
        <v>4.2766666666666675E-2</v>
      </c>
      <c r="AK197" s="384">
        <f>+SUM(AB197:AB209)</f>
        <v>0</v>
      </c>
      <c r="AL197" s="322">
        <f>+SUM(AC197:AC209)/3</f>
        <v>0</v>
      </c>
      <c r="AM197" s="331">
        <f>+SUM(AB197:AB204)</f>
        <v>0</v>
      </c>
      <c r="AN197" s="410">
        <f>+SUM(AC197:AC204)/2</f>
        <v>0</v>
      </c>
      <c r="AO197" s="343" t="e">
        <f>+([1]!Tabla1[[#This Row],[ponderacion_accion]]/3)*AQ197</f>
        <v>#REF!</v>
      </c>
      <c r="AP197" s="343" t="e">
        <f>Tabla1[[#This Row],[ponderacion_meta]]*AO197</f>
        <v>#REF!</v>
      </c>
      <c r="AQ197" s="353"/>
      <c r="AR197" s="377">
        <v>0</v>
      </c>
      <c r="AS197" s="7" t="e">
        <f>+((SUM(AO197:AO200)*100)/33.33)</f>
        <v>#REF!</v>
      </c>
      <c r="AT197" s="521">
        <v>0</v>
      </c>
    </row>
    <row r="198" spans="1:46" ht="15" customHeight="1" x14ac:dyDescent="0.35">
      <c r="A198" s="236" t="s">
        <v>1150</v>
      </c>
      <c r="B198" s="237" t="s">
        <v>148</v>
      </c>
      <c r="C198" s="237" t="s">
        <v>1719</v>
      </c>
      <c r="D198" s="237" t="s">
        <v>1159</v>
      </c>
      <c r="E198" s="173" t="s">
        <v>473</v>
      </c>
      <c r="F198" s="156" t="s">
        <v>2602</v>
      </c>
      <c r="G198" s="161" t="s">
        <v>474</v>
      </c>
      <c r="H198" s="161" t="s">
        <v>1726</v>
      </c>
      <c r="I198" s="32" t="s">
        <v>475</v>
      </c>
      <c r="J198" s="264">
        <v>6.4939999999999998E-3</v>
      </c>
      <c r="K198" s="33" t="s">
        <v>1136</v>
      </c>
      <c r="L198" s="129">
        <v>300000000</v>
      </c>
      <c r="M198" s="129">
        <v>0</v>
      </c>
      <c r="N198" s="437"/>
      <c r="O198" s="437" t="s">
        <v>2622</v>
      </c>
      <c r="P198" s="192">
        <v>0</v>
      </c>
      <c r="Q198" s="193">
        <v>1</v>
      </c>
      <c r="R198" s="193">
        <v>1</v>
      </c>
      <c r="S198" s="193">
        <v>1</v>
      </c>
      <c r="T198" s="193" t="s">
        <v>1367</v>
      </c>
      <c r="U198" s="33" t="s">
        <v>477</v>
      </c>
      <c r="V198" s="34">
        <v>0.2</v>
      </c>
      <c r="W198" s="33" t="s">
        <v>24</v>
      </c>
      <c r="X198" s="33"/>
      <c r="Y198" s="32" t="s">
        <v>2587</v>
      </c>
      <c r="Z198" s="33" t="s">
        <v>1926</v>
      </c>
      <c r="AA198" s="238">
        <f t="shared" si="32"/>
        <v>1.2988000000000001E-3</v>
      </c>
      <c r="AB198" s="252">
        <v>0</v>
      </c>
      <c r="AC198" s="278">
        <f>+(Tabla1[[#This Row],[Avance PDI]]*100%)/Tabla1[[#This Row],[ponderacion_meta]]</f>
        <v>0</v>
      </c>
      <c r="AD198" s="279">
        <v>0</v>
      </c>
      <c r="AE198" s="279">
        <v>2.1646666666666667E-3</v>
      </c>
      <c r="AF198" s="279">
        <v>2.1646666666666667E-3</v>
      </c>
      <c r="AG198" s="279">
        <v>2.1646666666666667E-3</v>
      </c>
      <c r="AH198" s="393">
        <f t="shared" si="30"/>
        <v>1.9088790000000005E-2</v>
      </c>
      <c r="AI198" s="393">
        <f t="shared" si="31"/>
        <v>4.2766666666666675E-2</v>
      </c>
      <c r="AJ198" s="318">
        <f t="shared" si="29"/>
        <v>4.2766666666666675E-2</v>
      </c>
      <c r="AK198" s="385">
        <v>0</v>
      </c>
      <c r="AL198" s="323">
        <v>0</v>
      </c>
      <c r="AM198" s="327">
        <v>0</v>
      </c>
      <c r="AN198" s="410">
        <f>$AN$197</f>
        <v>0</v>
      </c>
      <c r="AO198" s="344" t="e">
        <f>+([1]!Tabla1[[#This Row],[ponderacion_accion]]/3)*AQ198</f>
        <v>#REF!</v>
      </c>
      <c r="AP198" s="344" t="e">
        <f>Tabla1[[#This Row],[ponderacion_meta]]*AO198</f>
        <v>#REF!</v>
      </c>
      <c r="AQ198" s="354"/>
      <c r="AR198" s="378">
        <v>0</v>
      </c>
      <c r="AS198" s="9"/>
      <c r="AT198" s="521">
        <v>0</v>
      </c>
    </row>
    <row r="199" spans="1:46" ht="15" customHeight="1" x14ac:dyDescent="0.35">
      <c r="A199" s="236" t="s">
        <v>1150</v>
      </c>
      <c r="B199" s="237" t="s">
        <v>148</v>
      </c>
      <c r="C199" s="237" t="s">
        <v>1719</v>
      </c>
      <c r="D199" s="237" t="s">
        <v>1159</v>
      </c>
      <c r="E199" s="173" t="s">
        <v>473</v>
      </c>
      <c r="F199" s="156" t="s">
        <v>2602</v>
      </c>
      <c r="G199" s="161" t="s">
        <v>474</v>
      </c>
      <c r="H199" s="161" t="s">
        <v>1726</v>
      </c>
      <c r="I199" s="32" t="s">
        <v>475</v>
      </c>
      <c r="J199" s="264">
        <v>6.4939999999999998E-3</v>
      </c>
      <c r="K199" s="33" t="s">
        <v>1136</v>
      </c>
      <c r="L199" s="129">
        <v>300000000</v>
      </c>
      <c r="M199" s="129">
        <v>0</v>
      </c>
      <c r="N199" s="437"/>
      <c r="O199" s="437" t="s">
        <v>2622</v>
      </c>
      <c r="P199" s="192">
        <v>0</v>
      </c>
      <c r="Q199" s="193">
        <v>1</v>
      </c>
      <c r="R199" s="193">
        <v>1</v>
      </c>
      <c r="S199" s="193">
        <v>1</v>
      </c>
      <c r="T199" s="193" t="s">
        <v>1368</v>
      </c>
      <c r="U199" s="33" t="s">
        <v>478</v>
      </c>
      <c r="V199" s="34">
        <v>0.2</v>
      </c>
      <c r="W199" s="33" t="s">
        <v>132</v>
      </c>
      <c r="X199" s="33"/>
      <c r="Y199" s="32" t="s">
        <v>2587</v>
      </c>
      <c r="Z199" s="33" t="s">
        <v>1926</v>
      </c>
      <c r="AA199" s="238">
        <f t="shared" si="32"/>
        <v>1.2988000000000001E-3</v>
      </c>
      <c r="AB199" s="252">
        <v>0</v>
      </c>
      <c r="AC199" s="278">
        <f>+(Tabla1[[#This Row],[Avance PDI]]*100%)/Tabla1[[#This Row],[ponderacion_meta]]</f>
        <v>0</v>
      </c>
      <c r="AD199" s="279">
        <v>0</v>
      </c>
      <c r="AE199" s="279">
        <v>2.1646666666666667E-3</v>
      </c>
      <c r="AF199" s="279">
        <v>2.1646666666666667E-3</v>
      </c>
      <c r="AG199" s="279">
        <v>2.1646666666666667E-3</v>
      </c>
      <c r="AH199" s="393">
        <f t="shared" si="30"/>
        <v>1.9088790000000005E-2</v>
      </c>
      <c r="AI199" s="393">
        <f t="shared" si="31"/>
        <v>4.2766666666666675E-2</v>
      </c>
      <c r="AJ199" s="318">
        <f t="shared" si="29"/>
        <v>4.2766666666666675E-2</v>
      </c>
      <c r="AK199" s="385">
        <v>0</v>
      </c>
      <c r="AL199" s="323">
        <v>0</v>
      </c>
      <c r="AM199" s="327">
        <v>0</v>
      </c>
      <c r="AN199" s="410">
        <f t="shared" ref="AN199:AN204" si="33">$AN$197</f>
        <v>0</v>
      </c>
      <c r="AO199" s="344" t="e">
        <f>+([1]!Tabla1[[#This Row],[ponderacion_accion]]/3)*AQ199</f>
        <v>#REF!</v>
      </c>
      <c r="AP199" s="344" t="e">
        <f>Tabla1[[#This Row],[ponderacion_meta]]*AO199</f>
        <v>#REF!</v>
      </c>
      <c r="AQ199" s="354"/>
      <c r="AR199" s="378">
        <v>0</v>
      </c>
      <c r="AS199" s="9"/>
      <c r="AT199" s="521">
        <v>0</v>
      </c>
    </row>
    <row r="200" spans="1:46" ht="15" customHeight="1" x14ac:dyDescent="0.35">
      <c r="A200" s="236" t="s">
        <v>1150</v>
      </c>
      <c r="B200" s="237" t="s">
        <v>148</v>
      </c>
      <c r="C200" s="237" t="s">
        <v>1719</v>
      </c>
      <c r="D200" s="237" t="s">
        <v>1159</v>
      </c>
      <c r="E200" s="173" t="s">
        <v>473</v>
      </c>
      <c r="F200" s="156" t="s">
        <v>2602</v>
      </c>
      <c r="G200" s="161" t="s">
        <v>474</v>
      </c>
      <c r="H200" s="161" t="s">
        <v>1726</v>
      </c>
      <c r="I200" s="32" t="s">
        <v>475</v>
      </c>
      <c r="J200" s="264">
        <v>6.4939999999999998E-3</v>
      </c>
      <c r="K200" s="33" t="s">
        <v>1136</v>
      </c>
      <c r="L200" s="129">
        <v>300000000</v>
      </c>
      <c r="M200" s="129">
        <v>0</v>
      </c>
      <c r="N200" s="437"/>
      <c r="O200" s="437" t="s">
        <v>2622</v>
      </c>
      <c r="P200" s="192">
        <v>0</v>
      </c>
      <c r="Q200" s="193">
        <v>1</v>
      </c>
      <c r="R200" s="193">
        <v>1</v>
      </c>
      <c r="S200" s="193">
        <v>1</v>
      </c>
      <c r="T200" s="193" t="s">
        <v>1369</v>
      </c>
      <c r="U200" s="33" t="s">
        <v>479</v>
      </c>
      <c r="V200" s="34">
        <v>0.5</v>
      </c>
      <c r="W200" s="33" t="s">
        <v>480</v>
      </c>
      <c r="X200" s="33"/>
      <c r="Y200" s="32" t="s">
        <v>2587</v>
      </c>
      <c r="Z200" s="33" t="s">
        <v>1926</v>
      </c>
      <c r="AA200" s="238">
        <f t="shared" si="32"/>
        <v>3.2469999999999999E-3</v>
      </c>
      <c r="AB200" s="252">
        <v>0</v>
      </c>
      <c r="AC200" s="278">
        <f>+(Tabla1[[#This Row],[Avance PDI]]*100%)/Tabla1[[#This Row],[ponderacion_meta]]</f>
        <v>0</v>
      </c>
      <c r="AD200" s="279">
        <v>0</v>
      </c>
      <c r="AE200" s="279">
        <v>2.1646666666666667E-3</v>
      </c>
      <c r="AF200" s="279">
        <v>2.1646666666666667E-3</v>
      </c>
      <c r="AG200" s="279">
        <v>2.1646666666666667E-3</v>
      </c>
      <c r="AH200" s="393">
        <f t="shared" si="30"/>
        <v>1.9088790000000005E-2</v>
      </c>
      <c r="AI200" s="393">
        <f t="shared" si="31"/>
        <v>4.2766666666666675E-2</v>
      </c>
      <c r="AJ200" s="318">
        <f t="shared" si="29"/>
        <v>4.2766666666666675E-2</v>
      </c>
      <c r="AK200" s="385">
        <v>0</v>
      </c>
      <c r="AL200" s="323">
        <v>0</v>
      </c>
      <c r="AM200" s="327">
        <v>0</v>
      </c>
      <c r="AN200" s="410">
        <f t="shared" si="33"/>
        <v>0</v>
      </c>
      <c r="AO200" s="345" t="e">
        <f>+([1]!Tabla1[[#This Row],[ponderacion_accion]]/3)*AQ200</f>
        <v>#REF!</v>
      </c>
      <c r="AP200" s="345" t="e">
        <f>Tabla1[[#This Row],[ponderacion_meta]]*AO200</f>
        <v>#REF!</v>
      </c>
      <c r="AQ200" s="357"/>
      <c r="AR200" s="379">
        <v>0</v>
      </c>
      <c r="AS200" s="9"/>
      <c r="AT200" s="521">
        <v>0</v>
      </c>
    </row>
    <row r="201" spans="1:46" ht="15" customHeight="1" x14ac:dyDescent="0.35">
      <c r="A201" s="236" t="s">
        <v>1150</v>
      </c>
      <c r="B201" s="237" t="s">
        <v>148</v>
      </c>
      <c r="C201" s="237" t="s">
        <v>1719</v>
      </c>
      <c r="D201" s="237" t="s">
        <v>1159</v>
      </c>
      <c r="E201" s="173" t="s">
        <v>473</v>
      </c>
      <c r="F201" s="156" t="s">
        <v>2602</v>
      </c>
      <c r="G201" s="161" t="s">
        <v>474</v>
      </c>
      <c r="H201" s="161" t="s">
        <v>1726</v>
      </c>
      <c r="I201" s="36" t="s">
        <v>481</v>
      </c>
      <c r="J201" s="265">
        <v>6.4939999999999998E-3</v>
      </c>
      <c r="K201" s="37" t="s">
        <v>482</v>
      </c>
      <c r="L201" s="130">
        <v>240000000</v>
      </c>
      <c r="M201" s="130">
        <v>0</v>
      </c>
      <c r="N201" s="438"/>
      <c r="O201" s="438" t="s">
        <v>2622</v>
      </c>
      <c r="P201" s="194">
        <v>0</v>
      </c>
      <c r="Q201" s="195">
        <v>0</v>
      </c>
      <c r="R201" s="195">
        <v>1</v>
      </c>
      <c r="S201" s="195">
        <v>1</v>
      </c>
      <c r="T201" s="195" t="s">
        <v>1370</v>
      </c>
      <c r="U201" s="37" t="s">
        <v>483</v>
      </c>
      <c r="V201" s="38">
        <v>0.1</v>
      </c>
      <c r="W201" s="37" t="s">
        <v>484</v>
      </c>
      <c r="X201" s="37"/>
      <c r="Y201" s="36" t="s">
        <v>2587</v>
      </c>
      <c r="Z201" s="37" t="s">
        <v>1926</v>
      </c>
      <c r="AA201" s="239">
        <f t="shared" si="32"/>
        <v>6.4940000000000006E-4</v>
      </c>
      <c r="AB201" s="252">
        <v>0</v>
      </c>
      <c r="AC201" s="262">
        <f>+(Tabla1[[#This Row],[Avance PDI]]*100%)/Tabla1[[#This Row],[ponderacion_meta]]</f>
        <v>0</v>
      </c>
      <c r="AD201" s="257">
        <f>+Tabla1[[#This Row],[ponderacion_meta]]*Tabla1[[#This Row],[proyeccion_año1]]</f>
        <v>0</v>
      </c>
      <c r="AE201" s="257">
        <f>+Tabla1[[#This Row],[ponderacion_meta]]*Tabla1[[#This Row],[proyeccion_año2]]</f>
        <v>0</v>
      </c>
      <c r="AF201" s="257">
        <f>+Tabla1[[#This Row],[ponderacion_meta]]/2*Tabla1[[#This Row],[proyeccion_año3]]</f>
        <v>3.2469999999999999E-3</v>
      </c>
      <c r="AG201" s="257">
        <f>+Tabla1[[#This Row],[ponderacion_meta]]/2*Tabla1[[#This Row],[proyeccion_año4]]</f>
        <v>3.2469999999999999E-3</v>
      </c>
      <c r="AH201" s="393">
        <f t="shared" si="30"/>
        <v>1.9088790000000005E-2</v>
      </c>
      <c r="AI201" s="393">
        <f t="shared" si="31"/>
        <v>4.2766666666666675E-2</v>
      </c>
      <c r="AJ201" s="318">
        <f t="shared" si="29"/>
        <v>4.2766666666666675E-2</v>
      </c>
      <c r="AK201" s="385">
        <v>0</v>
      </c>
      <c r="AL201" s="323">
        <v>0</v>
      </c>
      <c r="AM201" s="327">
        <v>0</v>
      </c>
      <c r="AN201" s="410">
        <f t="shared" si="33"/>
        <v>0</v>
      </c>
      <c r="AO201" s="358" t="e">
        <f>+([1]!Tabla1[[#This Row],[ponderacion_accion]]/2)*AQ201</f>
        <v>#REF!</v>
      </c>
      <c r="AP201" s="358" t="e">
        <f>Tabla1[[#This Row],[ponderacion_meta]]*AO201</f>
        <v>#REF!</v>
      </c>
      <c r="AQ201" s="361"/>
      <c r="AR201" s="380">
        <v>0</v>
      </c>
      <c r="AS201" s="7" t="e">
        <f>+((SUM(AO201:AO204)*100)/40)</f>
        <v>#REF!</v>
      </c>
      <c r="AT201" s="521">
        <v>0</v>
      </c>
    </row>
    <row r="202" spans="1:46" ht="15" customHeight="1" x14ac:dyDescent="0.35">
      <c r="A202" s="236" t="s">
        <v>1150</v>
      </c>
      <c r="B202" s="237" t="s">
        <v>148</v>
      </c>
      <c r="C202" s="237" t="s">
        <v>1719</v>
      </c>
      <c r="D202" s="237" t="s">
        <v>1159</v>
      </c>
      <c r="E202" s="173" t="s">
        <v>473</v>
      </c>
      <c r="F202" s="156" t="s">
        <v>2602</v>
      </c>
      <c r="G202" s="161" t="s">
        <v>474</v>
      </c>
      <c r="H202" s="161" t="s">
        <v>1726</v>
      </c>
      <c r="I202" s="36" t="s">
        <v>481</v>
      </c>
      <c r="J202" s="265">
        <v>6.4939999999999998E-3</v>
      </c>
      <c r="K202" s="37" t="s">
        <v>482</v>
      </c>
      <c r="L202" s="130">
        <v>240000000</v>
      </c>
      <c r="M202" s="130">
        <v>0</v>
      </c>
      <c r="N202" s="438"/>
      <c r="O202" s="438" t="s">
        <v>2622</v>
      </c>
      <c r="P202" s="194">
        <v>0</v>
      </c>
      <c r="Q202" s="195">
        <v>0</v>
      </c>
      <c r="R202" s="195">
        <v>1</v>
      </c>
      <c r="S202" s="195">
        <v>1</v>
      </c>
      <c r="T202" s="195" t="s">
        <v>1371</v>
      </c>
      <c r="U202" s="37" t="s">
        <v>477</v>
      </c>
      <c r="V202" s="38">
        <v>0.3</v>
      </c>
      <c r="W202" s="37" t="s">
        <v>24</v>
      </c>
      <c r="X202" s="37"/>
      <c r="Y202" s="36" t="s">
        <v>2587</v>
      </c>
      <c r="Z202" s="37" t="s">
        <v>1926</v>
      </c>
      <c r="AA202" s="239">
        <f t="shared" si="32"/>
        <v>1.9481999999999998E-3</v>
      </c>
      <c r="AB202" s="252">
        <v>0</v>
      </c>
      <c r="AC202" s="262">
        <f>+(Tabla1[[#This Row],[Avance PDI]]*100%)/Tabla1[[#This Row],[ponderacion_meta]]</f>
        <v>0</v>
      </c>
      <c r="AD202" s="257">
        <v>0</v>
      </c>
      <c r="AE202" s="257">
        <v>0</v>
      </c>
      <c r="AF202" s="257">
        <v>3.2469999999999999E-3</v>
      </c>
      <c r="AG202" s="257">
        <v>3.2469999999999999E-3</v>
      </c>
      <c r="AH202" s="393">
        <f t="shared" si="30"/>
        <v>1.9088790000000005E-2</v>
      </c>
      <c r="AI202" s="393">
        <f t="shared" si="31"/>
        <v>4.2766666666666675E-2</v>
      </c>
      <c r="AJ202" s="318">
        <f t="shared" si="29"/>
        <v>4.2766666666666675E-2</v>
      </c>
      <c r="AK202" s="385">
        <v>0</v>
      </c>
      <c r="AL202" s="323">
        <v>0</v>
      </c>
      <c r="AM202" s="327">
        <v>0</v>
      </c>
      <c r="AN202" s="410">
        <f t="shared" si="33"/>
        <v>0</v>
      </c>
      <c r="AO202" s="359" t="e">
        <f>+([1]!Tabla1[[#This Row],[ponderacion_accion]]/2)*AQ202</f>
        <v>#REF!</v>
      </c>
      <c r="AP202" s="359" t="e">
        <f>Tabla1[[#This Row],[ponderacion_meta]]*AO202</f>
        <v>#REF!</v>
      </c>
      <c r="AQ202" s="351"/>
      <c r="AR202" s="380">
        <v>0</v>
      </c>
      <c r="AS202" s="9"/>
      <c r="AT202" s="521">
        <v>0</v>
      </c>
    </row>
    <row r="203" spans="1:46" ht="15" customHeight="1" x14ac:dyDescent="0.35">
      <c r="A203" s="236" t="s">
        <v>1150</v>
      </c>
      <c r="B203" s="237" t="s">
        <v>148</v>
      </c>
      <c r="C203" s="237" t="s">
        <v>1719</v>
      </c>
      <c r="D203" s="237" t="s">
        <v>1159</v>
      </c>
      <c r="E203" s="173" t="s">
        <v>473</v>
      </c>
      <c r="F203" s="156" t="s">
        <v>2602</v>
      </c>
      <c r="G203" s="161" t="s">
        <v>474</v>
      </c>
      <c r="H203" s="161" t="s">
        <v>1726</v>
      </c>
      <c r="I203" s="36" t="s">
        <v>481</v>
      </c>
      <c r="J203" s="265">
        <v>6.4939999999999998E-3</v>
      </c>
      <c r="K203" s="37" t="s">
        <v>482</v>
      </c>
      <c r="L203" s="130">
        <v>240000000</v>
      </c>
      <c r="M203" s="130">
        <v>0</v>
      </c>
      <c r="N203" s="438"/>
      <c r="O203" s="438" t="s">
        <v>2622</v>
      </c>
      <c r="P203" s="194">
        <v>0</v>
      </c>
      <c r="Q203" s="195">
        <v>0</v>
      </c>
      <c r="R203" s="195">
        <v>1</v>
      </c>
      <c r="S203" s="195">
        <v>1</v>
      </c>
      <c r="T203" s="195" t="s">
        <v>1372</v>
      </c>
      <c r="U203" s="37" t="s">
        <v>485</v>
      </c>
      <c r="V203" s="38">
        <v>0.5</v>
      </c>
      <c r="W203" s="37" t="s">
        <v>486</v>
      </c>
      <c r="X203" s="37"/>
      <c r="Y203" s="36" t="s">
        <v>2588</v>
      </c>
      <c r="Z203" s="37" t="s">
        <v>1926</v>
      </c>
      <c r="AA203" s="239">
        <f t="shared" si="32"/>
        <v>3.2469999999999999E-3</v>
      </c>
      <c r="AB203" s="252">
        <v>0</v>
      </c>
      <c r="AC203" s="262">
        <f>+(Tabla1[[#This Row],[Avance PDI]]*100%)/Tabla1[[#This Row],[ponderacion_meta]]</f>
        <v>0</v>
      </c>
      <c r="AD203" s="257">
        <v>0</v>
      </c>
      <c r="AE203" s="257">
        <v>0</v>
      </c>
      <c r="AF203" s="257">
        <v>3.2469999999999999E-3</v>
      </c>
      <c r="AG203" s="257">
        <v>3.2469999999999999E-3</v>
      </c>
      <c r="AH203" s="393">
        <f t="shared" si="30"/>
        <v>1.9088790000000005E-2</v>
      </c>
      <c r="AI203" s="393">
        <f t="shared" si="31"/>
        <v>4.2766666666666675E-2</v>
      </c>
      <c r="AJ203" s="318">
        <f t="shared" si="29"/>
        <v>4.2766666666666675E-2</v>
      </c>
      <c r="AK203" s="385">
        <v>0</v>
      </c>
      <c r="AL203" s="323">
        <v>0</v>
      </c>
      <c r="AM203" s="327">
        <v>0</v>
      </c>
      <c r="AN203" s="410">
        <f t="shared" si="33"/>
        <v>0</v>
      </c>
      <c r="AO203" s="359" t="e">
        <f>+([1]!Tabla1[[#This Row],[ponderacion_accion]]/2)*AQ203</f>
        <v>#REF!</v>
      </c>
      <c r="AP203" s="359" t="e">
        <f>Tabla1[[#This Row],[ponderacion_meta]]*AO203</f>
        <v>#REF!</v>
      </c>
      <c r="AQ203" s="351"/>
      <c r="AR203" s="380">
        <v>0</v>
      </c>
      <c r="AS203" s="9"/>
      <c r="AT203" s="521">
        <v>0</v>
      </c>
    </row>
    <row r="204" spans="1:46" ht="15" customHeight="1" x14ac:dyDescent="0.35">
      <c r="A204" s="236" t="s">
        <v>1150</v>
      </c>
      <c r="B204" s="237" t="s">
        <v>148</v>
      </c>
      <c r="C204" s="237" t="s">
        <v>1719</v>
      </c>
      <c r="D204" s="237" t="s">
        <v>1159</v>
      </c>
      <c r="E204" s="173" t="s">
        <v>473</v>
      </c>
      <c r="F204" s="156" t="s">
        <v>2602</v>
      </c>
      <c r="G204" s="161" t="s">
        <v>474</v>
      </c>
      <c r="H204" s="161" t="s">
        <v>1726</v>
      </c>
      <c r="I204" s="36" t="s">
        <v>481</v>
      </c>
      <c r="J204" s="265">
        <v>6.4939999999999998E-3</v>
      </c>
      <c r="K204" s="37" t="s">
        <v>482</v>
      </c>
      <c r="L204" s="130">
        <v>240000000</v>
      </c>
      <c r="M204" s="130">
        <v>0</v>
      </c>
      <c r="N204" s="438"/>
      <c r="O204" s="438" t="s">
        <v>2622</v>
      </c>
      <c r="P204" s="194">
        <v>0</v>
      </c>
      <c r="Q204" s="195">
        <v>0</v>
      </c>
      <c r="R204" s="195">
        <v>1</v>
      </c>
      <c r="S204" s="195">
        <v>1</v>
      </c>
      <c r="T204" s="195" t="s">
        <v>1373</v>
      </c>
      <c r="U204" s="37" t="s">
        <v>487</v>
      </c>
      <c r="V204" s="38">
        <v>0.1</v>
      </c>
      <c r="W204" s="37" t="s">
        <v>28</v>
      </c>
      <c r="X204" s="37"/>
      <c r="Y204" s="36" t="s">
        <v>2588</v>
      </c>
      <c r="Z204" s="37" t="s">
        <v>1926</v>
      </c>
      <c r="AA204" s="239">
        <f t="shared" si="32"/>
        <v>6.4940000000000006E-4</v>
      </c>
      <c r="AB204" s="252">
        <v>0</v>
      </c>
      <c r="AC204" s="262">
        <f>+(Tabla1[[#This Row],[Avance PDI]]*100%)/Tabla1[[#This Row],[ponderacion_meta]]</f>
        <v>0</v>
      </c>
      <c r="AD204" s="257">
        <v>0</v>
      </c>
      <c r="AE204" s="257">
        <v>0</v>
      </c>
      <c r="AF204" s="257">
        <v>3.2469999999999999E-3</v>
      </c>
      <c r="AG204" s="257">
        <v>3.2469999999999999E-3</v>
      </c>
      <c r="AH204" s="393">
        <f t="shared" si="30"/>
        <v>1.9088790000000005E-2</v>
      </c>
      <c r="AI204" s="393">
        <f t="shared" si="31"/>
        <v>4.2766666666666675E-2</v>
      </c>
      <c r="AJ204" s="318">
        <f t="shared" si="29"/>
        <v>4.2766666666666675E-2</v>
      </c>
      <c r="AK204" s="385">
        <v>0</v>
      </c>
      <c r="AL204" s="323">
        <v>0</v>
      </c>
      <c r="AM204" s="327">
        <v>0</v>
      </c>
      <c r="AN204" s="410">
        <f t="shared" si="33"/>
        <v>0</v>
      </c>
      <c r="AO204" s="360" t="e">
        <f>+([1]!Tabla1[[#This Row],[ponderacion_accion]]/2)*AQ204</f>
        <v>#REF!</v>
      </c>
      <c r="AP204" s="360" t="e">
        <f>Tabla1[[#This Row],[ponderacion_meta]]*AO204</f>
        <v>#REF!</v>
      </c>
      <c r="AQ204" s="356"/>
      <c r="AR204" s="380">
        <v>0</v>
      </c>
      <c r="AS204" s="9"/>
      <c r="AT204" s="521">
        <v>0</v>
      </c>
    </row>
    <row r="205" spans="1:46" ht="15" customHeight="1" x14ac:dyDescent="0.35">
      <c r="A205" s="236" t="s">
        <v>1150</v>
      </c>
      <c r="B205" s="237" t="s">
        <v>148</v>
      </c>
      <c r="C205" s="237" t="s">
        <v>1719</v>
      </c>
      <c r="D205" s="237" t="s">
        <v>1159</v>
      </c>
      <c r="E205" s="173" t="s">
        <v>473</v>
      </c>
      <c r="F205" s="176" t="s">
        <v>2603</v>
      </c>
      <c r="G205" s="162" t="s">
        <v>488</v>
      </c>
      <c r="H205" s="420" t="s">
        <v>1737</v>
      </c>
      <c r="I205" s="32" t="s">
        <v>489</v>
      </c>
      <c r="J205" s="264">
        <v>6.4939999999999998E-3</v>
      </c>
      <c r="K205" s="33" t="s">
        <v>490</v>
      </c>
      <c r="L205" s="129">
        <v>400000000</v>
      </c>
      <c r="M205" s="129">
        <v>0</v>
      </c>
      <c r="N205" s="437"/>
      <c r="O205" s="437" t="s">
        <v>2622</v>
      </c>
      <c r="P205" s="192">
        <v>0</v>
      </c>
      <c r="Q205" s="193">
        <v>19</v>
      </c>
      <c r="R205" s="193">
        <v>0</v>
      </c>
      <c r="S205" s="193">
        <v>21</v>
      </c>
      <c r="T205" s="193" t="s">
        <v>1374</v>
      </c>
      <c r="U205" s="33" t="s">
        <v>491</v>
      </c>
      <c r="V205" s="39">
        <v>0.1</v>
      </c>
      <c r="W205" s="33" t="s">
        <v>492</v>
      </c>
      <c r="X205" s="33"/>
      <c r="Y205" s="32" t="s">
        <v>2587</v>
      </c>
      <c r="Z205" s="33" t="s">
        <v>1926</v>
      </c>
      <c r="AA205" s="238">
        <f t="shared" si="32"/>
        <v>6.4940000000000006E-4</v>
      </c>
      <c r="AB205" s="252">
        <v>0</v>
      </c>
      <c r="AC205" s="278">
        <f>+(Tabla1[[#This Row],[Avance PDI]]*100%)/Tabla1[[#This Row],[ponderacion_meta]]</f>
        <v>0</v>
      </c>
      <c r="AD205" s="279">
        <f>+Tabla1[[#This Row],[ponderacion_meta]]*Tabla1[[#This Row],[proyeccion_año1]]</f>
        <v>0</v>
      </c>
      <c r="AE205" s="279">
        <f>+Tabla1[[#This Row],[ponderacion_meta]]/40*Tabla1[[#This Row],[proyeccion_año2]]</f>
        <v>3.08465E-3</v>
      </c>
      <c r="AF205" s="279">
        <f>+Tabla1[[#This Row],[ponderacion_meta]]/40*Tabla1[[#This Row],[proyeccion_año3]]</f>
        <v>0</v>
      </c>
      <c r="AG205" s="279">
        <f>+Tabla1[[#This Row],[ponderacion_meta]]/40*Tabla1[[#This Row],[proyeccion_año4]]</f>
        <v>3.4093499999999998E-3</v>
      </c>
      <c r="AH205" s="393">
        <f t="shared" si="30"/>
        <v>1.9088790000000005E-2</v>
      </c>
      <c r="AI205" s="393">
        <f t="shared" si="31"/>
        <v>4.2766666666666675E-2</v>
      </c>
      <c r="AJ205" s="318">
        <f t="shared" si="29"/>
        <v>4.2766666666666675E-2</v>
      </c>
      <c r="AK205" s="385">
        <v>0</v>
      </c>
      <c r="AL205" s="323">
        <v>0</v>
      </c>
      <c r="AM205" s="324">
        <f>+SUM(AB205:AB209)</f>
        <v>0</v>
      </c>
      <c r="AN205" s="411">
        <f>+SUM(AC205:AC209)/1</f>
        <v>0</v>
      </c>
      <c r="AO205" s="343" t="e">
        <f>+([1]!Tabla1[[#This Row],[ponderacion_accion]]/21)*AQ205</f>
        <v>#REF!</v>
      </c>
      <c r="AP205" s="343" t="e">
        <f>Tabla1[[#This Row],[ponderacion_meta]]*AO205</f>
        <v>#REF!</v>
      </c>
      <c r="AQ205" s="353"/>
      <c r="AR205" s="377">
        <v>12181663.5</v>
      </c>
      <c r="AS205" s="7" t="e">
        <f>+((SUM(AO205:AO209)*100)/100)</f>
        <v>#REF!</v>
      </c>
      <c r="AT205" s="521">
        <v>0</v>
      </c>
    </row>
    <row r="206" spans="1:46" ht="15" customHeight="1" x14ac:dyDescent="0.35">
      <c r="A206" s="236" t="s">
        <v>1150</v>
      </c>
      <c r="B206" s="237" t="s">
        <v>148</v>
      </c>
      <c r="C206" s="237" t="s">
        <v>1719</v>
      </c>
      <c r="D206" s="237" t="s">
        <v>1159</v>
      </c>
      <c r="E206" s="173" t="s">
        <v>473</v>
      </c>
      <c r="F206" s="176" t="s">
        <v>2603</v>
      </c>
      <c r="G206" s="162" t="s">
        <v>488</v>
      </c>
      <c r="H206" s="162" t="s">
        <v>1737</v>
      </c>
      <c r="I206" s="32" t="s">
        <v>489</v>
      </c>
      <c r="J206" s="264">
        <v>6.4939999999999998E-3</v>
      </c>
      <c r="K206" s="33" t="s">
        <v>490</v>
      </c>
      <c r="L206" s="129">
        <v>400000000</v>
      </c>
      <c r="M206" s="129">
        <v>0</v>
      </c>
      <c r="N206" s="437"/>
      <c r="O206" s="437" t="s">
        <v>2622</v>
      </c>
      <c r="P206" s="192">
        <v>0</v>
      </c>
      <c r="Q206" s="193">
        <v>19</v>
      </c>
      <c r="R206" s="193">
        <v>0</v>
      </c>
      <c r="S206" s="193">
        <v>21</v>
      </c>
      <c r="T206" s="193" t="s">
        <v>1375</v>
      </c>
      <c r="U206" s="33" t="s">
        <v>493</v>
      </c>
      <c r="V206" s="39">
        <v>0.1</v>
      </c>
      <c r="W206" s="33" t="s">
        <v>494</v>
      </c>
      <c r="X206" s="33"/>
      <c r="Y206" s="32" t="s">
        <v>2587</v>
      </c>
      <c r="Z206" s="33" t="s">
        <v>1926</v>
      </c>
      <c r="AA206" s="238">
        <f t="shared" si="32"/>
        <v>6.4940000000000006E-4</v>
      </c>
      <c r="AB206" s="252">
        <v>0</v>
      </c>
      <c r="AC206" s="278">
        <f>+(Tabla1[[#This Row],[Avance PDI]]*100%)/Tabla1[[#This Row],[ponderacion_meta]]</f>
        <v>0</v>
      </c>
      <c r="AD206" s="279">
        <v>0</v>
      </c>
      <c r="AE206" s="279">
        <v>3.08465E-3</v>
      </c>
      <c r="AF206" s="279">
        <v>0</v>
      </c>
      <c r="AG206" s="279">
        <v>3.4093499999999998E-3</v>
      </c>
      <c r="AH206" s="393">
        <f t="shared" si="30"/>
        <v>1.9088790000000005E-2</v>
      </c>
      <c r="AI206" s="393">
        <f t="shared" si="31"/>
        <v>4.2766666666666675E-2</v>
      </c>
      <c r="AJ206" s="318">
        <f t="shared" si="29"/>
        <v>4.2766666666666675E-2</v>
      </c>
      <c r="AK206" s="385">
        <v>0</v>
      </c>
      <c r="AL206" s="323">
        <v>0</v>
      </c>
      <c r="AM206" s="325">
        <v>0</v>
      </c>
      <c r="AN206" s="411">
        <f>$AN$205</f>
        <v>0</v>
      </c>
      <c r="AO206" s="344" t="e">
        <f>+([1]!Tabla1[[#This Row],[ponderacion_accion]]/21)*AQ206</f>
        <v>#REF!</v>
      </c>
      <c r="AP206" s="344" t="e">
        <f>Tabla1[[#This Row],[ponderacion_meta]]*AO206</f>
        <v>#REF!</v>
      </c>
      <c r="AQ206" s="354"/>
      <c r="AR206" s="378">
        <v>0</v>
      </c>
      <c r="AS206" s="9"/>
      <c r="AT206" s="521">
        <v>0</v>
      </c>
    </row>
    <row r="207" spans="1:46" ht="15" customHeight="1" x14ac:dyDescent="0.35">
      <c r="A207" s="236" t="s">
        <v>1150</v>
      </c>
      <c r="B207" s="237" t="s">
        <v>148</v>
      </c>
      <c r="C207" s="237" t="s">
        <v>1719</v>
      </c>
      <c r="D207" s="237" t="s">
        <v>1159</v>
      </c>
      <c r="E207" s="173" t="s">
        <v>473</v>
      </c>
      <c r="F207" s="176" t="s">
        <v>2603</v>
      </c>
      <c r="G207" s="162" t="s">
        <v>488</v>
      </c>
      <c r="H207" s="162" t="s">
        <v>1737</v>
      </c>
      <c r="I207" s="32" t="s">
        <v>489</v>
      </c>
      <c r="J207" s="264">
        <v>6.4939999999999998E-3</v>
      </c>
      <c r="K207" s="33" t="s">
        <v>490</v>
      </c>
      <c r="L207" s="129">
        <v>400000000</v>
      </c>
      <c r="M207" s="129">
        <v>0</v>
      </c>
      <c r="N207" s="437"/>
      <c r="O207" s="437" t="s">
        <v>2622</v>
      </c>
      <c r="P207" s="192">
        <v>0</v>
      </c>
      <c r="Q207" s="193">
        <v>19</v>
      </c>
      <c r="R207" s="193">
        <v>0</v>
      </c>
      <c r="S207" s="193">
        <v>21</v>
      </c>
      <c r="T207" s="193" t="s">
        <v>1376</v>
      </c>
      <c r="U207" s="33" t="s">
        <v>495</v>
      </c>
      <c r="V207" s="39">
        <v>0.1</v>
      </c>
      <c r="W207" s="33" t="s">
        <v>496</v>
      </c>
      <c r="X207" s="33"/>
      <c r="Y207" s="32" t="s">
        <v>2587</v>
      </c>
      <c r="Z207" s="33" t="s">
        <v>1926</v>
      </c>
      <c r="AA207" s="238">
        <f t="shared" si="32"/>
        <v>6.4940000000000006E-4</v>
      </c>
      <c r="AB207" s="252">
        <v>0</v>
      </c>
      <c r="AC207" s="278">
        <f>+(Tabla1[[#This Row],[Avance PDI]]*100%)/Tabla1[[#This Row],[ponderacion_meta]]</f>
        <v>0</v>
      </c>
      <c r="AD207" s="279">
        <v>0</v>
      </c>
      <c r="AE207" s="279">
        <v>3.08465E-3</v>
      </c>
      <c r="AF207" s="279">
        <v>0</v>
      </c>
      <c r="AG207" s="279">
        <v>3.4093499999999998E-3</v>
      </c>
      <c r="AH207" s="393">
        <f t="shared" si="30"/>
        <v>1.9088790000000005E-2</v>
      </c>
      <c r="AI207" s="393">
        <f t="shared" si="31"/>
        <v>4.2766666666666675E-2</v>
      </c>
      <c r="AJ207" s="318">
        <f t="shared" si="29"/>
        <v>4.2766666666666675E-2</v>
      </c>
      <c r="AK207" s="385">
        <v>0</v>
      </c>
      <c r="AL207" s="323">
        <v>0</v>
      </c>
      <c r="AM207" s="325">
        <v>0</v>
      </c>
      <c r="AN207" s="411">
        <f>$AN$205</f>
        <v>0</v>
      </c>
      <c r="AO207" s="344" t="e">
        <f>+([1]!Tabla1[[#This Row],[ponderacion_accion]]/21)*AQ207</f>
        <v>#REF!</v>
      </c>
      <c r="AP207" s="344" t="e">
        <f>Tabla1[[#This Row],[ponderacion_meta]]*AO207</f>
        <v>#REF!</v>
      </c>
      <c r="AQ207" s="354"/>
      <c r="AR207" s="378">
        <v>0</v>
      </c>
      <c r="AS207" s="9"/>
      <c r="AT207" s="521">
        <v>0</v>
      </c>
    </row>
    <row r="208" spans="1:46" ht="15" customHeight="1" x14ac:dyDescent="0.35">
      <c r="A208" s="236" t="s">
        <v>1150</v>
      </c>
      <c r="B208" s="237" t="s">
        <v>148</v>
      </c>
      <c r="C208" s="237" t="s">
        <v>1719</v>
      </c>
      <c r="D208" s="237" t="s">
        <v>1159</v>
      </c>
      <c r="E208" s="173" t="s">
        <v>473</v>
      </c>
      <c r="F208" s="176" t="s">
        <v>2603</v>
      </c>
      <c r="G208" s="162" t="s">
        <v>488</v>
      </c>
      <c r="H208" s="162" t="s">
        <v>1737</v>
      </c>
      <c r="I208" s="32" t="s">
        <v>489</v>
      </c>
      <c r="J208" s="264">
        <v>6.4939999999999998E-3</v>
      </c>
      <c r="K208" s="33" t="s">
        <v>490</v>
      </c>
      <c r="L208" s="129">
        <v>400000000</v>
      </c>
      <c r="M208" s="129">
        <v>0</v>
      </c>
      <c r="N208" s="437"/>
      <c r="O208" s="437" t="s">
        <v>2622</v>
      </c>
      <c r="P208" s="192">
        <v>0</v>
      </c>
      <c r="Q208" s="193">
        <v>19</v>
      </c>
      <c r="R208" s="193">
        <v>0</v>
      </c>
      <c r="S208" s="193">
        <v>21</v>
      </c>
      <c r="T208" s="193" t="s">
        <v>1377</v>
      </c>
      <c r="U208" s="33" t="s">
        <v>497</v>
      </c>
      <c r="V208" s="39">
        <v>0.4</v>
      </c>
      <c r="W208" s="33" t="s">
        <v>28</v>
      </c>
      <c r="X208" s="33"/>
      <c r="Y208" s="32" t="s">
        <v>2587</v>
      </c>
      <c r="Z208" s="33" t="s">
        <v>1926</v>
      </c>
      <c r="AA208" s="238">
        <f t="shared" si="32"/>
        <v>2.5976000000000003E-3</v>
      </c>
      <c r="AB208" s="252">
        <v>0</v>
      </c>
      <c r="AC208" s="278">
        <f>+(Tabla1[[#This Row],[Avance PDI]]*100%)/Tabla1[[#This Row],[ponderacion_meta]]</f>
        <v>0</v>
      </c>
      <c r="AD208" s="279">
        <v>0</v>
      </c>
      <c r="AE208" s="279">
        <v>3.08465E-3</v>
      </c>
      <c r="AF208" s="279">
        <v>0</v>
      </c>
      <c r="AG208" s="279">
        <v>3.4093499999999998E-3</v>
      </c>
      <c r="AH208" s="393">
        <f t="shared" si="30"/>
        <v>1.9088790000000005E-2</v>
      </c>
      <c r="AI208" s="393">
        <f t="shared" si="31"/>
        <v>4.2766666666666675E-2</v>
      </c>
      <c r="AJ208" s="318">
        <f t="shared" si="29"/>
        <v>4.2766666666666675E-2</v>
      </c>
      <c r="AK208" s="385">
        <v>0</v>
      </c>
      <c r="AL208" s="323">
        <v>0</v>
      </c>
      <c r="AM208" s="325">
        <v>0</v>
      </c>
      <c r="AN208" s="411">
        <f>$AN$205</f>
        <v>0</v>
      </c>
      <c r="AO208" s="344" t="e">
        <f>+([1]!Tabla1[[#This Row],[ponderacion_accion]]/21)*AQ208</f>
        <v>#REF!</v>
      </c>
      <c r="AP208" s="344" t="e">
        <f>Tabla1[[#This Row],[ponderacion_meta]]*AO208</f>
        <v>#REF!</v>
      </c>
      <c r="AQ208" s="354"/>
      <c r="AR208" s="378">
        <v>0</v>
      </c>
      <c r="AS208" s="9"/>
      <c r="AT208" s="521">
        <v>0</v>
      </c>
    </row>
    <row r="209" spans="1:46" ht="15" customHeight="1" x14ac:dyDescent="0.35">
      <c r="A209" s="236" t="s">
        <v>1150</v>
      </c>
      <c r="B209" s="237" t="s">
        <v>148</v>
      </c>
      <c r="C209" s="237" t="s">
        <v>1719</v>
      </c>
      <c r="D209" s="237" t="s">
        <v>1159</v>
      </c>
      <c r="E209" s="173" t="s">
        <v>473</v>
      </c>
      <c r="F209" s="176" t="s">
        <v>2603</v>
      </c>
      <c r="G209" s="162" t="s">
        <v>488</v>
      </c>
      <c r="H209" s="162" t="s">
        <v>1737</v>
      </c>
      <c r="I209" s="32" t="s">
        <v>489</v>
      </c>
      <c r="J209" s="264">
        <v>6.4939999999999998E-3</v>
      </c>
      <c r="K209" s="33" t="s">
        <v>490</v>
      </c>
      <c r="L209" s="129">
        <v>400000000</v>
      </c>
      <c r="M209" s="129">
        <v>0</v>
      </c>
      <c r="N209" s="437"/>
      <c r="O209" s="437" t="s">
        <v>2622</v>
      </c>
      <c r="P209" s="192">
        <v>0</v>
      </c>
      <c r="Q209" s="193">
        <v>19</v>
      </c>
      <c r="R209" s="193">
        <v>0</v>
      </c>
      <c r="S209" s="193">
        <v>21</v>
      </c>
      <c r="T209" s="193" t="s">
        <v>1378</v>
      </c>
      <c r="U209" s="33" t="s">
        <v>498</v>
      </c>
      <c r="V209" s="39">
        <v>0.3</v>
      </c>
      <c r="W209" s="33" t="s">
        <v>53</v>
      </c>
      <c r="X209" s="33"/>
      <c r="Y209" s="32" t="s">
        <v>2587</v>
      </c>
      <c r="Z209" s="33" t="s">
        <v>1926</v>
      </c>
      <c r="AA209" s="238">
        <f t="shared" si="32"/>
        <v>1.9481999999999998E-3</v>
      </c>
      <c r="AB209" s="252">
        <v>0</v>
      </c>
      <c r="AC209" s="278">
        <f>+(Tabla1[[#This Row],[Avance PDI]]*100%)/Tabla1[[#This Row],[ponderacion_meta]]</f>
        <v>0</v>
      </c>
      <c r="AD209" s="279">
        <v>0</v>
      </c>
      <c r="AE209" s="279">
        <v>3.08465E-3</v>
      </c>
      <c r="AF209" s="279">
        <v>0</v>
      </c>
      <c r="AG209" s="279">
        <v>3.4093499999999998E-3</v>
      </c>
      <c r="AH209" s="393">
        <f t="shared" si="30"/>
        <v>1.9088790000000005E-2</v>
      </c>
      <c r="AI209" s="393">
        <f t="shared" si="31"/>
        <v>4.2766666666666675E-2</v>
      </c>
      <c r="AJ209" s="318">
        <f t="shared" si="29"/>
        <v>4.2766666666666675E-2</v>
      </c>
      <c r="AK209" s="385">
        <v>0</v>
      </c>
      <c r="AL209" s="329">
        <v>0</v>
      </c>
      <c r="AM209" s="325">
        <v>0</v>
      </c>
      <c r="AN209" s="411">
        <f>$AN$205</f>
        <v>0</v>
      </c>
      <c r="AO209" s="345" t="e">
        <f>+([1]!Tabla1[[#This Row],[ponderacion_accion]]/21)*AQ209</f>
        <v>#REF!</v>
      </c>
      <c r="AP209" s="345" t="e">
        <f>Tabla1[[#This Row],[ponderacion_meta]]*AO209</f>
        <v>#REF!</v>
      </c>
      <c r="AQ209" s="357"/>
      <c r="AR209" s="379">
        <v>0</v>
      </c>
      <c r="AS209" s="9"/>
      <c r="AT209" s="521">
        <v>0</v>
      </c>
    </row>
    <row r="210" spans="1:46" ht="15" customHeight="1" x14ac:dyDescent="0.35">
      <c r="A210" s="236" t="s">
        <v>1150</v>
      </c>
      <c r="B210" s="237" t="s">
        <v>148</v>
      </c>
      <c r="C210" s="237" t="s">
        <v>1719</v>
      </c>
      <c r="D210" s="237" t="s">
        <v>1160</v>
      </c>
      <c r="E210" s="178" t="s">
        <v>499</v>
      </c>
      <c r="F210" s="171" t="s">
        <v>2604</v>
      </c>
      <c r="G210" s="173" t="s">
        <v>500</v>
      </c>
      <c r="H210" s="421" t="s">
        <v>1738</v>
      </c>
      <c r="I210" s="36" t="s">
        <v>501</v>
      </c>
      <c r="J210" s="265">
        <v>1.1627999999999999E-2</v>
      </c>
      <c r="K210" s="37" t="s">
        <v>502</v>
      </c>
      <c r="L210" s="130">
        <v>120000000</v>
      </c>
      <c r="M210" s="130">
        <v>0</v>
      </c>
      <c r="N210" s="438"/>
      <c r="O210" s="438" t="s">
        <v>1753</v>
      </c>
      <c r="P210" s="185">
        <v>0.05</v>
      </c>
      <c r="Q210" s="186">
        <v>0.05</v>
      </c>
      <c r="R210" s="186">
        <v>0.05</v>
      </c>
      <c r="S210" s="186">
        <v>0.05</v>
      </c>
      <c r="T210" s="186" t="s">
        <v>1379</v>
      </c>
      <c r="U210" s="37" t="s">
        <v>503</v>
      </c>
      <c r="V210" s="38">
        <v>0.1</v>
      </c>
      <c r="W210" s="37" t="s">
        <v>200</v>
      </c>
      <c r="X210" s="37"/>
      <c r="Y210" s="36" t="s">
        <v>2587</v>
      </c>
      <c r="Z210" s="37" t="s">
        <v>2557</v>
      </c>
      <c r="AA210" s="239">
        <f t="shared" si="32"/>
        <v>1.1628000000000001E-3</v>
      </c>
      <c r="AB210" s="253">
        <f>+(Tabla1[[#This Row],[ponderacion_meta]]*Tabla1[[#This Row],[ponderacion_accion]])/4</f>
        <v>2.9070000000000002E-4</v>
      </c>
      <c r="AC210" s="262">
        <f>+(Tabla1[[#This Row],[Avance PDI]]*100%)/Tabla1[[#This Row],[ponderacion_meta]]</f>
        <v>2.5000000000000001E-2</v>
      </c>
      <c r="AD210" s="257">
        <f>+Tabla1[[#This Row],[ponderacion_meta]]/20%*Tabla1[[#This Row],[proyeccion_año1]]</f>
        <v>2.9069999999999999E-3</v>
      </c>
      <c r="AE210" s="257">
        <f>+Tabla1[[#This Row],[ponderacion_meta]]/20%*Tabla1[[#This Row],[proyeccion_año2]]</f>
        <v>2.9069999999999999E-3</v>
      </c>
      <c r="AF210" s="257">
        <f>+Tabla1[[#This Row],[ponderacion_meta]]/20%*Tabla1[[#This Row],[proyeccion_año3]]</f>
        <v>2.9069999999999999E-3</v>
      </c>
      <c r="AG210" s="257">
        <f>+Tabla1[[#This Row],[ponderacion_meta]]/20%*Tabla1[[#This Row],[proyeccion_año4]]</f>
        <v>2.9069999999999999E-3</v>
      </c>
      <c r="AH210" s="393">
        <f t="shared" si="30"/>
        <v>1.9088790000000005E-2</v>
      </c>
      <c r="AI210" s="393">
        <f t="shared" si="31"/>
        <v>4.2766666666666675E-2</v>
      </c>
      <c r="AJ210" s="318">
        <f t="shared" si="29"/>
        <v>4.2766666666666675E-2</v>
      </c>
      <c r="AK210" s="386">
        <f>+SUM(AB210:AB242)</f>
        <v>2.9069999999999994E-3</v>
      </c>
      <c r="AL210" s="320">
        <f>+SUM(AC210:AC242)/7</f>
        <v>3.5714285714285712E-2</v>
      </c>
      <c r="AM210" s="326">
        <f>+SUM(AB210:AB223)</f>
        <v>2.9069999999999994E-3</v>
      </c>
      <c r="AN210" s="410">
        <f>+SUM(AC210:AC223)/3</f>
        <v>8.3333333333333329E-2</v>
      </c>
      <c r="AO210" s="358" t="e">
        <f>+([1]!Tabla1[[#This Row],[ponderacion_accion]]/4)*AQ210</f>
        <v>#REF!</v>
      </c>
      <c r="AP210" s="358" t="e">
        <f>Tabla1[[#This Row],[ponderacion_meta]]*AO210</f>
        <v>#REF!</v>
      </c>
      <c r="AQ210" s="361">
        <v>1</v>
      </c>
      <c r="AR210" s="380">
        <v>0</v>
      </c>
      <c r="AS210" s="7" t="e">
        <f>+((SUM(AO210:AO213)*100)/50)</f>
        <v>#REF!</v>
      </c>
      <c r="AT210" s="521">
        <v>0</v>
      </c>
    </row>
    <row r="211" spans="1:46" ht="15" customHeight="1" x14ac:dyDescent="0.35">
      <c r="A211" s="236" t="s">
        <v>1150</v>
      </c>
      <c r="B211" s="237" t="s">
        <v>148</v>
      </c>
      <c r="C211" s="237" t="s">
        <v>1719</v>
      </c>
      <c r="D211" s="237" t="s">
        <v>1160</v>
      </c>
      <c r="E211" s="178" t="s">
        <v>499</v>
      </c>
      <c r="F211" s="171" t="s">
        <v>2604</v>
      </c>
      <c r="G211" s="173" t="s">
        <v>500</v>
      </c>
      <c r="H211" s="173" t="s">
        <v>1738</v>
      </c>
      <c r="I211" s="36" t="s">
        <v>501</v>
      </c>
      <c r="J211" s="265">
        <v>1.1627999999999999E-2</v>
      </c>
      <c r="K211" s="37" t="s">
        <v>504</v>
      </c>
      <c r="L211" s="130">
        <v>120000000</v>
      </c>
      <c r="M211" s="130">
        <v>0</v>
      </c>
      <c r="N211" s="438"/>
      <c r="O211" s="438" t="s">
        <v>1753</v>
      </c>
      <c r="P211" s="185">
        <v>0.05</v>
      </c>
      <c r="Q211" s="186">
        <v>0.05</v>
      </c>
      <c r="R211" s="186">
        <v>0.05</v>
      </c>
      <c r="S211" s="186">
        <v>0.05</v>
      </c>
      <c r="T211" s="186" t="s">
        <v>1380</v>
      </c>
      <c r="U211" s="37" t="s">
        <v>505</v>
      </c>
      <c r="V211" s="38">
        <v>0.3</v>
      </c>
      <c r="W211" s="37" t="s">
        <v>202</v>
      </c>
      <c r="X211" s="37"/>
      <c r="Y211" s="36" t="s">
        <v>2587</v>
      </c>
      <c r="Z211" s="37" t="s">
        <v>2557</v>
      </c>
      <c r="AA211" s="239">
        <f t="shared" si="32"/>
        <v>3.4883999999999996E-3</v>
      </c>
      <c r="AB211" s="253">
        <f>+(Tabla1[[#This Row],[ponderacion_meta]]*Tabla1[[#This Row],[ponderacion_accion]])/4</f>
        <v>8.7209999999999989E-4</v>
      </c>
      <c r="AC211" s="262">
        <f>+(Tabla1[[#This Row],[Avance PDI]]*100%)/Tabla1[[#This Row],[ponderacion_meta]]</f>
        <v>7.4999999999999997E-2</v>
      </c>
      <c r="AD211" s="257">
        <v>2.9069999999999999E-3</v>
      </c>
      <c r="AE211" s="257">
        <v>2.9069999999999999E-3</v>
      </c>
      <c r="AF211" s="257">
        <v>2.9069999999999999E-3</v>
      </c>
      <c r="AG211" s="257">
        <v>2.9069999999999999E-3</v>
      </c>
      <c r="AH211" s="393">
        <f t="shared" si="30"/>
        <v>1.9088790000000005E-2</v>
      </c>
      <c r="AI211" s="393">
        <f t="shared" si="31"/>
        <v>4.2766666666666675E-2</v>
      </c>
      <c r="AJ211" s="318">
        <f t="shared" si="29"/>
        <v>4.2766666666666675E-2</v>
      </c>
      <c r="AK211" s="387">
        <v>2.9069999999999994E-3</v>
      </c>
      <c r="AL211" s="405">
        <f>$AL$210</f>
        <v>3.5714285714285712E-2</v>
      </c>
      <c r="AM211" s="327">
        <v>0</v>
      </c>
      <c r="AN211" s="410">
        <f>$AN$210</f>
        <v>8.3333333333333329E-2</v>
      </c>
      <c r="AO211" s="359" t="e">
        <f>+([1]!Tabla1[[#This Row],[ponderacion_accion]]/4)*AQ211</f>
        <v>#REF!</v>
      </c>
      <c r="AP211" s="359" t="e">
        <f>Tabla1[[#This Row],[ponderacion_meta]]*AO211</f>
        <v>#REF!</v>
      </c>
      <c r="AQ211" s="351">
        <v>1</v>
      </c>
      <c r="AR211" s="380">
        <v>0</v>
      </c>
      <c r="AS211" s="9"/>
      <c r="AT211" s="521">
        <v>0</v>
      </c>
    </row>
    <row r="212" spans="1:46" ht="15" customHeight="1" x14ac:dyDescent="0.35">
      <c r="A212" s="236" t="s">
        <v>1150</v>
      </c>
      <c r="B212" s="237" t="s">
        <v>148</v>
      </c>
      <c r="C212" s="237" t="s">
        <v>1719</v>
      </c>
      <c r="D212" s="237" t="s">
        <v>1160</v>
      </c>
      <c r="E212" s="178" t="s">
        <v>499</v>
      </c>
      <c r="F212" s="171" t="s">
        <v>2604</v>
      </c>
      <c r="G212" s="173" t="s">
        <v>500</v>
      </c>
      <c r="H212" s="173" t="s">
        <v>1738</v>
      </c>
      <c r="I212" s="36" t="s">
        <v>501</v>
      </c>
      <c r="J212" s="265">
        <v>1.1627999999999999E-2</v>
      </c>
      <c r="K212" s="37" t="s">
        <v>504</v>
      </c>
      <c r="L212" s="130">
        <v>120000000</v>
      </c>
      <c r="M212" s="130">
        <v>0</v>
      </c>
      <c r="N212" s="438"/>
      <c r="O212" s="438" t="s">
        <v>1753</v>
      </c>
      <c r="P212" s="185">
        <v>0.05</v>
      </c>
      <c r="Q212" s="186">
        <v>0.05</v>
      </c>
      <c r="R212" s="186">
        <v>0.05</v>
      </c>
      <c r="S212" s="186">
        <v>0.05</v>
      </c>
      <c r="T212" s="186" t="s">
        <v>1381</v>
      </c>
      <c r="U212" s="37" t="s">
        <v>506</v>
      </c>
      <c r="V212" s="38">
        <v>0.3</v>
      </c>
      <c r="W212" s="37" t="s">
        <v>86</v>
      </c>
      <c r="X212" s="37"/>
      <c r="Y212" s="36" t="s">
        <v>2587</v>
      </c>
      <c r="Z212" s="37" t="s">
        <v>2557</v>
      </c>
      <c r="AA212" s="239">
        <f t="shared" si="32"/>
        <v>3.4883999999999996E-3</v>
      </c>
      <c r="AB212" s="253">
        <f>+(Tabla1[[#This Row],[ponderacion_meta]]*Tabla1[[#This Row],[ponderacion_accion]])/4</f>
        <v>8.7209999999999989E-4</v>
      </c>
      <c r="AC212" s="262">
        <f>+(Tabla1[[#This Row],[Avance PDI]]*100%)/Tabla1[[#This Row],[ponderacion_meta]]</f>
        <v>7.4999999999999997E-2</v>
      </c>
      <c r="AD212" s="257">
        <v>2.9069999999999999E-3</v>
      </c>
      <c r="AE212" s="257">
        <v>2.9069999999999999E-3</v>
      </c>
      <c r="AF212" s="257">
        <v>2.9069999999999999E-3</v>
      </c>
      <c r="AG212" s="257">
        <v>2.9069999999999999E-3</v>
      </c>
      <c r="AH212" s="393">
        <f t="shared" si="30"/>
        <v>1.9088790000000005E-2</v>
      </c>
      <c r="AI212" s="393">
        <f t="shared" si="31"/>
        <v>4.2766666666666675E-2</v>
      </c>
      <c r="AJ212" s="318">
        <f t="shared" si="29"/>
        <v>4.2766666666666675E-2</v>
      </c>
      <c r="AK212" s="387">
        <v>2.9069999999999994E-3</v>
      </c>
      <c r="AL212" s="405">
        <f t="shared" ref="AL212:AL242" si="34">$AL$210</f>
        <v>3.5714285714285712E-2</v>
      </c>
      <c r="AM212" s="327">
        <v>0</v>
      </c>
      <c r="AN212" s="410">
        <f t="shared" ref="AN212:AN222" si="35">$AN$210</f>
        <v>8.3333333333333329E-2</v>
      </c>
      <c r="AO212" s="359" t="e">
        <f>+([1]!Tabla1[[#This Row],[ponderacion_accion]]/4)*AQ212</f>
        <v>#REF!</v>
      </c>
      <c r="AP212" s="359" t="e">
        <f>Tabla1[[#This Row],[ponderacion_meta]]*AO212</f>
        <v>#REF!</v>
      </c>
      <c r="AQ212" s="351">
        <v>1</v>
      </c>
      <c r="AR212" s="380">
        <v>0</v>
      </c>
      <c r="AS212" s="9"/>
      <c r="AT212" s="521">
        <v>0</v>
      </c>
    </row>
    <row r="213" spans="1:46" ht="15" customHeight="1" x14ac:dyDescent="0.35">
      <c r="A213" s="236" t="s">
        <v>1150</v>
      </c>
      <c r="B213" s="237" t="s">
        <v>148</v>
      </c>
      <c r="C213" s="237" t="s">
        <v>1719</v>
      </c>
      <c r="D213" s="237" t="s">
        <v>1160</v>
      </c>
      <c r="E213" s="178" t="s">
        <v>499</v>
      </c>
      <c r="F213" s="171" t="s">
        <v>2604</v>
      </c>
      <c r="G213" s="173" t="s">
        <v>500</v>
      </c>
      <c r="H213" s="173" t="s">
        <v>1738</v>
      </c>
      <c r="I213" s="36" t="s">
        <v>501</v>
      </c>
      <c r="J213" s="265">
        <v>1.1627999999999999E-2</v>
      </c>
      <c r="K213" s="37" t="s">
        <v>504</v>
      </c>
      <c r="L213" s="130">
        <v>120000000</v>
      </c>
      <c r="M213" s="130">
        <v>0</v>
      </c>
      <c r="N213" s="438"/>
      <c r="O213" s="438" t="s">
        <v>1753</v>
      </c>
      <c r="P213" s="185">
        <v>0.05</v>
      </c>
      <c r="Q213" s="186">
        <v>0.05</v>
      </c>
      <c r="R213" s="186">
        <v>0.05</v>
      </c>
      <c r="S213" s="186">
        <v>0.05</v>
      </c>
      <c r="T213" s="186" t="s">
        <v>1382</v>
      </c>
      <c r="U213" s="37" t="s">
        <v>507</v>
      </c>
      <c r="V213" s="38">
        <v>0.3</v>
      </c>
      <c r="W213" s="37" t="s">
        <v>88</v>
      </c>
      <c r="X213" s="37"/>
      <c r="Y213" s="36" t="s">
        <v>2587</v>
      </c>
      <c r="Z213" s="37" t="s">
        <v>2557</v>
      </c>
      <c r="AA213" s="239">
        <f t="shared" si="32"/>
        <v>3.4883999999999996E-3</v>
      </c>
      <c r="AB213" s="253">
        <f>+(Tabla1[[#This Row],[ponderacion_meta]]*Tabla1[[#This Row],[ponderacion_accion]])/4</f>
        <v>8.7209999999999989E-4</v>
      </c>
      <c r="AC213" s="262">
        <f>+(Tabla1[[#This Row],[Avance PDI]]*100%)/Tabla1[[#This Row],[ponderacion_meta]]</f>
        <v>7.4999999999999997E-2</v>
      </c>
      <c r="AD213" s="257">
        <v>2.9069999999999999E-3</v>
      </c>
      <c r="AE213" s="257">
        <v>2.9069999999999999E-3</v>
      </c>
      <c r="AF213" s="257">
        <v>2.9069999999999999E-3</v>
      </c>
      <c r="AG213" s="257">
        <v>2.9069999999999999E-3</v>
      </c>
      <c r="AH213" s="393">
        <f t="shared" si="30"/>
        <v>1.9088790000000005E-2</v>
      </c>
      <c r="AI213" s="393">
        <f t="shared" si="31"/>
        <v>4.2766666666666675E-2</v>
      </c>
      <c r="AJ213" s="318">
        <f t="shared" si="29"/>
        <v>4.2766666666666675E-2</v>
      </c>
      <c r="AK213" s="387">
        <v>2.9069999999999994E-3</v>
      </c>
      <c r="AL213" s="405">
        <f t="shared" si="34"/>
        <v>3.5714285714285712E-2</v>
      </c>
      <c r="AM213" s="327">
        <v>0</v>
      </c>
      <c r="AN213" s="410">
        <f t="shared" si="35"/>
        <v>8.3333333333333329E-2</v>
      </c>
      <c r="AO213" s="360" t="e">
        <f>+([1]!Tabla1[[#This Row],[ponderacion_accion]]/4)*AQ213</f>
        <v>#REF!</v>
      </c>
      <c r="AP213" s="360" t="e">
        <f>Tabla1[[#This Row],[ponderacion_meta]]*AO213</f>
        <v>#REF!</v>
      </c>
      <c r="AQ213" s="356">
        <v>1</v>
      </c>
      <c r="AR213" s="380">
        <v>0</v>
      </c>
      <c r="AS213" s="9"/>
      <c r="AT213" s="521">
        <v>0</v>
      </c>
    </row>
    <row r="214" spans="1:46" ht="15" customHeight="1" x14ac:dyDescent="0.35">
      <c r="A214" s="236" t="s">
        <v>1150</v>
      </c>
      <c r="B214" s="237" t="s">
        <v>148</v>
      </c>
      <c r="C214" s="237" t="s">
        <v>1719</v>
      </c>
      <c r="D214" s="237" t="s">
        <v>1160</v>
      </c>
      <c r="E214" s="178" t="s">
        <v>499</v>
      </c>
      <c r="F214" s="171" t="s">
        <v>2604</v>
      </c>
      <c r="G214" s="173" t="s">
        <v>500</v>
      </c>
      <c r="H214" s="173" t="s">
        <v>1738</v>
      </c>
      <c r="I214" s="32" t="s">
        <v>508</v>
      </c>
      <c r="J214" s="264">
        <v>1.1627999999999999E-2</v>
      </c>
      <c r="K214" s="33" t="s">
        <v>509</v>
      </c>
      <c r="L214" s="129">
        <v>240000000</v>
      </c>
      <c r="M214" s="129">
        <v>0</v>
      </c>
      <c r="N214" s="437"/>
      <c r="O214" s="437" t="s">
        <v>1753</v>
      </c>
      <c r="P214" s="183">
        <v>0.1</v>
      </c>
      <c r="Q214" s="184">
        <v>0.4</v>
      </c>
      <c r="R214" s="184">
        <v>0.4</v>
      </c>
      <c r="S214" s="184">
        <v>0.1</v>
      </c>
      <c r="T214" s="184" t="s">
        <v>1383</v>
      </c>
      <c r="U214" s="33" t="s">
        <v>510</v>
      </c>
      <c r="V214" s="34">
        <v>0.1</v>
      </c>
      <c r="W214" s="33" t="s">
        <v>200</v>
      </c>
      <c r="X214" s="33"/>
      <c r="Y214" s="32" t="s">
        <v>2587</v>
      </c>
      <c r="Z214" s="33" t="s">
        <v>1926</v>
      </c>
      <c r="AA214" s="238">
        <f t="shared" si="32"/>
        <v>1.1628000000000001E-3</v>
      </c>
      <c r="AB214" s="252">
        <v>0</v>
      </c>
      <c r="AC214" s="278">
        <f>+(Tabla1[[#This Row],[Avance PDI]]*100%)/Tabla1[[#This Row],[ponderacion_meta]]</f>
        <v>0</v>
      </c>
      <c r="AD214" s="279">
        <f>+Tabla1[[#This Row],[ponderacion_meta]]*Tabla1[[#This Row],[proyeccion_año1]]</f>
        <v>1.1628000000000001E-3</v>
      </c>
      <c r="AE214" s="279">
        <f>+Tabla1[[#This Row],[ponderacion_meta]]*Tabla1[[#This Row],[proyeccion_año2]]</f>
        <v>4.6512000000000003E-3</v>
      </c>
      <c r="AF214" s="279">
        <f>+Tabla1[[#This Row],[ponderacion_meta]]*Tabla1[[#This Row],[proyeccion_año3]]</f>
        <v>4.6512000000000003E-3</v>
      </c>
      <c r="AG214" s="279">
        <f>+Tabla1[[#This Row],[ponderacion_meta]]*Tabla1[[#This Row],[proyeccion_año4]]</f>
        <v>1.1628000000000001E-3</v>
      </c>
      <c r="AH214" s="393">
        <f t="shared" si="30"/>
        <v>1.9088790000000005E-2</v>
      </c>
      <c r="AI214" s="393">
        <f t="shared" si="31"/>
        <v>4.2766666666666675E-2</v>
      </c>
      <c r="AJ214" s="318">
        <f t="shared" si="29"/>
        <v>4.2766666666666675E-2</v>
      </c>
      <c r="AK214" s="387">
        <v>2.9069999999999994E-3</v>
      </c>
      <c r="AL214" s="405">
        <f t="shared" si="34"/>
        <v>3.5714285714285712E-2</v>
      </c>
      <c r="AM214" s="327">
        <v>0</v>
      </c>
      <c r="AN214" s="410">
        <f t="shared" si="35"/>
        <v>8.3333333333333329E-2</v>
      </c>
      <c r="AO214" s="343" t="e">
        <f>+([1]!Tabla1[[#This Row],[ponderacion_accion]]/13)*AQ214</f>
        <v>#REF!</v>
      </c>
      <c r="AP214" s="343" t="e">
        <f>Tabla1[[#This Row],[ponderacion_meta]]*AO214</f>
        <v>#REF!</v>
      </c>
      <c r="AQ214" s="353"/>
      <c r="AR214" s="377">
        <v>0</v>
      </c>
      <c r="AS214" s="7" t="e">
        <f>+((SUM(AO214:AO218)*100)/50)</f>
        <v>#REF!</v>
      </c>
      <c r="AT214" s="521">
        <v>0</v>
      </c>
    </row>
    <row r="215" spans="1:46" ht="15" customHeight="1" x14ac:dyDescent="0.35">
      <c r="A215" s="236" t="s">
        <v>1150</v>
      </c>
      <c r="B215" s="237" t="s">
        <v>148</v>
      </c>
      <c r="C215" s="237" t="s">
        <v>1719</v>
      </c>
      <c r="D215" s="237" t="s">
        <v>1160</v>
      </c>
      <c r="E215" s="178" t="s">
        <v>499</v>
      </c>
      <c r="F215" s="171" t="s">
        <v>2604</v>
      </c>
      <c r="G215" s="173" t="s">
        <v>500</v>
      </c>
      <c r="H215" s="173" t="s">
        <v>1738</v>
      </c>
      <c r="I215" s="32" t="s">
        <v>508</v>
      </c>
      <c r="J215" s="264">
        <v>1.1627999999999999E-2</v>
      </c>
      <c r="K215" s="33" t="s">
        <v>509</v>
      </c>
      <c r="L215" s="129">
        <v>240000000</v>
      </c>
      <c r="M215" s="129">
        <v>0</v>
      </c>
      <c r="N215" s="437"/>
      <c r="O215" s="437" t="s">
        <v>1753</v>
      </c>
      <c r="P215" s="183">
        <v>0.1</v>
      </c>
      <c r="Q215" s="184">
        <v>0.4</v>
      </c>
      <c r="R215" s="184">
        <v>0.4</v>
      </c>
      <c r="S215" s="184">
        <v>0.1</v>
      </c>
      <c r="T215" s="184" t="s">
        <v>1384</v>
      </c>
      <c r="U215" s="33" t="s">
        <v>511</v>
      </c>
      <c r="V215" s="34">
        <v>0.1</v>
      </c>
      <c r="W215" s="33" t="s">
        <v>202</v>
      </c>
      <c r="X215" s="33"/>
      <c r="Y215" s="32" t="s">
        <v>2587</v>
      </c>
      <c r="Z215" s="33" t="s">
        <v>1926</v>
      </c>
      <c r="AA215" s="238">
        <f t="shared" si="32"/>
        <v>1.1628000000000001E-3</v>
      </c>
      <c r="AB215" s="252">
        <v>0</v>
      </c>
      <c r="AC215" s="278">
        <f>+(Tabla1[[#This Row],[Avance PDI]]*100%)/Tabla1[[#This Row],[ponderacion_meta]]</f>
        <v>0</v>
      </c>
      <c r="AD215" s="279">
        <v>1.1628000000000001E-3</v>
      </c>
      <c r="AE215" s="279">
        <v>4.6512000000000003E-3</v>
      </c>
      <c r="AF215" s="279">
        <v>4.6512000000000003E-3</v>
      </c>
      <c r="AG215" s="279">
        <v>1.1628000000000001E-3</v>
      </c>
      <c r="AH215" s="393">
        <f t="shared" si="30"/>
        <v>1.9088790000000005E-2</v>
      </c>
      <c r="AI215" s="393">
        <f t="shared" si="31"/>
        <v>4.2766666666666675E-2</v>
      </c>
      <c r="AJ215" s="318">
        <f t="shared" si="29"/>
        <v>4.2766666666666675E-2</v>
      </c>
      <c r="AK215" s="387">
        <v>2.9069999999999994E-3</v>
      </c>
      <c r="AL215" s="405">
        <f t="shared" si="34"/>
        <v>3.5714285714285712E-2</v>
      </c>
      <c r="AM215" s="327">
        <v>0</v>
      </c>
      <c r="AN215" s="410">
        <f t="shared" si="35"/>
        <v>8.3333333333333329E-2</v>
      </c>
      <c r="AO215" s="344" t="e">
        <f>+([1]!Tabla1[[#This Row],[ponderacion_accion]]/13)*AQ215</f>
        <v>#REF!</v>
      </c>
      <c r="AP215" s="344" t="e">
        <f>Tabla1[[#This Row],[ponderacion_meta]]*AO215</f>
        <v>#REF!</v>
      </c>
      <c r="AQ215" s="354"/>
      <c r="AR215" s="378">
        <v>0</v>
      </c>
      <c r="AS215" s="9"/>
      <c r="AT215" s="521">
        <v>0</v>
      </c>
    </row>
    <row r="216" spans="1:46" ht="15" customHeight="1" x14ac:dyDescent="0.35">
      <c r="A216" s="236" t="s">
        <v>1150</v>
      </c>
      <c r="B216" s="237" t="s">
        <v>148</v>
      </c>
      <c r="C216" s="237" t="s">
        <v>1719</v>
      </c>
      <c r="D216" s="237" t="s">
        <v>1160</v>
      </c>
      <c r="E216" s="178" t="s">
        <v>499</v>
      </c>
      <c r="F216" s="171" t="s">
        <v>2604</v>
      </c>
      <c r="G216" s="173" t="s">
        <v>500</v>
      </c>
      <c r="H216" s="173" t="s">
        <v>1738</v>
      </c>
      <c r="I216" s="32" t="s">
        <v>508</v>
      </c>
      <c r="J216" s="264">
        <v>1.1627999999999999E-2</v>
      </c>
      <c r="K216" s="33" t="s">
        <v>509</v>
      </c>
      <c r="L216" s="129">
        <v>240000000</v>
      </c>
      <c r="M216" s="129">
        <v>0</v>
      </c>
      <c r="N216" s="437"/>
      <c r="O216" s="437" t="s">
        <v>1753</v>
      </c>
      <c r="P216" s="183">
        <v>0.1</v>
      </c>
      <c r="Q216" s="184">
        <v>0.4</v>
      </c>
      <c r="R216" s="184">
        <v>0.4</v>
      </c>
      <c r="S216" s="184">
        <v>0.1</v>
      </c>
      <c r="T216" s="184" t="s">
        <v>1385</v>
      </c>
      <c r="U216" s="33" t="s">
        <v>512</v>
      </c>
      <c r="V216" s="34">
        <v>0.2</v>
      </c>
      <c r="W216" s="33" t="s">
        <v>86</v>
      </c>
      <c r="X216" s="33"/>
      <c r="Y216" s="32" t="s">
        <v>2587</v>
      </c>
      <c r="Z216" s="33" t="s">
        <v>1926</v>
      </c>
      <c r="AA216" s="238">
        <f t="shared" si="32"/>
        <v>2.3256000000000001E-3</v>
      </c>
      <c r="AB216" s="252">
        <v>0</v>
      </c>
      <c r="AC216" s="278">
        <f>+(Tabla1[[#This Row],[Avance PDI]]*100%)/Tabla1[[#This Row],[ponderacion_meta]]</f>
        <v>0</v>
      </c>
      <c r="AD216" s="279">
        <v>1.1628000000000001E-3</v>
      </c>
      <c r="AE216" s="279">
        <v>4.6512000000000003E-3</v>
      </c>
      <c r="AF216" s="279">
        <v>4.6512000000000003E-3</v>
      </c>
      <c r="AG216" s="279">
        <v>1.1628000000000001E-3</v>
      </c>
      <c r="AH216" s="393">
        <f t="shared" si="30"/>
        <v>1.9088790000000005E-2</v>
      </c>
      <c r="AI216" s="393">
        <f t="shared" si="31"/>
        <v>4.2766666666666675E-2</v>
      </c>
      <c r="AJ216" s="318">
        <f t="shared" si="29"/>
        <v>4.2766666666666675E-2</v>
      </c>
      <c r="AK216" s="387">
        <v>2.9069999999999994E-3</v>
      </c>
      <c r="AL216" s="405">
        <f t="shared" si="34"/>
        <v>3.5714285714285712E-2</v>
      </c>
      <c r="AM216" s="327">
        <v>0</v>
      </c>
      <c r="AN216" s="410">
        <f t="shared" si="35"/>
        <v>8.3333333333333329E-2</v>
      </c>
      <c r="AO216" s="344" t="e">
        <f>+([1]!Tabla1[[#This Row],[ponderacion_accion]]/13)*AQ216</f>
        <v>#REF!</v>
      </c>
      <c r="AP216" s="344" t="e">
        <f>Tabla1[[#This Row],[ponderacion_meta]]*AO216</f>
        <v>#REF!</v>
      </c>
      <c r="AQ216" s="354"/>
      <c r="AR216" s="378">
        <v>0</v>
      </c>
      <c r="AS216" s="9"/>
      <c r="AT216" s="521">
        <v>0</v>
      </c>
    </row>
    <row r="217" spans="1:46" ht="15" customHeight="1" x14ac:dyDescent="0.35">
      <c r="A217" s="236" t="s">
        <v>1150</v>
      </c>
      <c r="B217" s="237" t="s">
        <v>148</v>
      </c>
      <c r="C217" s="237" t="s">
        <v>1719</v>
      </c>
      <c r="D217" s="237" t="s">
        <v>1160</v>
      </c>
      <c r="E217" s="178" t="s">
        <v>499</v>
      </c>
      <c r="F217" s="171" t="s">
        <v>2604</v>
      </c>
      <c r="G217" s="173" t="s">
        <v>500</v>
      </c>
      <c r="H217" s="173" t="s">
        <v>1738</v>
      </c>
      <c r="I217" s="32" t="s">
        <v>508</v>
      </c>
      <c r="J217" s="264">
        <v>1.1627999999999999E-2</v>
      </c>
      <c r="K217" s="33" t="s">
        <v>509</v>
      </c>
      <c r="L217" s="129">
        <v>240000000</v>
      </c>
      <c r="M217" s="129">
        <v>0</v>
      </c>
      <c r="N217" s="437"/>
      <c r="O217" s="437" t="s">
        <v>1753</v>
      </c>
      <c r="P217" s="183">
        <v>0.1</v>
      </c>
      <c r="Q217" s="184">
        <v>0.4</v>
      </c>
      <c r="R217" s="184">
        <v>0.4</v>
      </c>
      <c r="S217" s="184">
        <v>0.1</v>
      </c>
      <c r="T217" s="184" t="s">
        <v>1386</v>
      </c>
      <c r="U217" s="33" t="s">
        <v>513</v>
      </c>
      <c r="V217" s="34">
        <v>0.5</v>
      </c>
      <c r="W217" s="33" t="s">
        <v>88</v>
      </c>
      <c r="X217" s="33"/>
      <c r="Y217" s="32" t="s">
        <v>2587</v>
      </c>
      <c r="Z217" s="33" t="s">
        <v>1926</v>
      </c>
      <c r="AA217" s="238">
        <f t="shared" si="32"/>
        <v>5.8139999999999997E-3</v>
      </c>
      <c r="AB217" s="252">
        <v>0</v>
      </c>
      <c r="AC217" s="278">
        <f>+(Tabla1[[#This Row],[Avance PDI]]*100%)/Tabla1[[#This Row],[ponderacion_meta]]</f>
        <v>0</v>
      </c>
      <c r="AD217" s="279">
        <v>1.1628000000000001E-3</v>
      </c>
      <c r="AE217" s="279">
        <v>4.6512000000000003E-3</v>
      </c>
      <c r="AF217" s="279">
        <v>4.6512000000000003E-3</v>
      </c>
      <c r="AG217" s="279">
        <v>1.1628000000000001E-3</v>
      </c>
      <c r="AH217" s="393">
        <f t="shared" si="30"/>
        <v>1.9088790000000005E-2</v>
      </c>
      <c r="AI217" s="393">
        <f t="shared" si="31"/>
        <v>4.2766666666666675E-2</v>
      </c>
      <c r="AJ217" s="318">
        <f t="shared" si="29"/>
        <v>4.2766666666666675E-2</v>
      </c>
      <c r="AK217" s="387">
        <v>2.9069999999999994E-3</v>
      </c>
      <c r="AL217" s="405">
        <f t="shared" si="34"/>
        <v>3.5714285714285712E-2</v>
      </c>
      <c r="AM217" s="327">
        <v>0</v>
      </c>
      <c r="AN217" s="410">
        <f t="shared" si="35"/>
        <v>8.3333333333333329E-2</v>
      </c>
      <c r="AO217" s="344" t="e">
        <f>+([1]!Tabla1[[#This Row],[ponderacion_accion]]/13)*AQ217</f>
        <v>#REF!</v>
      </c>
      <c r="AP217" s="344" t="e">
        <f>Tabla1[[#This Row],[ponderacion_meta]]*AO217</f>
        <v>#REF!</v>
      </c>
      <c r="AQ217" s="354"/>
      <c r="AR217" s="378">
        <v>0</v>
      </c>
      <c r="AS217" s="9"/>
      <c r="AT217" s="521">
        <v>0</v>
      </c>
    </row>
    <row r="218" spans="1:46" ht="15" customHeight="1" x14ac:dyDescent="0.35">
      <c r="A218" s="236" t="s">
        <v>1150</v>
      </c>
      <c r="B218" s="237" t="s">
        <v>148</v>
      </c>
      <c r="C218" s="237" t="s">
        <v>1719</v>
      </c>
      <c r="D218" s="237" t="s">
        <v>1160</v>
      </c>
      <c r="E218" s="178" t="s">
        <v>499</v>
      </c>
      <c r="F218" s="171" t="s">
        <v>2604</v>
      </c>
      <c r="G218" s="173" t="s">
        <v>500</v>
      </c>
      <c r="H218" s="173" t="s">
        <v>1738</v>
      </c>
      <c r="I218" s="32" t="s">
        <v>508</v>
      </c>
      <c r="J218" s="264">
        <v>1.1627999999999999E-2</v>
      </c>
      <c r="K218" s="33" t="s">
        <v>509</v>
      </c>
      <c r="L218" s="129">
        <v>240000000</v>
      </c>
      <c r="M218" s="129">
        <v>0</v>
      </c>
      <c r="N218" s="437"/>
      <c r="O218" s="437" t="s">
        <v>1753</v>
      </c>
      <c r="P218" s="183">
        <v>0.1</v>
      </c>
      <c r="Q218" s="184">
        <v>0.4</v>
      </c>
      <c r="R218" s="184">
        <v>0.4</v>
      </c>
      <c r="S218" s="184">
        <v>0.1</v>
      </c>
      <c r="T218" s="184" t="s">
        <v>1387</v>
      </c>
      <c r="U218" s="33" t="s">
        <v>514</v>
      </c>
      <c r="V218" s="34">
        <v>0.1</v>
      </c>
      <c r="W218" s="33" t="s">
        <v>90</v>
      </c>
      <c r="X218" s="33"/>
      <c r="Y218" s="32" t="s">
        <v>2587</v>
      </c>
      <c r="Z218" s="33" t="s">
        <v>1926</v>
      </c>
      <c r="AA218" s="238">
        <f t="shared" si="32"/>
        <v>1.1628000000000001E-3</v>
      </c>
      <c r="AB218" s="252">
        <v>0</v>
      </c>
      <c r="AC218" s="278">
        <f>+(Tabla1[[#This Row],[Avance PDI]]*100%)/Tabla1[[#This Row],[ponderacion_meta]]</f>
        <v>0</v>
      </c>
      <c r="AD218" s="279">
        <v>1.1628000000000001E-3</v>
      </c>
      <c r="AE218" s="279">
        <v>4.6512000000000003E-3</v>
      </c>
      <c r="AF218" s="279">
        <v>4.6512000000000003E-3</v>
      </c>
      <c r="AG218" s="279">
        <v>1.1628000000000001E-3</v>
      </c>
      <c r="AH218" s="393">
        <f t="shared" si="30"/>
        <v>1.9088790000000005E-2</v>
      </c>
      <c r="AI218" s="393">
        <f t="shared" si="31"/>
        <v>4.2766666666666675E-2</v>
      </c>
      <c r="AJ218" s="318">
        <f t="shared" si="29"/>
        <v>4.2766666666666675E-2</v>
      </c>
      <c r="AK218" s="387">
        <v>2.9069999999999994E-3</v>
      </c>
      <c r="AL218" s="405">
        <f t="shared" si="34"/>
        <v>3.5714285714285712E-2</v>
      </c>
      <c r="AM218" s="327">
        <v>0</v>
      </c>
      <c r="AN218" s="410">
        <f t="shared" si="35"/>
        <v>8.3333333333333329E-2</v>
      </c>
      <c r="AO218" s="345" t="e">
        <f>+([1]!Tabla1[[#This Row],[ponderacion_accion]]/13)*AQ218</f>
        <v>#REF!</v>
      </c>
      <c r="AP218" s="345" t="e">
        <f>Tabla1[[#This Row],[ponderacion_meta]]*AO218</f>
        <v>#REF!</v>
      </c>
      <c r="AQ218" s="357"/>
      <c r="AR218" s="379">
        <v>0</v>
      </c>
      <c r="AS218" s="9"/>
      <c r="AT218" s="521">
        <v>0</v>
      </c>
    </row>
    <row r="219" spans="1:46" ht="15" customHeight="1" x14ac:dyDescent="0.35">
      <c r="A219" s="236" t="s">
        <v>1150</v>
      </c>
      <c r="B219" s="237" t="s">
        <v>148</v>
      </c>
      <c r="C219" s="237" t="s">
        <v>1719</v>
      </c>
      <c r="D219" s="237" t="s">
        <v>1160</v>
      </c>
      <c r="E219" s="178" t="s">
        <v>499</v>
      </c>
      <c r="F219" s="171" t="s">
        <v>2604</v>
      </c>
      <c r="G219" s="173" t="s">
        <v>500</v>
      </c>
      <c r="H219" s="173" t="s">
        <v>1738</v>
      </c>
      <c r="I219" s="36" t="s">
        <v>515</v>
      </c>
      <c r="J219" s="265">
        <v>6.4939999999999998E-3</v>
      </c>
      <c r="K219" s="37" t="s">
        <v>516</v>
      </c>
      <c r="L219" s="130">
        <v>100000000</v>
      </c>
      <c r="M219" s="130">
        <v>0</v>
      </c>
      <c r="N219" s="438"/>
      <c r="O219" s="438" t="s">
        <v>1753</v>
      </c>
      <c r="P219" s="185">
        <v>0.15</v>
      </c>
      <c r="Q219" s="186">
        <v>0.35</v>
      </c>
      <c r="R219" s="186">
        <v>0.35</v>
      </c>
      <c r="S219" s="186">
        <v>0.15</v>
      </c>
      <c r="T219" s="186" t="s">
        <v>1388</v>
      </c>
      <c r="U219" s="37" t="s">
        <v>517</v>
      </c>
      <c r="V219" s="38">
        <v>0.1</v>
      </c>
      <c r="W219" s="37" t="s">
        <v>200</v>
      </c>
      <c r="X219" s="37"/>
      <c r="Y219" s="36" t="s">
        <v>2587</v>
      </c>
      <c r="Z219" s="37" t="s">
        <v>1926</v>
      </c>
      <c r="AA219" s="239">
        <f t="shared" si="32"/>
        <v>6.4940000000000006E-4</v>
      </c>
      <c r="AB219" s="252">
        <v>0</v>
      </c>
      <c r="AC219" s="262">
        <f>+(Tabla1[[#This Row],[Avance PDI]]*100%)/Tabla1[[#This Row],[ponderacion_meta]]</f>
        <v>0</v>
      </c>
      <c r="AD219" s="257">
        <f>+Tabla1[[#This Row],[ponderacion_meta]]*Tabla1[[#This Row],[proyeccion_año1]]</f>
        <v>9.7409999999999988E-4</v>
      </c>
      <c r="AE219" s="257">
        <f>+Tabla1[[#This Row],[ponderacion_meta]]*Tabla1[[#This Row],[proyeccion_año2]]</f>
        <v>2.2728999999999996E-3</v>
      </c>
      <c r="AF219" s="257">
        <f>+Tabla1[[#This Row],[ponderacion_meta]]*Tabla1[[#This Row],[proyeccion_año3]]</f>
        <v>2.2728999999999996E-3</v>
      </c>
      <c r="AG219" s="257">
        <f>+Tabla1[[#This Row],[ponderacion_meta]]*Tabla1[[#This Row],[proyeccion_año4]]</f>
        <v>9.7409999999999988E-4</v>
      </c>
      <c r="AH219" s="393">
        <f t="shared" si="30"/>
        <v>1.9088790000000005E-2</v>
      </c>
      <c r="AI219" s="393">
        <f t="shared" si="31"/>
        <v>4.2766666666666675E-2</v>
      </c>
      <c r="AJ219" s="318">
        <f t="shared" si="29"/>
        <v>4.2766666666666675E-2</v>
      </c>
      <c r="AK219" s="387">
        <v>2.9069999999999994E-3</v>
      </c>
      <c r="AL219" s="405">
        <f t="shared" si="34"/>
        <v>3.5714285714285712E-2</v>
      </c>
      <c r="AM219" s="327">
        <v>0</v>
      </c>
      <c r="AN219" s="410">
        <f t="shared" si="35"/>
        <v>8.3333333333333329E-2</v>
      </c>
      <c r="AO219" s="358" t="e">
        <f>+([1]!Tabla1[[#This Row],[ponderacion_accion]]/10%)*AQ219</f>
        <v>#REF!</v>
      </c>
      <c r="AP219" s="335" t="e">
        <f>Tabla1[[#This Row],[ponderacion_meta]]*AO219</f>
        <v>#REF!</v>
      </c>
      <c r="AQ219" s="361"/>
      <c r="AR219" s="380">
        <v>124199642</v>
      </c>
      <c r="AS219" s="7" t="e">
        <f>+((SUM(AO219:AO223)*100)/100)</f>
        <v>#REF!</v>
      </c>
      <c r="AT219" s="521">
        <v>0</v>
      </c>
    </row>
    <row r="220" spans="1:46" ht="15" customHeight="1" x14ac:dyDescent="0.35">
      <c r="A220" s="236" t="s">
        <v>1150</v>
      </c>
      <c r="B220" s="237" t="s">
        <v>148</v>
      </c>
      <c r="C220" s="237" t="s">
        <v>1719</v>
      </c>
      <c r="D220" s="237" t="s">
        <v>1160</v>
      </c>
      <c r="E220" s="178" t="s">
        <v>499</v>
      </c>
      <c r="F220" s="171" t="s">
        <v>2604</v>
      </c>
      <c r="G220" s="173" t="s">
        <v>500</v>
      </c>
      <c r="H220" s="173" t="s">
        <v>1738</v>
      </c>
      <c r="I220" s="36" t="s">
        <v>515</v>
      </c>
      <c r="J220" s="265">
        <v>6.4939999999999998E-3</v>
      </c>
      <c r="K220" s="37" t="s">
        <v>516</v>
      </c>
      <c r="L220" s="130">
        <v>100000000</v>
      </c>
      <c r="M220" s="130">
        <v>0</v>
      </c>
      <c r="N220" s="438"/>
      <c r="O220" s="438" t="s">
        <v>1753</v>
      </c>
      <c r="P220" s="185">
        <v>0.15</v>
      </c>
      <c r="Q220" s="186">
        <v>0.35</v>
      </c>
      <c r="R220" s="186">
        <v>0.35</v>
      </c>
      <c r="S220" s="186">
        <v>0.15</v>
      </c>
      <c r="T220" s="186" t="s">
        <v>1389</v>
      </c>
      <c r="U220" s="37" t="s">
        <v>518</v>
      </c>
      <c r="V220" s="38">
        <v>0.1</v>
      </c>
      <c r="W220" s="37" t="s">
        <v>202</v>
      </c>
      <c r="X220" s="37"/>
      <c r="Y220" s="36" t="s">
        <v>2587</v>
      </c>
      <c r="Z220" s="37" t="s">
        <v>1926</v>
      </c>
      <c r="AA220" s="239">
        <f t="shared" si="32"/>
        <v>6.4940000000000006E-4</v>
      </c>
      <c r="AB220" s="252">
        <v>0</v>
      </c>
      <c r="AC220" s="262">
        <f>+(Tabla1[[#This Row],[Avance PDI]]*100%)/Tabla1[[#This Row],[ponderacion_meta]]</f>
        <v>0</v>
      </c>
      <c r="AD220" s="257">
        <v>9.7409999999999988E-4</v>
      </c>
      <c r="AE220" s="257">
        <v>2.2728999999999996E-3</v>
      </c>
      <c r="AF220" s="257">
        <v>2.2728999999999996E-3</v>
      </c>
      <c r="AG220" s="257">
        <v>9.7409999999999988E-4</v>
      </c>
      <c r="AH220" s="393">
        <f t="shared" si="30"/>
        <v>1.9088790000000005E-2</v>
      </c>
      <c r="AI220" s="393">
        <f t="shared" si="31"/>
        <v>4.2766666666666675E-2</v>
      </c>
      <c r="AJ220" s="318">
        <f t="shared" si="29"/>
        <v>4.2766666666666675E-2</v>
      </c>
      <c r="AK220" s="387">
        <v>2.9069999999999994E-3</v>
      </c>
      <c r="AL220" s="405">
        <f t="shared" si="34"/>
        <v>3.5714285714285712E-2</v>
      </c>
      <c r="AM220" s="327">
        <v>0</v>
      </c>
      <c r="AN220" s="410">
        <f t="shared" si="35"/>
        <v>8.3333333333333329E-2</v>
      </c>
      <c r="AO220" s="359" t="e">
        <f>+([1]!Tabla1[[#This Row],[ponderacion_accion]]/10%)*AQ220</f>
        <v>#REF!</v>
      </c>
      <c r="AP220" s="335" t="e">
        <f>Tabla1[[#This Row],[ponderacion_meta]]*AO220</f>
        <v>#REF!</v>
      </c>
      <c r="AQ220" s="351"/>
      <c r="AR220" s="380">
        <v>0</v>
      </c>
      <c r="AS220" s="9"/>
      <c r="AT220" s="521">
        <v>0</v>
      </c>
    </row>
    <row r="221" spans="1:46" ht="15" customHeight="1" x14ac:dyDescent="0.35">
      <c r="A221" s="236" t="s">
        <v>1150</v>
      </c>
      <c r="B221" s="237" t="s">
        <v>148</v>
      </c>
      <c r="C221" s="237" t="s">
        <v>1719</v>
      </c>
      <c r="D221" s="237" t="s">
        <v>1160</v>
      </c>
      <c r="E221" s="178" t="s">
        <v>499</v>
      </c>
      <c r="F221" s="171" t="s">
        <v>2604</v>
      </c>
      <c r="G221" s="173" t="s">
        <v>500</v>
      </c>
      <c r="H221" s="173" t="s">
        <v>1738</v>
      </c>
      <c r="I221" s="36" t="s">
        <v>515</v>
      </c>
      <c r="J221" s="265">
        <v>6.4939999999999998E-3</v>
      </c>
      <c r="K221" s="37" t="s">
        <v>516</v>
      </c>
      <c r="L221" s="130">
        <v>100000000</v>
      </c>
      <c r="M221" s="130">
        <v>0</v>
      </c>
      <c r="N221" s="438"/>
      <c r="O221" s="438" t="s">
        <v>1753</v>
      </c>
      <c r="P221" s="185">
        <v>0.15</v>
      </c>
      <c r="Q221" s="186">
        <v>0.35</v>
      </c>
      <c r="R221" s="186">
        <v>0.35</v>
      </c>
      <c r="S221" s="186">
        <v>0.15</v>
      </c>
      <c r="T221" s="186" t="s">
        <v>1390</v>
      </c>
      <c r="U221" s="37" t="s">
        <v>519</v>
      </c>
      <c r="V221" s="38">
        <v>0.2</v>
      </c>
      <c r="W221" s="37" t="s">
        <v>86</v>
      </c>
      <c r="X221" s="37"/>
      <c r="Y221" s="36" t="s">
        <v>2587</v>
      </c>
      <c r="Z221" s="37" t="s">
        <v>1926</v>
      </c>
      <c r="AA221" s="239">
        <f t="shared" si="32"/>
        <v>1.2988000000000001E-3</v>
      </c>
      <c r="AB221" s="252">
        <v>0</v>
      </c>
      <c r="AC221" s="262">
        <f>+(Tabla1[[#This Row],[Avance PDI]]*100%)/Tabla1[[#This Row],[ponderacion_meta]]</f>
        <v>0</v>
      </c>
      <c r="AD221" s="257">
        <v>9.7409999999999988E-4</v>
      </c>
      <c r="AE221" s="257">
        <v>2.2728999999999996E-3</v>
      </c>
      <c r="AF221" s="257">
        <v>2.2728999999999996E-3</v>
      </c>
      <c r="AG221" s="257">
        <v>9.7409999999999988E-4</v>
      </c>
      <c r="AH221" s="393">
        <f t="shared" si="30"/>
        <v>1.9088790000000005E-2</v>
      </c>
      <c r="AI221" s="393">
        <f t="shared" si="31"/>
        <v>4.2766666666666675E-2</v>
      </c>
      <c r="AJ221" s="318">
        <f t="shared" si="29"/>
        <v>4.2766666666666675E-2</v>
      </c>
      <c r="AK221" s="387">
        <v>2.9069999999999994E-3</v>
      </c>
      <c r="AL221" s="405">
        <f t="shared" si="34"/>
        <v>3.5714285714285712E-2</v>
      </c>
      <c r="AM221" s="327">
        <v>0</v>
      </c>
      <c r="AN221" s="410">
        <f t="shared" si="35"/>
        <v>8.3333333333333329E-2</v>
      </c>
      <c r="AO221" s="359" t="e">
        <f>+([1]!Tabla1[[#This Row],[ponderacion_accion]]/20%)*AQ221</f>
        <v>#REF!</v>
      </c>
      <c r="AP221" s="335" t="e">
        <f>Tabla1[[#This Row],[ponderacion_meta]]*AO221</f>
        <v>#REF!</v>
      </c>
      <c r="AQ221" s="351"/>
      <c r="AR221" s="380">
        <v>0</v>
      </c>
      <c r="AS221" s="9"/>
      <c r="AT221" s="521">
        <v>0</v>
      </c>
    </row>
    <row r="222" spans="1:46" ht="15" customHeight="1" x14ac:dyDescent="0.35">
      <c r="A222" s="236" t="s">
        <v>1150</v>
      </c>
      <c r="B222" s="237" t="s">
        <v>148</v>
      </c>
      <c r="C222" s="237" t="s">
        <v>1719</v>
      </c>
      <c r="D222" s="237" t="s">
        <v>1160</v>
      </c>
      <c r="E222" s="178" t="s">
        <v>499</v>
      </c>
      <c r="F222" s="171" t="s">
        <v>2604</v>
      </c>
      <c r="G222" s="173" t="s">
        <v>500</v>
      </c>
      <c r="H222" s="173" t="s">
        <v>1738</v>
      </c>
      <c r="I222" s="36" t="s">
        <v>515</v>
      </c>
      <c r="J222" s="265">
        <v>6.4939999999999998E-3</v>
      </c>
      <c r="K222" s="37" t="s">
        <v>516</v>
      </c>
      <c r="L222" s="130">
        <v>100000000</v>
      </c>
      <c r="M222" s="130">
        <v>0</v>
      </c>
      <c r="N222" s="438"/>
      <c r="O222" s="438" t="s">
        <v>1753</v>
      </c>
      <c r="P222" s="185">
        <v>0.15</v>
      </c>
      <c r="Q222" s="186">
        <v>0.35</v>
      </c>
      <c r="R222" s="186">
        <v>0.35</v>
      </c>
      <c r="S222" s="186">
        <v>0.15</v>
      </c>
      <c r="T222" s="186" t="s">
        <v>1391</v>
      </c>
      <c r="U222" s="37" t="s">
        <v>520</v>
      </c>
      <c r="V222" s="38">
        <v>0.5</v>
      </c>
      <c r="W222" s="37" t="s">
        <v>88</v>
      </c>
      <c r="X222" s="37"/>
      <c r="Y222" s="36" t="s">
        <v>2587</v>
      </c>
      <c r="Z222" s="37" t="s">
        <v>1926</v>
      </c>
      <c r="AA222" s="239">
        <f t="shared" si="32"/>
        <v>3.2469999999999999E-3</v>
      </c>
      <c r="AB222" s="252">
        <v>0</v>
      </c>
      <c r="AC222" s="262">
        <f>+(Tabla1[[#This Row],[Avance PDI]]*100%)/Tabla1[[#This Row],[ponderacion_meta]]</f>
        <v>0</v>
      </c>
      <c r="AD222" s="257">
        <v>9.7409999999999988E-4</v>
      </c>
      <c r="AE222" s="257">
        <v>2.2728999999999996E-3</v>
      </c>
      <c r="AF222" s="257">
        <v>2.2728999999999996E-3</v>
      </c>
      <c r="AG222" s="257">
        <v>9.7409999999999988E-4</v>
      </c>
      <c r="AH222" s="393">
        <f t="shared" si="30"/>
        <v>1.9088790000000005E-2</v>
      </c>
      <c r="AI222" s="393">
        <f t="shared" si="31"/>
        <v>4.2766666666666675E-2</v>
      </c>
      <c r="AJ222" s="318">
        <f t="shared" si="29"/>
        <v>4.2766666666666675E-2</v>
      </c>
      <c r="AK222" s="387">
        <v>2.9069999999999994E-3</v>
      </c>
      <c r="AL222" s="405">
        <f t="shared" si="34"/>
        <v>3.5714285714285712E-2</v>
      </c>
      <c r="AM222" s="327">
        <v>0</v>
      </c>
      <c r="AN222" s="410">
        <f t="shared" si="35"/>
        <v>8.3333333333333329E-2</v>
      </c>
      <c r="AO222" s="359" t="e">
        <f>+([1]!Tabla1[[#This Row],[ponderacion_accion]]/50%)*AQ222</f>
        <v>#REF!</v>
      </c>
      <c r="AP222" s="335" t="e">
        <f>Tabla1[[#This Row],[ponderacion_meta]]*AO222</f>
        <v>#REF!</v>
      </c>
      <c r="AQ222" s="351"/>
      <c r="AR222" s="380">
        <v>0</v>
      </c>
      <c r="AS222" s="9"/>
      <c r="AT222" s="521">
        <v>0</v>
      </c>
    </row>
    <row r="223" spans="1:46" ht="15" customHeight="1" x14ac:dyDescent="0.35">
      <c r="A223" s="236" t="s">
        <v>1150</v>
      </c>
      <c r="B223" s="237" t="s">
        <v>148</v>
      </c>
      <c r="C223" s="237" t="s">
        <v>1719</v>
      </c>
      <c r="D223" s="237" t="s">
        <v>1160</v>
      </c>
      <c r="E223" s="178" t="s">
        <v>499</v>
      </c>
      <c r="F223" s="156" t="s">
        <v>2604</v>
      </c>
      <c r="G223" s="173" t="s">
        <v>500</v>
      </c>
      <c r="H223" s="173" t="s">
        <v>1738</v>
      </c>
      <c r="I223" s="36" t="s">
        <v>515</v>
      </c>
      <c r="J223" s="265">
        <v>6.4939999999999998E-3</v>
      </c>
      <c r="K223" s="37" t="s">
        <v>516</v>
      </c>
      <c r="L223" s="130">
        <v>100000000</v>
      </c>
      <c r="M223" s="130">
        <v>0</v>
      </c>
      <c r="N223" s="438"/>
      <c r="O223" s="438" t="s">
        <v>1753</v>
      </c>
      <c r="P223" s="185">
        <v>0.15</v>
      </c>
      <c r="Q223" s="186">
        <v>0.35</v>
      </c>
      <c r="R223" s="186">
        <v>0.35</v>
      </c>
      <c r="S223" s="186">
        <v>0.15</v>
      </c>
      <c r="T223" s="186" t="s">
        <v>1392</v>
      </c>
      <c r="U223" s="37" t="s">
        <v>514</v>
      </c>
      <c r="V223" s="38">
        <v>0.1</v>
      </c>
      <c r="W223" s="37" t="s">
        <v>90</v>
      </c>
      <c r="X223" s="37"/>
      <c r="Y223" s="36" t="s">
        <v>2587</v>
      </c>
      <c r="Z223" s="37" t="s">
        <v>1926</v>
      </c>
      <c r="AA223" s="239">
        <f t="shared" si="32"/>
        <v>6.4940000000000006E-4</v>
      </c>
      <c r="AB223" s="252">
        <v>0</v>
      </c>
      <c r="AC223" s="262">
        <f>+(Tabla1[[#This Row],[Avance PDI]]*100%)/Tabla1[[#This Row],[ponderacion_meta]]</f>
        <v>0</v>
      </c>
      <c r="AD223" s="257">
        <v>9.7409999999999988E-4</v>
      </c>
      <c r="AE223" s="257">
        <v>2.2728999999999996E-3</v>
      </c>
      <c r="AF223" s="257">
        <v>2.2728999999999996E-3</v>
      </c>
      <c r="AG223" s="257">
        <v>9.7409999999999988E-4</v>
      </c>
      <c r="AH223" s="393">
        <f t="shared" si="30"/>
        <v>1.9088790000000005E-2</v>
      </c>
      <c r="AI223" s="393">
        <f t="shared" si="31"/>
        <v>4.2766666666666675E-2</v>
      </c>
      <c r="AJ223" s="318">
        <f t="shared" si="29"/>
        <v>4.2766666666666675E-2</v>
      </c>
      <c r="AK223" s="387">
        <v>2.9069999999999994E-3</v>
      </c>
      <c r="AL223" s="405">
        <f t="shared" si="34"/>
        <v>3.5714285714285712E-2</v>
      </c>
      <c r="AM223" s="327">
        <v>0</v>
      </c>
      <c r="AN223" s="410">
        <f>$AN$210</f>
        <v>8.3333333333333329E-2</v>
      </c>
      <c r="AO223" s="360" t="e">
        <f>+([1]!Tabla1[[#This Row],[ponderacion_accion]]/10%)*AQ223</f>
        <v>#REF!</v>
      </c>
      <c r="AP223" s="335" t="e">
        <f>Tabla1[[#This Row],[ponderacion_meta]]*AO223</f>
        <v>#REF!</v>
      </c>
      <c r="AQ223" s="356"/>
      <c r="AR223" s="380">
        <v>0</v>
      </c>
      <c r="AS223" s="9"/>
      <c r="AT223" s="521">
        <v>0</v>
      </c>
    </row>
    <row r="224" spans="1:46" ht="15" customHeight="1" x14ac:dyDescent="0.35">
      <c r="A224" s="236" t="s">
        <v>1150</v>
      </c>
      <c r="B224" s="237" t="s">
        <v>148</v>
      </c>
      <c r="C224" s="237" t="s">
        <v>1719</v>
      </c>
      <c r="D224" s="237" t="s">
        <v>1160</v>
      </c>
      <c r="E224" s="178" t="s">
        <v>499</v>
      </c>
      <c r="F224" s="156" t="s">
        <v>2605</v>
      </c>
      <c r="G224" s="161" t="s">
        <v>521</v>
      </c>
      <c r="H224" s="419" t="s">
        <v>1739</v>
      </c>
      <c r="I224" s="32" t="s">
        <v>522</v>
      </c>
      <c r="J224" s="264">
        <v>1.1627999999999999E-2</v>
      </c>
      <c r="K224" s="33" t="s">
        <v>523</v>
      </c>
      <c r="L224" s="129">
        <v>100000000</v>
      </c>
      <c r="M224" s="129">
        <v>0</v>
      </c>
      <c r="N224" s="437"/>
      <c r="O224" s="437" t="s">
        <v>2622</v>
      </c>
      <c r="P224" s="192">
        <v>5</v>
      </c>
      <c r="Q224" s="193">
        <v>5</v>
      </c>
      <c r="R224" s="193">
        <v>5</v>
      </c>
      <c r="S224" s="193">
        <v>5</v>
      </c>
      <c r="T224" s="193" t="s">
        <v>1393</v>
      </c>
      <c r="U224" s="33" t="s">
        <v>524</v>
      </c>
      <c r="V224" s="34">
        <v>0.1</v>
      </c>
      <c r="W224" s="33" t="s">
        <v>200</v>
      </c>
      <c r="X224" s="33"/>
      <c r="Y224" s="32" t="s">
        <v>2587</v>
      </c>
      <c r="Z224" s="33" t="s">
        <v>2539</v>
      </c>
      <c r="AA224" s="238">
        <f t="shared" si="32"/>
        <v>1.1628000000000001E-3</v>
      </c>
      <c r="AB224" s="252">
        <v>0</v>
      </c>
      <c r="AC224" s="278">
        <f>+(Tabla1[[#This Row],[Avance PDI]]*100%)/Tabla1[[#This Row],[ponderacion_meta]]</f>
        <v>0</v>
      </c>
      <c r="AD224" s="279">
        <f>+Tabla1[[#This Row],[ponderacion_meta]]/20*Tabla1[[#This Row],[proyeccion_año1]]</f>
        <v>2.9069999999999999E-3</v>
      </c>
      <c r="AE224" s="279">
        <f>+Tabla1[[#This Row],[ponderacion_meta]]/20*Tabla1[[#This Row],[proyeccion_año2]]</f>
        <v>2.9069999999999999E-3</v>
      </c>
      <c r="AF224" s="279">
        <f>+Tabla1[[#This Row],[ponderacion_meta]]/20*Tabla1[[#This Row],[proyeccion_año3]]</f>
        <v>2.9069999999999999E-3</v>
      </c>
      <c r="AG224" s="279">
        <f>+Tabla1[[#This Row],[ponderacion_meta]]/20*Tabla1[[#This Row],[proyeccion_año4]]</f>
        <v>2.9069999999999999E-3</v>
      </c>
      <c r="AH224" s="393">
        <f t="shared" si="30"/>
        <v>1.9088790000000005E-2</v>
      </c>
      <c r="AI224" s="393">
        <f t="shared" si="31"/>
        <v>4.2766666666666675E-2</v>
      </c>
      <c r="AJ224" s="318">
        <f t="shared" si="29"/>
        <v>4.2766666666666675E-2</v>
      </c>
      <c r="AK224" s="387">
        <v>2.9069999999999994E-3</v>
      </c>
      <c r="AL224" s="405">
        <f t="shared" si="34"/>
        <v>3.5714285714285712E-2</v>
      </c>
      <c r="AM224" s="332">
        <f>+SUM(AB224:AB242)</f>
        <v>0</v>
      </c>
      <c r="AN224" s="411">
        <f>+SUM(AC224:AC242)/4</f>
        <v>0</v>
      </c>
      <c r="AO224" s="343" t="e">
        <f>+([1]!Tabla1[[#This Row],[ponderacion_accion]]/20)*AQ224</f>
        <v>#REF!</v>
      </c>
      <c r="AP224" s="343" t="e">
        <f>Tabla1[[#This Row],[ponderacion_meta]]*AO224</f>
        <v>#REF!</v>
      </c>
      <c r="AQ224" s="353"/>
      <c r="AR224" s="377">
        <v>39146640</v>
      </c>
      <c r="AS224" s="7" t="e">
        <f>+((SUM(AO224:AO228)*100)/50)</f>
        <v>#REF!</v>
      </c>
      <c r="AT224" s="521">
        <v>0</v>
      </c>
    </row>
    <row r="225" spans="1:46" ht="15" customHeight="1" x14ac:dyDescent="0.35">
      <c r="A225" s="236" t="s">
        <v>1150</v>
      </c>
      <c r="B225" s="237" t="s">
        <v>148</v>
      </c>
      <c r="C225" s="237" t="s">
        <v>1719</v>
      </c>
      <c r="D225" s="237" t="s">
        <v>1160</v>
      </c>
      <c r="E225" s="178" t="s">
        <v>499</v>
      </c>
      <c r="F225" s="156" t="s">
        <v>2605</v>
      </c>
      <c r="G225" s="161" t="s">
        <v>521</v>
      </c>
      <c r="H225" s="161" t="s">
        <v>1739</v>
      </c>
      <c r="I225" s="32" t="s">
        <v>522</v>
      </c>
      <c r="J225" s="264">
        <v>1.1627999999999999E-2</v>
      </c>
      <c r="K225" s="33" t="s">
        <v>523</v>
      </c>
      <c r="L225" s="129">
        <v>100000000</v>
      </c>
      <c r="M225" s="129">
        <v>0</v>
      </c>
      <c r="N225" s="437"/>
      <c r="O225" s="437" t="s">
        <v>2622</v>
      </c>
      <c r="P225" s="192">
        <v>5</v>
      </c>
      <c r="Q225" s="193">
        <v>5</v>
      </c>
      <c r="R225" s="193">
        <v>5</v>
      </c>
      <c r="S225" s="193">
        <v>5</v>
      </c>
      <c r="T225" s="193" t="s">
        <v>1394</v>
      </c>
      <c r="U225" s="33" t="s">
        <v>525</v>
      </c>
      <c r="V225" s="34">
        <v>0.2</v>
      </c>
      <c r="W225" s="33" t="s">
        <v>202</v>
      </c>
      <c r="X225" s="33"/>
      <c r="Y225" s="32" t="s">
        <v>2587</v>
      </c>
      <c r="Z225" s="33" t="s">
        <v>2539</v>
      </c>
      <c r="AA225" s="238">
        <f t="shared" si="32"/>
        <v>2.3256000000000001E-3</v>
      </c>
      <c r="AB225" s="252">
        <v>0</v>
      </c>
      <c r="AC225" s="278">
        <f>+(Tabla1[[#This Row],[Avance PDI]]*100%)/Tabla1[[#This Row],[ponderacion_meta]]</f>
        <v>0</v>
      </c>
      <c r="AD225" s="279">
        <v>2.9069999999999999E-3</v>
      </c>
      <c r="AE225" s="279">
        <v>2.9069999999999999E-3</v>
      </c>
      <c r="AF225" s="279">
        <v>2.9069999999999999E-3</v>
      </c>
      <c r="AG225" s="279">
        <v>2.9069999999999999E-3</v>
      </c>
      <c r="AH225" s="393">
        <f t="shared" si="30"/>
        <v>1.9088790000000005E-2</v>
      </c>
      <c r="AI225" s="393">
        <f t="shared" si="31"/>
        <v>4.2766666666666675E-2</v>
      </c>
      <c r="AJ225" s="318">
        <f t="shared" si="29"/>
        <v>4.2766666666666675E-2</v>
      </c>
      <c r="AK225" s="387">
        <v>2.9069999999999994E-3</v>
      </c>
      <c r="AL225" s="405">
        <f t="shared" si="34"/>
        <v>3.5714285714285712E-2</v>
      </c>
      <c r="AM225" s="325">
        <v>0</v>
      </c>
      <c r="AN225" s="411">
        <f t="shared" ref="AN225:AN242" si="36">+SUM(AC225:AC243)/4</f>
        <v>0</v>
      </c>
      <c r="AO225" s="344" t="e">
        <f>+([1]!Tabla1[[#This Row],[ponderacion_accion]]/20)*AQ225</f>
        <v>#REF!</v>
      </c>
      <c r="AP225" s="344" t="e">
        <f>Tabla1[[#This Row],[ponderacion_meta]]*AO225</f>
        <v>#REF!</v>
      </c>
      <c r="AQ225" s="354"/>
      <c r="AR225" s="378">
        <v>0</v>
      </c>
      <c r="AS225" s="9"/>
      <c r="AT225" s="521">
        <v>0</v>
      </c>
    </row>
    <row r="226" spans="1:46" ht="15" customHeight="1" x14ac:dyDescent="0.35">
      <c r="A226" s="236" t="s">
        <v>1150</v>
      </c>
      <c r="B226" s="237" t="s">
        <v>148</v>
      </c>
      <c r="C226" s="237" t="s">
        <v>1719</v>
      </c>
      <c r="D226" s="237" t="s">
        <v>1160</v>
      </c>
      <c r="E226" s="178" t="s">
        <v>499</v>
      </c>
      <c r="F226" s="156" t="s">
        <v>2605</v>
      </c>
      <c r="G226" s="161" t="s">
        <v>521</v>
      </c>
      <c r="H226" s="161" t="s">
        <v>1739</v>
      </c>
      <c r="I226" s="32" t="s">
        <v>522</v>
      </c>
      <c r="J226" s="264">
        <v>1.1627999999999999E-2</v>
      </c>
      <c r="K226" s="33" t="s">
        <v>523</v>
      </c>
      <c r="L226" s="129">
        <v>100000000</v>
      </c>
      <c r="M226" s="129">
        <v>0</v>
      </c>
      <c r="N226" s="437"/>
      <c r="O226" s="437" t="s">
        <v>2622</v>
      </c>
      <c r="P226" s="192">
        <v>5</v>
      </c>
      <c r="Q226" s="193">
        <v>5</v>
      </c>
      <c r="R226" s="193">
        <v>5</v>
      </c>
      <c r="S226" s="193">
        <v>5</v>
      </c>
      <c r="T226" s="193" t="s">
        <v>1395</v>
      </c>
      <c r="U226" s="33" t="s">
        <v>526</v>
      </c>
      <c r="V226" s="34">
        <v>0.1</v>
      </c>
      <c r="W226" s="33" t="s">
        <v>86</v>
      </c>
      <c r="X226" s="33"/>
      <c r="Y226" s="32" t="s">
        <v>2587</v>
      </c>
      <c r="Z226" s="33" t="s">
        <v>2539</v>
      </c>
      <c r="AA226" s="238">
        <f t="shared" si="32"/>
        <v>1.1628000000000001E-3</v>
      </c>
      <c r="AB226" s="252">
        <v>0</v>
      </c>
      <c r="AC226" s="278">
        <f>+(Tabla1[[#This Row],[Avance PDI]]*100%)/Tabla1[[#This Row],[ponderacion_meta]]</f>
        <v>0</v>
      </c>
      <c r="AD226" s="279">
        <v>2.9069999999999999E-3</v>
      </c>
      <c r="AE226" s="279">
        <v>2.9069999999999999E-3</v>
      </c>
      <c r="AF226" s="279">
        <v>2.9069999999999999E-3</v>
      </c>
      <c r="AG226" s="279">
        <v>2.9069999999999999E-3</v>
      </c>
      <c r="AH226" s="393">
        <f t="shared" si="30"/>
        <v>1.9088790000000005E-2</v>
      </c>
      <c r="AI226" s="393">
        <f t="shared" si="31"/>
        <v>4.2766666666666675E-2</v>
      </c>
      <c r="AJ226" s="318">
        <f t="shared" si="29"/>
        <v>4.2766666666666675E-2</v>
      </c>
      <c r="AK226" s="387">
        <v>2.9069999999999994E-3</v>
      </c>
      <c r="AL226" s="405">
        <f t="shared" si="34"/>
        <v>3.5714285714285712E-2</v>
      </c>
      <c r="AM226" s="325">
        <v>0</v>
      </c>
      <c r="AN226" s="411">
        <f t="shared" si="36"/>
        <v>0</v>
      </c>
      <c r="AO226" s="344" t="e">
        <f>+([1]!Tabla1[[#This Row],[ponderacion_accion]]/20)*AQ226</f>
        <v>#REF!</v>
      </c>
      <c r="AP226" s="344" t="e">
        <f>Tabla1[[#This Row],[ponderacion_meta]]*AO226</f>
        <v>#REF!</v>
      </c>
      <c r="AQ226" s="354"/>
      <c r="AR226" s="378">
        <v>0</v>
      </c>
      <c r="AS226" s="9"/>
      <c r="AT226" s="521">
        <v>0</v>
      </c>
    </row>
    <row r="227" spans="1:46" ht="15" customHeight="1" x14ac:dyDescent="0.35">
      <c r="A227" s="236" t="s">
        <v>1150</v>
      </c>
      <c r="B227" s="237" t="s">
        <v>148</v>
      </c>
      <c r="C227" s="237" t="s">
        <v>1719</v>
      </c>
      <c r="D227" s="237" t="s">
        <v>1160</v>
      </c>
      <c r="E227" s="178" t="s">
        <v>499</v>
      </c>
      <c r="F227" s="156" t="s">
        <v>2605</v>
      </c>
      <c r="G227" s="161" t="s">
        <v>521</v>
      </c>
      <c r="H227" s="161" t="s">
        <v>1739</v>
      </c>
      <c r="I227" s="32" t="s">
        <v>522</v>
      </c>
      <c r="J227" s="264">
        <v>1.1627999999999999E-2</v>
      </c>
      <c r="K227" s="33" t="s">
        <v>523</v>
      </c>
      <c r="L227" s="129">
        <v>100000000</v>
      </c>
      <c r="M227" s="129">
        <v>0</v>
      </c>
      <c r="N227" s="437"/>
      <c r="O227" s="437" t="s">
        <v>2622</v>
      </c>
      <c r="P227" s="192">
        <v>5</v>
      </c>
      <c r="Q227" s="193">
        <v>5</v>
      </c>
      <c r="R227" s="193">
        <v>5</v>
      </c>
      <c r="S227" s="193">
        <v>5</v>
      </c>
      <c r="T227" s="193" t="s">
        <v>1396</v>
      </c>
      <c r="U227" s="33" t="s">
        <v>527</v>
      </c>
      <c r="V227" s="34">
        <v>0.5</v>
      </c>
      <c r="W227" s="33" t="s">
        <v>88</v>
      </c>
      <c r="X227" s="33"/>
      <c r="Y227" s="32" t="s">
        <v>2587</v>
      </c>
      <c r="Z227" s="33" t="s">
        <v>2539</v>
      </c>
      <c r="AA227" s="238">
        <f t="shared" si="32"/>
        <v>5.8139999999999997E-3</v>
      </c>
      <c r="AB227" s="252">
        <v>0</v>
      </c>
      <c r="AC227" s="278">
        <f>+(Tabla1[[#This Row],[Avance PDI]]*100%)/Tabla1[[#This Row],[ponderacion_meta]]</f>
        <v>0</v>
      </c>
      <c r="AD227" s="279">
        <v>2.9069999999999999E-3</v>
      </c>
      <c r="AE227" s="279">
        <v>2.9069999999999999E-3</v>
      </c>
      <c r="AF227" s="279">
        <v>2.9069999999999999E-3</v>
      </c>
      <c r="AG227" s="279">
        <v>2.9069999999999999E-3</v>
      </c>
      <c r="AH227" s="393">
        <f t="shared" si="30"/>
        <v>1.9088790000000005E-2</v>
      </c>
      <c r="AI227" s="393">
        <f t="shared" si="31"/>
        <v>4.2766666666666675E-2</v>
      </c>
      <c r="AJ227" s="318">
        <f t="shared" si="29"/>
        <v>4.2766666666666675E-2</v>
      </c>
      <c r="AK227" s="387">
        <v>2.9069999999999994E-3</v>
      </c>
      <c r="AL227" s="405">
        <f t="shared" si="34"/>
        <v>3.5714285714285712E-2</v>
      </c>
      <c r="AM227" s="325">
        <v>0</v>
      </c>
      <c r="AN227" s="411">
        <f t="shared" si="36"/>
        <v>0</v>
      </c>
      <c r="AO227" s="344" t="e">
        <f>+([1]!Tabla1[[#This Row],[ponderacion_accion]]/20)*AQ227</f>
        <v>#REF!</v>
      </c>
      <c r="AP227" s="344" t="e">
        <f>Tabla1[[#This Row],[ponderacion_meta]]*AO227</f>
        <v>#REF!</v>
      </c>
      <c r="AQ227" s="354"/>
      <c r="AR227" s="378">
        <v>0</v>
      </c>
      <c r="AS227" s="9"/>
      <c r="AT227" s="521">
        <v>0</v>
      </c>
    </row>
    <row r="228" spans="1:46" ht="15" customHeight="1" x14ac:dyDescent="0.35">
      <c r="A228" s="236" t="s">
        <v>1150</v>
      </c>
      <c r="B228" s="237" t="s">
        <v>148</v>
      </c>
      <c r="C228" s="237" t="s">
        <v>1719</v>
      </c>
      <c r="D228" s="237" t="s">
        <v>1160</v>
      </c>
      <c r="E228" s="178" t="s">
        <v>499</v>
      </c>
      <c r="F228" s="156" t="s">
        <v>2605</v>
      </c>
      <c r="G228" s="161" t="s">
        <v>521</v>
      </c>
      <c r="H228" s="161" t="s">
        <v>1739</v>
      </c>
      <c r="I228" s="32" t="s">
        <v>522</v>
      </c>
      <c r="J228" s="264">
        <v>1.1627999999999999E-2</v>
      </c>
      <c r="K228" s="33" t="s">
        <v>523</v>
      </c>
      <c r="L228" s="129">
        <v>100000000</v>
      </c>
      <c r="M228" s="129">
        <v>0</v>
      </c>
      <c r="N228" s="437"/>
      <c r="O228" s="437" t="s">
        <v>2622</v>
      </c>
      <c r="P228" s="192">
        <v>5</v>
      </c>
      <c r="Q228" s="193">
        <v>5</v>
      </c>
      <c r="R228" s="193">
        <v>5</v>
      </c>
      <c r="S228" s="193">
        <v>5</v>
      </c>
      <c r="T228" s="193" t="s">
        <v>1397</v>
      </c>
      <c r="U228" s="33" t="s">
        <v>528</v>
      </c>
      <c r="V228" s="34">
        <v>0.1</v>
      </c>
      <c r="W228" s="33" t="s">
        <v>90</v>
      </c>
      <c r="X228" s="33"/>
      <c r="Y228" s="32" t="s">
        <v>2587</v>
      </c>
      <c r="Z228" s="33" t="s">
        <v>2539</v>
      </c>
      <c r="AA228" s="238">
        <f t="shared" si="32"/>
        <v>1.1628000000000001E-3</v>
      </c>
      <c r="AB228" s="252">
        <v>0</v>
      </c>
      <c r="AC228" s="278">
        <f>+(Tabla1[[#This Row],[Avance PDI]]*100%)/Tabla1[[#This Row],[ponderacion_meta]]</f>
        <v>0</v>
      </c>
      <c r="AD228" s="279">
        <v>2.9069999999999999E-3</v>
      </c>
      <c r="AE228" s="279">
        <v>2.9069999999999999E-3</v>
      </c>
      <c r="AF228" s="279">
        <v>2.9069999999999999E-3</v>
      </c>
      <c r="AG228" s="279">
        <v>2.9069999999999999E-3</v>
      </c>
      <c r="AH228" s="393">
        <f t="shared" si="30"/>
        <v>1.9088790000000005E-2</v>
      </c>
      <c r="AI228" s="393">
        <f t="shared" si="31"/>
        <v>4.2766666666666675E-2</v>
      </c>
      <c r="AJ228" s="318">
        <f t="shared" si="29"/>
        <v>4.2766666666666675E-2</v>
      </c>
      <c r="AK228" s="387">
        <v>2.9069999999999994E-3</v>
      </c>
      <c r="AL228" s="405">
        <f t="shared" si="34"/>
        <v>3.5714285714285712E-2</v>
      </c>
      <c r="AM228" s="325">
        <v>0</v>
      </c>
      <c r="AN228" s="411">
        <f t="shared" si="36"/>
        <v>0</v>
      </c>
      <c r="AO228" s="345" t="e">
        <f>+([1]!Tabla1[[#This Row],[ponderacion_accion]]/20)*AQ228</f>
        <v>#REF!</v>
      </c>
      <c r="AP228" s="345" t="e">
        <f>Tabla1[[#This Row],[ponderacion_meta]]*AO228</f>
        <v>#REF!</v>
      </c>
      <c r="AQ228" s="357"/>
      <c r="AR228" s="379">
        <v>0</v>
      </c>
      <c r="AS228" s="9"/>
      <c r="AT228" s="521">
        <v>0</v>
      </c>
    </row>
    <row r="229" spans="1:46" ht="15" customHeight="1" x14ac:dyDescent="0.35">
      <c r="A229" s="236" t="s">
        <v>1150</v>
      </c>
      <c r="B229" s="237" t="s">
        <v>148</v>
      </c>
      <c r="C229" s="237" t="s">
        <v>1719</v>
      </c>
      <c r="D229" s="237" t="s">
        <v>1160</v>
      </c>
      <c r="E229" s="178" t="s">
        <v>499</v>
      </c>
      <c r="F229" s="156" t="s">
        <v>2605</v>
      </c>
      <c r="G229" s="161" t="s">
        <v>521</v>
      </c>
      <c r="H229" s="161" t="s">
        <v>1739</v>
      </c>
      <c r="I229" s="36" t="s">
        <v>529</v>
      </c>
      <c r="J229" s="265">
        <v>6.4939999999999998E-3</v>
      </c>
      <c r="K229" s="99" t="s">
        <v>530</v>
      </c>
      <c r="L229" s="130">
        <v>150000000</v>
      </c>
      <c r="M229" s="130">
        <v>0</v>
      </c>
      <c r="N229" s="438"/>
      <c r="O229" s="438" t="s">
        <v>2622</v>
      </c>
      <c r="P229" s="194">
        <v>0</v>
      </c>
      <c r="Q229" s="195">
        <v>3</v>
      </c>
      <c r="R229" s="195">
        <v>4</v>
      </c>
      <c r="S229" s="195">
        <v>3</v>
      </c>
      <c r="T229" s="195" t="s">
        <v>1398</v>
      </c>
      <c r="U229" s="37" t="s">
        <v>531</v>
      </c>
      <c r="V229" s="38">
        <v>0.1</v>
      </c>
      <c r="W229" s="37" t="s">
        <v>200</v>
      </c>
      <c r="X229" s="37"/>
      <c r="Y229" s="36" t="s">
        <v>2587</v>
      </c>
      <c r="Z229" s="37" t="s">
        <v>2539</v>
      </c>
      <c r="AA229" s="239">
        <f t="shared" si="32"/>
        <v>6.4940000000000006E-4</v>
      </c>
      <c r="AB229" s="252">
        <v>0</v>
      </c>
      <c r="AC229" s="262">
        <f>+(Tabla1[[#This Row],[Avance PDI]]*100%)/Tabla1[[#This Row],[ponderacion_meta]]</f>
        <v>0</v>
      </c>
      <c r="AD229" s="257">
        <f>+Tabla1[[#This Row],[ponderacion_meta]]*Tabla1[[#This Row],[proyeccion_año1]]</f>
        <v>0</v>
      </c>
      <c r="AE229" s="257">
        <f>+Tabla1[[#This Row],[ponderacion_meta]]/10*Tabla1[[#This Row],[proyeccion_año2]]</f>
        <v>1.9481999999999998E-3</v>
      </c>
      <c r="AF229" s="257">
        <f>+Tabla1[[#This Row],[ponderacion_meta]]/10*Tabla1[[#This Row],[proyeccion_año3]]</f>
        <v>2.5975999999999998E-3</v>
      </c>
      <c r="AG229" s="257">
        <f>+Tabla1[[#This Row],[ponderacion_meta]]/10*Tabla1[[#This Row],[proyeccion_año4]]</f>
        <v>1.9481999999999998E-3</v>
      </c>
      <c r="AH229" s="393">
        <f t="shared" si="30"/>
        <v>1.9088790000000005E-2</v>
      </c>
      <c r="AI229" s="393">
        <f t="shared" si="31"/>
        <v>4.2766666666666675E-2</v>
      </c>
      <c r="AJ229" s="318">
        <f t="shared" si="29"/>
        <v>4.2766666666666675E-2</v>
      </c>
      <c r="AK229" s="387">
        <v>2.9069999999999994E-3</v>
      </c>
      <c r="AL229" s="405">
        <f t="shared" si="34"/>
        <v>3.5714285714285712E-2</v>
      </c>
      <c r="AM229" s="325">
        <v>0</v>
      </c>
      <c r="AN229" s="411">
        <f t="shared" si="36"/>
        <v>0</v>
      </c>
      <c r="AO229" s="358" t="e">
        <f>+([1]!Tabla1[[#This Row],[ponderacion_accion]]/10)*AQ229</f>
        <v>#REF!</v>
      </c>
      <c r="AP229" s="335" t="e">
        <f>Tabla1[[#This Row],[ponderacion_meta]]*AO229</f>
        <v>#REF!</v>
      </c>
      <c r="AQ229" s="361"/>
      <c r="AR229" s="380">
        <v>0</v>
      </c>
      <c r="AS229" s="7" t="e">
        <f>+((SUM(AO229:AO233)*100)/30)</f>
        <v>#REF!</v>
      </c>
      <c r="AT229" s="521">
        <v>0</v>
      </c>
    </row>
    <row r="230" spans="1:46" ht="15" customHeight="1" x14ac:dyDescent="0.35">
      <c r="A230" s="236" t="s">
        <v>1150</v>
      </c>
      <c r="B230" s="237" t="s">
        <v>148</v>
      </c>
      <c r="C230" s="237" t="s">
        <v>1719</v>
      </c>
      <c r="D230" s="237" t="s">
        <v>1160</v>
      </c>
      <c r="E230" s="178" t="s">
        <v>499</v>
      </c>
      <c r="F230" s="156" t="s">
        <v>2605</v>
      </c>
      <c r="G230" s="161" t="s">
        <v>521</v>
      </c>
      <c r="H230" s="161" t="s">
        <v>1739</v>
      </c>
      <c r="I230" s="36" t="s">
        <v>529</v>
      </c>
      <c r="J230" s="265">
        <v>6.4939999999999998E-3</v>
      </c>
      <c r="K230" s="99" t="s">
        <v>530</v>
      </c>
      <c r="L230" s="130">
        <v>150000000</v>
      </c>
      <c r="M230" s="130">
        <v>0</v>
      </c>
      <c r="N230" s="438"/>
      <c r="O230" s="438" t="s">
        <v>2622</v>
      </c>
      <c r="P230" s="194">
        <v>0</v>
      </c>
      <c r="Q230" s="195">
        <v>3</v>
      </c>
      <c r="R230" s="195">
        <v>4</v>
      </c>
      <c r="S230" s="195">
        <v>3</v>
      </c>
      <c r="T230" s="195" t="s">
        <v>1399</v>
      </c>
      <c r="U230" s="37" t="s">
        <v>532</v>
      </c>
      <c r="V230" s="38">
        <v>0.2</v>
      </c>
      <c r="W230" s="37" t="s">
        <v>202</v>
      </c>
      <c r="X230" s="37"/>
      <c r="Y230" s="36" t="s">
        <v>2587</v>
      </c>
      <c r="Z230" s="37" t="s">
        <v>2539</v>
      </c>
      <c r="AA230" s="239">
        <f t="shared" si="32"/>
        <v>1.2988000000000001E-3</v>
      </c>
      <c r="AB230" s="252">
        <v>0</v>
      </c>
      <c r="AC230" s="262">
        <f>+(Tabla1[[#This Row],[Avance PDI]]*100%)/Tabla1[[#This Row],[ponderacion_meta]]</f>
        <v>0</v>
      </c>
      <c r="AD230" s="257">
        <v>0</v>
      </c>
      <c r="AE230" s="257">
        <v>1.9481999999999998E-3</v>
      </c>
      <c r="AF230" s="257">
        <v>2.5975999999999998E-3</v>
      </c>
      <c r="AG230" s="257">
        <v>1.9481999999999998E-3</v>
      </c>
      <c r="AH230" s="393">
        <f t="shared" si="30"/>
        <v>1.9088790000000005E-2</v>
      </c>
      <c r="AI230" s="393">
        <f t="shared" si="31"/>
        <v>4.2766666666666675E-2</v>
      </c>
      <c r="AJ230" s="318">
        <f t="shared" si="29"/>
        <v>4.2766666666666675E-2</v>
      </c>
      <c r="AK230" s="387">
        <v>2.9069999999999994E-3</v>
      </c>
      <c r="AL230" s="405">
        <f t="shared" si="34"/>
        <v>3.5714285714285712E-2</v>
      </c>
      <c r="AM230" s="325">
        <v>0</v>
      </c>
      <c r="AN230" s="411">
        <f t="shared" si="36"/>
        <v>0</v>
      </c>
      <c r="AO230" s="359" t="e">
        <f>+([1]!Tabla1[[#This Row],[ponderacion_accion]]/10)*AQ230</f>
        <v>#REF!</v>
      </c>
      <c r="AP230" s="335" t="e">
        <f>Tabla1[[#This Row],[ponderacion_meta]]*AO230</f>
        <v>#REF!</v>
      </c>
      <c r="AQ230" s="351"/>
      <c r="AR230" s="380">
        <v>0</v>
      </c>
      <c r="AS230" s="9"/>
      <c r="AT230" s="521">
        <v>0</v>
      </c>
    </row>
    <row r="231" spans="1:46" ht="15" customHeight="1" x14ac:dyDescent="0.35">
      <c r="A231" s="236" t="s">
        <v>1150</v>
      </c>
      <c r="B231" s="237" t="s">
        <v>148</v>
      </c>
      <c r="C231" s="237" t="s">
        <v>1719</v>
      </c>
      <c r="D231" s="237" t="s">
        <v>1160</v>
      </c>
      <c r="E231" s="178" t="s">
        <v>499</v>
      </c>
      <c r="F231" s="156" t="s">
        <v>2605</v>
      </c>
      <c r="G231" s="161" t="s">
        <v>521</v>
      </c>
      <c r="H231" s="161" t="s">
        <v>1739</v>
      </c>
      <c r="I231" s="36" t="s">
        <v>529</v>
      </c>
      <c r="J231" s="265">
        <v>6.4939999999999998E-3</v>
      </c>
      <c r="K231" s="99" t="s">
        <v>530</v>
      </c>
      <c r="L231" s="130">
        <v>150000000</v>
      </c>
      <c r="M231" s="130">
        <v>0</v>
      </c>
      <c r="N231" s="438"/>
      <c r="O231" s="438" t="s">
        <v>2622</v>
      </c>
      <c r="P231" s="194">
        <v>0</v>
      </c>
      <c r="Q231" s="195">
        <v>3</v>
      </c>
      <c r="R231" s="195">
        <v>4</v>
      </c>
      <c r="S231" s="195">
        <v>3</v>
      </c>
      <c r="T231" s="195" t="s">
        <v>1400</v>
      </c>
      <c r="U231" s="37" t="s">
        <v>533</v>
      </c>
      <c r="V231" s="38">
        <v>0.1</v>
      </c>
      <c r="W231" s="37" t="s">
        <v>86</v>
      </c>
      <c r="X231" s="37"/>
      <c r="Y231" s="36" t="s">
        <v>2587</v>
      </c>
      <c r="Z231" s="37" t="s">
        <v>2539</v>
      </c>
      <c r="AA231" s="239">
        <f t="shared" si="32"/>
        <v>6.4940000000000006E-4</v>
      </c>
      <c r="AB231" s="252">
        <v>0</v>
      </c>
      <c r="AC231" s="262">
        <f>+(Tabla1[[#This Row],[Avance PDI]]*100%)/Tabla1[[#This Row],[ponderacion_meta]]</f>
        <v>0</v>
      </c>
      <c r="AD231" s="257">
        <v>0</v>
      </c>
      <c r="AE231" s="257">
        <v>1.9481999999999998E-3</v>
      </c>
      <c r="AF231" s="257">
        <v>2.5975999999999998E-3</v>
      </c>
      <c r="AG231" s="257">
        <v>1.9481999999999998E-3</v>
      </c>
      <c r="AH231" s="393">
        <f t="shared" si="30"/>
        <v>1.9088790000000005E-2</v>
      </c>
      <c r="AI231" s="393">
        <f t="shared" si="31"/>
        <v>4.2766666666666675E-2</v>
      </c>
      <c r="AJ231" s="318">
        <f t="shared" si="29"/>
        <v>4.2766666666666675E-2</v>
      </c>
      <c r="AK231" s="387">
        <v>2.9069999999999994E-3</v>
      </c>
      <c r="AL231" s="405">
        <f t="shared" si="34"/>
        <v>3.5714285714285712E-2</v>
      </c>
      <c r="AM231" s="325">
        <v>0</v>
      </c>
      <c r="AN231" s="411">
        <f t="shared" si="36"/>
        <v>0</v>
      </c>
      <c r="AO231" s="359" t="e">
        <f>+([1]!Tabla1[[#This Row],[ponderacion_accion]]/10)*AQ231</f>
        <v>#REF!</v>
      </c>
      <c r="AP231" s="335" t="e">
        <f>Tabla1[[#This Row],[ponderacion_meta]]*AO231</f>
        <v>#REF!</v>
      </c>
      <c r="AQ231" s="351"/>
      <c r="AR231" s="380">
        <v>0</v>
      </c>
      <c r="AS231" s="9"/>
      <c r="AT231" s="521">
        <v>0</v>
      </c>
    </row>
    <row r="232" spans="1:46" ht="15" customHeight="1" x14ac:dyDescent="0.35">
      <c r="A232" s="236" t="s">
        <v>1150</v>
      </c>
      <c r="B232" s="237" t="s">
        <v>148</v>
      </c>
      <c r="C232" s="237" t="s">
        <v>1719</v>
      </c>
      <c r="D232" s="237" t="s">
        <v>1160</v>
      </c>
      <c r="E232" s="178" t="s">
        <v>499</v>
      </c>
      <c r="F232" s="156" t="s">
        <v>2605</v>
      </c>
      <c r="G232" s="161" t="s">
        <v>521</v>
      </c>
      <c r="H232" s="161" t="s">
        <v>1739</v>
      </c>
      <c r="I232" s="36" t="s">
        <v>529</v>
      </c>
      <c r="J232" s="265">
        <v>6.4939999999999998E-3</v>
      </c>
      <c r="K232" s="99" t="s">
        <v>530</v>
      </c>
      <c r="L232" s="130">
        <v>150000000</v>
      </c>
      <c r="M232" s="130">
        <v>0</v>
      </c>
      <c r="N232" s="438"/>
      <c r="O232" s="438" t="s">
        <v>2622</v>
      </c>
      <c r="P232" s="194">
        <v>0</v>
      </c>
      <c r="Q232" s="195">
        <v>3</v>
      </c>
      <c r="R232" s="195">
        <v>4</v>
      </c>
      <c r="S232" s="195">
        <v>3</v>
      </c>
      <c r="T232" s="195" t="s">
        <v>1401</v>
      </c>
      <c r="U232" s="37" t="s">
        <v>534</v>
      </c>
      <c r="V232" s="38">
        <v>0.5</v>
      </c>
      <c r="W232" s="37" t="s">
        <v>88</v>
      </c>
      <c r="X232" s="37"/>
      <c r="Y232" s="36" t="s">
        <v>2587</v>
      </c>
      <c r="Z232" s="37" t="s">
        <v>2539</v>
      </c>
      <c r="AA232" s="239">
        <f t="shared" si="32"/>
        <v>3.2469999999999999E-3</v>
      </c>
      <c r="AB232" s="252">
        <v>0</v>
      </c>
      <c r="AC232" s="262">
        <f>+(Tabla1[[#This Row],[Avance PDI]]*100%)/Tabla1[[#This Row],[ponderacion_meta]]</f>
        <v>0</v>
      </c>
      <c r="AD232" s="257">
        <v>0</v>
      </c>
      <c r="AE232" s="257">
        <v>1.9481999999999998E-3</v>
      </c>
      <c r="AF232" s="257">
        <v>2.5975999999999998E-3</v>
      </c>
      <c r="AG232" s="257">
        <v>1.9481999999999998E-3</v>
      </c>
      <c r="AH232" s="393">
        <f t="shared" si="30"/>
        <v>1.9088790000000005E-2</v>
      </c>
      <c r="AI232" s="393">
        <f t="shared" si="31"/>
        <v>4.2766666666666675E-2</v>
      </c>
      <c r="AJ232" s="318">
        <f t="shared" si="29"/>
        <v>4.2766666666666675E-2</v>
      </c>
      <c r="AK232" s="387">
        <v>2.9069999999999994E-3</v>
      </c>
      <c r="AL232" s="405">
        <f t="shared" si="34"/>
        <v>3.5714285714285712E-2</v>
      </c>
      <c r="AM232" s="325">
        <v>0</v>
      </c>
      <c r="AN232" s="411">
        <f t="shared" si="36"/>
        <v>0</v>
      </c>
      <c r="AO232" s="359" t="e">
        <f>+([1]!Tabla1[[#This Row],[ponderacion_accion]]/10)*AQ232</f>
        <v>#REF!</v>
      </c>
      <c r="AP232" s="335" t="e">
        <f>Tabla1[[#This Row],[ponderacion_meta]]*AO232</f>
        <v>#REF!</v>
      </c>
      <c r="AQ232" s="351"/>
      <c r="AR232" s="380">
        <v>0</v>
      </c>
      <c r="AS232" s="9"/>
      <c r="AT232" s="521">
        <v>0</v>
      </c>
    </row>
    <row r="233" spans="1:46" ht="15" customHeight="1" x14ac:dyDescent="0.35">
      <c r="A233" s="236" t="s">
        <v>1150</v>
      </c>
      <c r="B233" s="237" t="s">
        <v>148</v>
      </c>
      <c r="C233" s="237" t="s">
        <v>1719</v>
      </c>
      <c r="D233" s="237" t="s">
        <v>1160</v>
      </c>
      <c r="E233" s="178" t="s">
        <v>499</v>
      </c>
      <c r="F233" s="156" t="s">
        <v>2605</v>
      </c>
      <c r="G233" s="161" t="s">
        <v>521</v>
      </c>
      <c r="H233" s="161" t="s">
        <v>1739</v>
      </c>
      <c r="I233" s="36" t="s">
        <v>529</v>
      </c>
      <c r="J233" s="265">
        <v>6.4939999999999998E-3</v>
      </c>
      <c r="K233" s="99" t="s">
        <v>530</v>
      </c>
      <c r="L233" s="130">
        <v>150000000</v>
      </c>
      <c r="M233" s="130">
        <v>0</v>
      </c>
      <c r="N233" s="438"/>
      <c r="O233" s="438" t="s">
        <v>2622</v>
      </c>
      <c r="P233" s="194">
        <v>0</v>
      </c>
      <c r="Q233" s="195">
        <v>3</v>
      </c>
      <c r="R233" s="195">
        <v>4</v>
      </c>
      <c r="S233" s="195">
        <v>3</v>
      </c>
      <c r="T233" s="195" t="s">
        <v>1402</v>
      </c>
      <c r="U233" s="37" t="s">
        <v>535</v>
      </c>
      <c r="V233" s="38">
        <v>0.1</v>
      </c>
      <c r="W233" s="37" t="s">
        <v>90</v>
      </c>
      <c r="X233" s="37"/>
      <c r="Y233" s="36" t="s">
        <v>2587</v>
      </c>
      <c r="Z233" s="37" t="s">
        <v>2539</v>
      </c>
      <c r="AA233" s="239">
        <f t="shared" si="32"/>
        <v>6.4940000000000006E-4</v>
      </c>
      <c r="AB233" s="252">
        <v>0</v>
      </c>
      <c r="AC233" s="262">
        <f>+(Tabla1[[#This Row],[Avance PDI]]*100%)/Tabla1[[#This Row],[ponderacion_meta]]</f>
        <v>0</v>
      </c>
      <c r="AD233" s="257">
        <v>0</v>
      </c>
      <c r="AE233" s="257">
        <v>1.9481999999999998E-3</v>
      </c>
      <c r="AF233" s="257">
        <v>2.5975999999999998E-3</v>
      </c>
      <c r="AG233" s="257">
        <v>1.9481999999999998E-3</v>
      </c>
      <c r="AH233" s="393">
        <f t="shared" si="30"/>
        <v>1.9088790000000005E-2</v>
      </c>
      <c r="AI233" s="393">
        <f t="shared" si="31"/>
        <v>4.2766666666666675E-2</v>
      </c>
      <c r="AJ233" s="318">
        <f t="shared" si="29"/>
        <v>4.2766666666666675E-2</v>
      </c>
      <c r="AK233" s="387">
        <v>2.9069999999999994E-3</v>
      </c>
      <c r="AL233" s="405">
        <f t="shared" si="34"/>
        <v>3.5714285714285712E-2</v>
      </c>
      <c r="AM233" s="325">
        <v>0</v>
      </c>
      <c r="AN233" s="411">
        <f t="shared" si="36"/>
        <v>0</v>
      </c>
      <c r="AO233" s="360" t="e">
        <f>+([1]!Tabla1[[#This Row],[ponderacion_accion]]/10)*AQ233</f>
        <v>#REF!</v>
      </c>
      <c r="AP233" s="335" t="e">
        <f>Tabla1[[#This Row],[ponderacion_meta]]*AO233</f>
        <v>#REF!</v>
      </c>
      <c r="AQ233" s="356"/>
      <c r="AR233" s="380">
        <v>0</v>
      </c>
      <c r="AS233" s="9"/>
      <c r="AT233" s="521">
        <v>0</v>
      </c>
    </row>
    <row r="234" spans="1:46" ht="15" customHeight="1" x14ac:dyDescent="0.35">
      <c r="A234" s="236" t="s">
        <v>1150</v>
      </c>
      <c r="B234" s="237" t="s">
        <v>148</v>
      </c>
      <c r="C234" s="237" t="s">
        <v>1719</v>
      </c>
      <c r="D234" s="237" t="s">
        <v>1160</v>
      </c>
      <c r="E234" s="178" t="s">
        <v>499</v>
      </c>
      <c r="F234" s="156" t="s">
        <v>2605</v>
      </c>
      <c r="G234" s="161" t="s">
        <v>521</v>
      </c>
      <c r="H234" s="161" t="s">
        <v>1739</v>
      </c>
      <c r="I234" s="32" t="s">
        <v>536</v>
      </c>
      <c r="J234" s="264">
        <v>1.1627999999999999E-2</v>
      </c>
      <c r="K234" s="100" t="s">
        <v>537</v>
      </c>
      <c r="L234" s="129">
        <v>200000000</v>
      </c>
      <c r="M234" s="129">
        <v>0</v>
      </c>
      <c r="N234" s="437"/>
      <c r="O234" s="437" t="s">
        <v>1753</v>
      </c>
      <c r="P234" s="192">
        <v>0</v>
      </c>
      <c r="Q234" s="184">
        <v>0.5</v>
      </c>
      <c r="R234" s="184">
        <v>0.5</v>
      </c>
      <c r="S234" s="184">
        <v>0</v>
      </c>
      <c r="T234" s="184" t="s">
        <v>1403</v>
      </c>
      <c r="U234" s="33" t="s">
        <v>538</v>
      </c>
      <c r="V234" s="34">
        <v>0.1</v>
      </c>
      <c r="W234" s="33" t="s">
        <v>200</v>
      </c>
      <c r="X234" s="33"/>
      <c r="Y234" s="32" t="s">
        <v>2587</v>
      </c>
      <c r="Z234" s="33" t="s">
        <v>1926</v>
      </c>
      <c r="AA234" s="238">
        <f t="shared" si="32"/>
        <v>1.1628000000000001E-3</v>
      </c>
      <c r="AB234" s="252">
        <v>0</v>
      </c>
      <c r="AC234" s="278">
        <f>+(Tabla1[[#This Row],[Avance PDI]]*100%)/Tabla1[[#This Row],[ponderacion_meta]]</f>
        <v>0</v>
      </c>
      <c r="AD234" s="279">
        <f>+Tabla1[[#This Row],[ponderacion_meta]]*Tabla1[[#This Row],[proyeccion_año1]]</f>
        <v>0</v>
      </c>
      <c r="AE234" s="279">
        <f>+Tabla1[[#This Row],[ponderacion_meta]]*Tabla1[[#This Row],[proyeccion_año2]]</f>
        <v>5.8139999999999997E-3</v>
      </c>
      <c r="AF234" s="279">
        <f>+Tabla1[[#This Row],[ponderacion_meta]]*Tabla1[[#This Row],[proyeccion_año3]]</f>
        <v>5.8139999999999997E-3</v>
      </c>
      <c r="AG234" s="279">
        <f>+Tabla1[[#This Row],[ponderacion_meta]]*Tabla1[[#This Row],[proyeccion_año4]]</f>
        <v>0</v>
      </c>
      <c r="AH234" s="393">
        <f t="shared" si="30"/>
        <v>1.9088790000000005E-2</v>
      </c>
      <c r="AI234" s="393">
        <f t="shared" si="31"/>
        <v>4.2766666666666675E-2</v>
      </c>
      <c r="AJ234" s="318">
        <f t="shared" si="29"/>
        <v>4.2766666666666675E-2</v>
      </c>
      <c r="AK234" s="387">
        <v>2.9069999999999994E-3</v>
      </c>
      <c r="AL234" s="405">
        <f t="shared" si="34"/>
        <v>3.5714285714285712E-2</v>
      </c>
      <c r="AM234" s="325">
        <v>0</v>
      </c>
      <c r="AN234" s="411">
        <f t="shared" si="36"/>
        <v>0</v>
      </c>
      <c r="AO234" s="343" t="e">
        <f>+([1]!Tabla1[[#This Row],[ponderacion_accion]]/10%)*AQ234</f>
        <v>#REF!</v>
      </c>
      <c r="AP234" s="343" t="e">
        <f>Tabla1[[#This Row],[ponderacion_meta]]*AO234</f>
        <v>#REF!</v>
      </c>
      <c r="AQ234" s="353"/>
      <c r="AR234" s="377">
        <v>0</v>
      </c>
      <c r="AS234" s="7" t="e">
        <f>+((SUM(AO234:AO237)*100)/40)</f>
        <v>#REF!</v>
      </c>
      <c r="AT234" s="521">
        <v>0</v>
      </c>
    </row>
    <row r="235" spans="1:46" ht="15" customHeight="1" x14ac:dyDescent="0.35">
      <c r="A235" s="236" t="s">
        <v>1150</v>
      </c>
      <c r="B235" s="237" t="s">
        <v>148</v>
      </c>
      <c r="C235" s="237" t="s">
        <v>1719</v>
      </c>
      <c r="D235" s="237" t="s">
        <v>1160</v>
      </c>
      <c r="E235" s="178" t="s">
        <v>499</v>
      </c>
      <c r="F235" s="156" t="s">
        <v>2605</v>
      </c>
      <c r="G235" s="161" t="s">
        <v>521</v>
      </c>
      <c r="H235" s="161" t="s">
        <v>1739</v>
      </c>
      <c r="I235" s="32" t="s">
        <v>536</v>
      </c>
      <c r="J235" s="264">
        <v>1.1627999999999999E-2</v>
      </c>
      <c r="K235" s="100" t="s">
        <v>537</v>
      </c>
      <c r="L235" s="129">
        <v>200000000</v>
      </c>
      <c r="M235" s="129">
        <v>0</v>
      </c>
      <c r="N235" s="437"/>
      <c r="O235" s="437" t="s">
        <v>1753</v>
      </c>
      <c r="P235" s="192">
        <v>0</v>
      </c>
      <c r="Q235" s="184">
        <v>0.5</v>
      </c>
      <c r="R235" s="184">
        <v>0.5</v>
      </c>
      <c r="S235" s="184">
        <v>0</v>
      </c>
      <c r="T235" s="184" t="s">
        <v>1404</v>
      </c>
      <c r="U235" s="33" t="s">
        <v>539</v>
      </c>
      <c r="V235" s="34">
        <v>0.3</v>
      </c>
      <c r="W235" s="33" t="s">
        <v>202</v>
      </c>
      <c r="X235" s="33"/>
      <c r="Y235" s="32" t="s">
        <v>2587</v>
      </c>
      <c r="Z235" s="33" t="s">
        <v>1926</v>
      </c>
      <c r="AA235" s="238">
        <f t="shared" si="32"/>
        <v>3.4883999999999996E-3</v>
      </c>
      <c r="AB235" s="252">
        <v>0</v>
      </c>
      <c r="AC235" s="278">
        <f>+(Tabla1[[#This Row],[Avance PDI]]*100%)/Tabla1[[#This Row],[ponderacion_meta]]</f>
        <v>0</v>
      </c>
      <c r="AD235" s="279">
        <v>0</v>
      </c>
      <c r="AE235" s="279">
        <v>5.8139999999999997E-3</v>
      </c>
      <c r="AF235" s="279">
        <v>5.8139999999999997E-3</v>
      </c>
      <c r="AG235" s="279">
        <v>0</v>
      </c>
      <c r="AH235" s="393">
        <f t="shared" si="30"/>
        <v>1.9088790000000005E-2</v>
      </c>
      <c r="AI235" s="393">
        <f t="shared" si="31"/>
        <v>4.2766666666666675E-2</v>
      </c>
      <c r="AJ235" s="318">
        <f t="shared" si="29"/>
        <v>4.2766666666666675E-2</v>
      </c>
      <c r="AK235" s="387">
        <v>2.9069999999999994E-3</v>
      </c>
      <c r="AL235" s="405">
        <f t="shared" si="34"/>
        <v>3.5714285714285712E-2</v>
      </c>
      <c r="AM235" s="325">
        <v>0</v>
      </c>
      <c r="AN235" s="411">
        <f t="shared" si="36"/>
        <v>0</v>
      </c>
      <c r="AO235" s="344" t="e">
        <f>+([1]!Tabla1[[#This Row],[ponderacion_accion]]/30%)*AQ235</f>
        <v>#REF!</v>
      </c>
      <c r="AP235" s="344" t="e">
        <f>Tabla1[[#This Row],[ponderacion_meta]]*AO235</f>
        <v>#REF!</v>
      </c>
      <c r="AQ235" s="354"/>
      <c r="AR235" s="378">
        <v>0</v>
      </c>
      <c r="AS235" s="9"/>
      <c r="AT235" s="521">
        <v>0</v>
      </c>
    </row>
    <row r="236" spans="1:46" ht="15" customHeight="1" x14ac:dyDescent="0.35">
      <c r="A236" s="236" t="s">
        <v>1150</v>
      </c>
      <c r="B236" s="237" t="s">
        <v>148</v>
      </c>
      <c r="C236" s="237" t="s">
        <v>1719</v>
      </c>
      <c r="D236" s="237" t="s">
        <v>1160</v>
      </c>
      <c r="E236" s="178" t="s">
        <v>499</v>
      </c>
      <c r="F236" s="156" t="s">
        <v>2605</v>
      </c>
      <c r="G236" s="161" t="s">
        <v>521</v>
      </c>
      <c r="H236" s="161" t="s">
        <v>1739</v>
      </c>
      <c r="I236" s="32" t="s">
        <v>536</v>
      </c>
      <c r="J236" s="264">
        <v>1.1627999999999999E-2</v>
      </c>
      <c r="K236" s="100" t="s">
        <v>537</v>
      </c>
      <c r="L236" s="129">
        <v>200000000</v>
      </c>
      <c r="M236" s="129">
        <v>0</v>
      </c>
      <c r="N236" s="437"/>
      <c r="O236" s="437" t="s">
        <v>1753</v>
      </c>
      <c r="P236" s="192">
        <v>0</v>
      </c>
      <c r="Q236" s="184">
        <v>0.5</v>
      </c>
      <c r="R236" s="184">
        <v>0.5</v>
      </c>
      <c r="S236" s="184">
        <v>0</v>
      </c>
      <c r="T236" s="184" t="s">
        <v>1405</v>
      </c>
      <c r="U236" s="33" t="s">
        <v>540</v>
      </c>
      <c r="V236" s="34">
        <v>0.5</v>
      </c>
      <c r="W236" s="33" t="s">
        <v>86</v>
      </c>
      <c r="X236" s="33"/>
      <c r="Y236" s="32" t="s">
        <v>2588</v>
      </c>
      <c r="Z236" s="33" t="s">
        <v>1926</v>
      </c>
      <c r="AA236" s="238">
        <f t="shared" si="32"/>
        <v>5.8139999999999997E-3</v>
      </c>
      <c r="AB236" s="252">
        <v>0</v>
      </c>
      <c r="AC236" s="278">
        <f>+(Tabla1[[#This Row],[Avance PDI]]*100%)/Tabla1[[#This Row],[ponderacion_meta]]</f>
        <v>0</v>
      </c>
      <c r="AD236" s="279">
        <v>0</v>
      </c>
      <c r="AE236" s="279">
        <v>5.8139999999999997E-3</v>
      </c>
      <c r="AF236" s="279">
        <v>5.8139999999999997E-3</v>
      </c>
      <c r="AG236" s="279">
        <v>0</v>
      </c>
      <c r="AH236" s="393">
        <f t="shared" si="30"/>
        <v>1.9088790000000005E-2</v>
      </c>
      <c r="AI236" s="393">
        <f t="shared" si="31"/>
        <v>4.2766666666666675E-2</v>
      </c>
      <c r="AJ236" s="318">
        <f t="shared" si="29"/>
        <v>4.2766666666666675E-2</v>
      </c>
      <c r="AK236" s="387">
        <v>2.9069999999999994E-3</v>
      </c>
      <c r="AL236" s="405">
        <f t="shared" si="34"/>
        <v>3.5714285714285712E-2</v>
      </c>
      <c r="AM236" s="325">
        <v>0</v>
      </c>
      <c r="AN236" s="411">
        <f t="shared" si="36"/>
        <v>0</v>
      </c>
      <c r="AO236" s="344" t="e">
        <f>+([1]!Tabla1[[#This Row],[ponderacion_accion]]/50%)*AQ236</f>
        <v>#REF!</v>
      </c>
      <c r="AP236" s="344" t="e">
        <f>Tabla1[[#This Row],[ponderacion_meta]]*AO236</f>
        <v>#REF!</v>
      </c>
      <c r="AQ236" s="354"/>
      <c r="AR236" s="378">
        <v>0</v>
      </c>
      <c r="AS236" s="9"/>
      <c r="AT236" s="521">
        <v>0</v>
      </c>
    </row>
    <row r="237" spans="1:46" ht="15" customHeight="1" x14ac:dyDescent="0.35">
      <c r="A237" s="236" t="s">
        <v>1150</v>
      </c>
      <c r="B237" s="237" t="s">
        <v>148</v>
      </c>
      <c r="C237" s="237" t="s">
        <v>1719</v>
      </c>
      <c r="D237" s="237" t="s">
        <v>1160</v>
      </c>
      <c r="E237" s="178" t="s">
        <v>499</v>
      </c>
      <c r="F237" s="156" t="s">
        <v>2605</v>
      </c>
      <c r="G237" s="161" t="s">
        <v>521</v>
      </c>
      <c r="H237" s="161" t="s">
        <v>1739</v>
      </c>
      <c r="I237" s="32" t="s">
        <v>536</v>
      </c>
      <c r="J237" s="264">
        <v>1.1627999999999999E-2</v>
      </c>
      <c r="K237" s="100" t="s">
        <v>537</v>
      </c>
      <c r="L237" s="129">
        <v>200000000</v>
      </c>
      <c r="M237" s="129">
        <v>0</v>
      </c>
      <c r="N237" s="437"/>
      <c r="O237" s="437" t="s">
        <v>1753</v>
      </c>
      <c r="P237" s="192">
        <v>0</v>
      </c>
      <c r="Q237" s="184">
        <v>0.5</v>
      </c>
      <c r="R237" s="184">
        <v>0.5</v>
      </c>
      <c r="S237" s="184">
        <v>0</v>
      </c>
      <c r="T237" s="184" t="s">
        <v>1406</v>
      </c>
      <c r="U237" s="33" t="s">
        <v>541</v>
      </c>
      <c r="V237" s="34">
        <v>0.1</v>
      </c>
      <c r="W237" s="33" t="s">
        <v>88</v>
      </c>
      <c r="X237" s="33"/>
      <c r="Y237" s="32" t="s">
        <v>2588</v>
      </c>
      <c r="Z237" s="33" t="s">
        <v>1926</v>
      </c>
      <c r="AA237" s="238">
        <f t="shared" si="32"/>
        <v>1.1628000000000001E-3</v>
      </c>
      <c r="AB237" s="252">
        <v>0</v>
      </c>
      <c r="AC237" s="278">
        <f>+(Tabla1[[#This Row],[Avance PDI]]*100%)/Tabla1[[#This Row],[ponderacion_meta]]</f>
        <v>0</v>
      </c>
      <c r="AD237" s="279">
        <v>0</v>
      </c>
      <c r="AE237" s="279">
        <v>5.8139999999999997E-3</v>
      </c>
      <c r="AF237" s="279">
        <v>5.8139999999999997E-3</v>
      </c>
      <c r="AG237" s="279">
        <v>0</v>
      </c>
      <c r="AH237" s="393">
        <f t="shared" si="30"/>
        <v>1.9088790000000005E-2</v>
      </c>
      <c r="AI237" s="393">
        <f t="shared" si="31"/>
        <v>4.2766666666666675E-2</v>
      </c>
      <c r="AJ237" s="318">
        <f t="shared" si="29"/>
        <v>4.2766666666666675E-2</v>
      </c>
      <c r="AK237" s="387">
        <v>2.9069999999999994E-3</v>
      </c>
      <c r="AL237" s="405">
        <f t="shared" si="34"/>
        <v>3.5714285714285712E-2</v>
      </c>
      <c r="AM237" s="325">
        <v>0</v>
      </c>
      <c r="AN237" s="411">
        <f t="shared" si="36"/>
        <v>0</v>
      </c>
      <c r="AO237" s="345" t="e">
        <f>+([1]!Tabla1[[#This Row],[ponderacion_accion]]/10%)*AQ237</f>
        <v>#REF!</v>
      </c>
      <c r="AP237" s="345" t="e">
        <f>Tabla1[[#This Row],[ponderacion_meta]]*AO237</f>
        <v>#REF!</v>
      </c>
      <c r="AQ237" s="357"/>
      <c r="AR237" s="379">
        <v>0</v>
      </c>
      <c r="AS237" s="9"/>
      <c r="AT237" s="521">
        <v>0</v>
      </c>
    </row>
    <row r="238" spans="1:46" ht="15" customHeight="1" x14ac:dyDescent="0.35">
      <c r="A238" s="236" t="s">
        <v>1150</v>
      </c>
      <c r="B238" s="237" t="s">
        <v>148</v>
      </c>
      <c r="C238" s="237" t="s">
        <v>1719</v>
      </c>
      <c r="D238" s="237" t="s">
        <v>1160</v>
      </c>
      <c r="E238" s="178" t="s">
        <v>499</v>
      </c>
      <c r="F238" s="156" t="s">
        <v>2605</v>
      </c>
      <c r="G238" s="161" t="s">
        <v>521</v>
      </c>
      <c r="H238" s="161" t="s">
        <v>1739</v>
      </c>
      <c r="I238" s="36" t="s">
        <v>542</v>
      </c>
      <c r="J238" s="265">
        <v>6.4939999999999998E-3</v>
      </c>
      <c r="K238" s="99" t="s">
        <v>1137</v>
      </c>
      <c r="L238" s="130">
        <v>150000000</v>
      </c>
      <c r="M238" s="130">
        <v>0</v>
      </c>
      <c r="N238" s="438"/>
      <c r="O238" s="438" t="s">
        <v>2622</v>
      </c>
      <c r="P238" s="194">
        <v>0</v>
      </c>
      <c r="Q238" s="195">
        <v>0</v>
      </c>
      <c r="R238" s="195">
        <v>4</v>
      </c>
      <c r="S238" s="195">
        <v>1</v>
      </c>
      <c r="T238" s="195" t="s">
        <v>1407</v>
      </c>
      <c r="U238" s="37" t="s">
        <v>543</v>
      </c>
      <c r="V238" s="38">
        <v>0.1</v>
      </c>
      <c r="W238" s="37" t="s">
        <v>200</v>
      </c>
      <c r="X238" s="37"/>
      <c r="Y238" s="36" t="s">
        <v>2588</v>
      </c>
      <c r="Z238" s="37" t="s">
        <v>2539</v>
      </c>
      <c r="AA238" s="239">
        <f t="shared" si="32"/>
        <v>6.4940000000000006E-4</v>
      </c>
      <c r="AB238" s="252">
        <v>0</v>
      </c>
      <c r="AC238" s="262">
        <f>+(Tabla1[[#This Row],[Avance PDI]]*100%)/Tabla1[[#This Row],[ponderacion_meta]]</f>
        <v>0</v>
      </c>
      <c r="AD238" s="257">
        <f>+Tabla1[[#This Row],[ponderacion_meta]]*Tabla1[[#This Row],[proyeccion_año1]]</f>
        <v>0</v>
      </c>
      <c r="AE238" s="257">
        <f>+Tabla1[[#This Row],[ponderacion_meta]]*Tabla1[[#This Row],[proyeccion_año2]]</f>
        <v>0</v>
      </c>
      <c r="AF238" s="257">
        <f>+Tabla1[[#This Row],[ponderacion_meta]]/5*Tabla1[[#This Row],[proyeccion_año3]]</f>
        <v>5.1951999999999996E-3</v>
      </c>
      <c r="AG238" s="257">
        <f>+Tabla1[[#This Row],[ponderacion_meta]]/5*Tabla1[[#This Row],[proyeccion_año4]]</f>
        <v>1.2987999999999999E-3</v>
      </c>
      <c r="AH238" s="393">
        <f t="shared" si="30"/>
        <v>1.9088790000000005E-2</v>
      </c>
      <c r="AI238" s="393">
        <f t="shared" si="31"/>
        <v>4.2766666666666675E-2</v>
      </c>
      <c r="AJ238" s="318">
        <f t="shared" si="29"/>
        <v>4.2766666666666675E-2</v>
      </c>
      <c r="AK238" s="387">
        <v>2.9069999999999994E-3</v>
      </c>
      <c r="AL238" s="405">
        <f t="shared" si="34"/>
        <v>3.5714285714285712E-2</v>
      </c>
      <c r="AM238" s="325">
        <v>0</v>
      </c>
      <c r="AN238" s="411">
        <f t="shared" si="36"/>
        <v>0</v>
      </c>
      <c r="AO238" s="358" t="e">
        <f>+([1]!Tabla1[[#This Row],[ponderacion_accion]]/5)*AQ238</f>
        <v>#REF!</v>
      </c>
      <c r="AP238" s="335" t="e">
        <f>Tabla1[[#This Row],[ponderacion_meta]]*AO238</f>
        <v>#REF!</v>
      </c>
      <c r="AQ238" s="361"/>
      <c r="AR238" s="380">
        <v>0</v>
      </c>
      <c r="AS238" s="7" t="e">
        <f>+((SUM(AO238:AO242)*100)/0)</f>
        <v>#REF!</v>
      </c>
      <c r="AT238" s="521">
        <v>0</v>
      </c>
    </row>
    <row r="239" spans="1:46" ht="15" customHeight="1" x14ac:dyDescent="0.35">
      <c r="A239" s="236" t="s">
        <v>1150</v>
      </c>
      <c r="B239" s="237" t="s">
        <v>148</v>
      </c>
      <c r="C239" s="237" t="s">
        <v>1719</v>
      </c>
      <c r="D239" s="237" t="s">
        <v>1160</v>
      </c>
      <c r="E239" s="178" t="s">
        <v>499</v>
      </c>
      <c r="F239" s="156" t="s">
        <v>2605</v>
      </c>
      <c r="G239" s="161" t="s">
        <v>521</v>
      </c>
      <c r="H239" s="161" t="s">
        <v>1739</v>
      </c>
      <c r="I239" s="36" t="s">
        <v>542</v>
      </c>
      <c r="J239" s="265">
        <v>6.4939999999999998E-3</v>
      </c>
      <c r="K239" s="99" t="s">
        <v>1137</v>
      </c>
      <c r="L239" s="130">
        <v>150000000</v>
      </c>
      <c r="M239" s="130">
        <v>0</v>
      </c>
      <c r="N239" s="438"/>
      <c r="O239" s="438" t="s">
        <v>2622</v>
      </c>
      <c r="P239" s="194">
        <v>0</v>
      </c>
      <c r="Q239" s="195">
        <v>0</v>
      </c>
      <c r="R239" s="195">
        <v>4</v>
      </c>
      <c r="S239" s="195">
        <v>1</v>
      </c>
      <c r="T239" s="195" t="s">
        <v>1408</v>
      </c>
      <c r="U239" s="37" t="s">
        <v>544</v>
      </c>
      <c r="V239" s="38">
        <v>0.1</v>
      </c>
      <c r="W239" s="37" t="s">
        <v>202</v>
      </c>
      <c r="X239" s="37"/>
      <c r="Y239" s="36" t="s">
        <v>2588</v>
      </c>
      <c r="Z239" s="37" t="s">
        <v>2539</v>
      </c>
      <c r="AA239" s="239">
        <f t="shared" si="32"/>
        <v>6.4940000000000006E-4</v>
      </c>
      <c r="AB239" s="252">
        <v>0</v>
      </c>
      <c r="AC239" s="262">
        <f>+(Tabla1[[#This Row],[Avance PDI]]*100%)/Tabla1[[#This Row],[ponderacion_meta]]</f>
        <v>0</v>
      </c>
      <c r="AD239" s="257">
        <v>0</v>
      </c>
      <c r="AE239" s="257">
        <v>0</v>
      </c>
      <c r="AF239" s="257">
        <v>5.1951999999999996E-3</v>
      </c>
      <c r="AG239" s="257">
        <v>1.2987999999999999E-3</v>
      </c>
      <c r="AH239" s="393">
        <f t="shared" si="30"/>
        <v>1.9088790000000005E-2</v>
      </c>
      <c r="AI239" s="393">
        <f t="shared" si="31"/>
        <v>4.2766666666666675E-2</v>
      </c>
      <c r="AJ239" s="318">
        <f t="shared" si="29"/>
        <v>4.2766666666666675E-2</v>
      </c>
      <c r="AK239" s="387">
        <v>2.9069999999999994E-3</v>
      </c>
      <c r="AL239" s="405">
        <f t="shared" si="34"/>
        <v>3.5714285714285712E-2</v>
      </c>
      <c r="AM239" s="325">
        <v>0</v>
      </c>
      <c r="AN239" s="411">
        <f t="shared" si="36"/>
        <v>0</v>
      </c>
      <c r="AO239" s="359" t="e">
        <f>+([1]!Tabla1[[#This Row],[ponderacion_accion]]/5)*AQ239</f>
        <v>#REF!</v>
      </c>
      <c r="AP239" s="335" t="e">
        <f>Tabla1[[#This Row],[ponderacion_meta]]*AO239</f>
        <v>#REF!</v>
      </c>
      <c r="AQ239" s="351"/>
      <c r="AR239" s="380">
        <v>0</v>
      </c>
      <c r="AS239" s="9"/>
      <c r="AT239" s="521">
        <v>0</v>
      </c>
    </row>
    <row r="240" spans="1:46" ht="15" customHeight="1" x14ac:dyDescent="0.35">
      <c r="A240" s="236" t="s">
        <v>1150</v>
      </c>
      <c r="B240" s="237" t="s">
        <v>148</v>
      </c>
      <c r="C240" s="237" t="s">
        <v>1719</v>
      </c>
      <c r="D240" s="237" t="s">
        <v>1160</v>
      </c>
      <c r="E240" s="178" t="s">
        <v>499</v>
      </c>
      <c r="F240" s="156" t="s">
        <v>2605</v>
      </c>
      <c r="G240" s="161" t="s">
        <v>521</v>
      </c>
      <c r="H240" s="161" t="s">
        <v>1739</v>
      </c>
      <c r="I240" s="36" t="s">
        <v>542</v>
      </c>
      <c r="J240" s="265">
        <v>6.4939999999999998E-3</v>
      </c>
      <c r="K240" s="99" t="s">
        <v>1137</v>
      </c>
      <c r="L240" s="130">
        <v>150000000</v>
      </c>
      <c r="M240" s="130">
        <v>0</v>
      </c>
      <c r="N240" s="438"/>
      <c r="O240" s="438" t="s">
        <v>2622</v>
      </c>
      <c r="P240" s="194">
        <v>0</v>
      </c>
      <c r="Q240" s="195">
        <v>0</v>
      </c>
      <c r="R240" s="195">
        <v>4</v>
      </c>
      <c r="S240" s="195">
        <v>1</v>
      </c>
      <c r="T240" s="195" t="s">
        <v>1409</v>
      </c>
      <c r="U240" s="37" t="s">
        <v>545</v>
      </c>
      <c r="V240" s="38">
        <v>0.2</v>
      </c>
      <c r="W240" s="37" t="s">
        <v>86</v>
      </c>
      <c r="X240" s="37"/>
      <c r="Y240" s="36" t="s">
        <v>2588</v>
      </c>
      <c r="Z240" s="37" t="s">
        <v>2539</v>
      </c>
      <c r="AA240" s="239">
        <f t="shared" si="32"/>
        <v>1.2988000000000001E-3</v>
      </c>
      <c r="AB240" s="252">
        <v>0</v>
      </c>
      <c r="AC240" s="262">
        <f>+(Tabla1[[#This Row],[Avance PDI]]*100%)/Tabla1[[#This Row],[ponderacion_meta]]</f>
        <v>0</v>
      </c>
      <c r="AD240" s="257">
        <v>0</v>
      </c>
      <c r="AE240" s="257">
        <v>0</v>
      </c>
      <c r="AF240" s="257">
        <v>5.1951999999999996E-3</v>
      </c>
      <c r="AG240" s="257">
        <v>1.2987999999999999E-3</v>
      </c>
      <c r="AH240" s="393">
        <f t="shared" si="30"/>
        <v>1.9088790000000005E-2</v>
      </c>
      <c r="AI240" s="393">
        <f t="shared" si="31"/>
        <v>4.2766666666666675E-2</v>
      </c>
      <c r="AJ240" s="318">
        <f t="shared" si="29"/>
        <v>4.2766666666666675E-2</v>
      </c>
      <c r="AK240" s="387">
        <v>2.9069999999999994E-3</v>
      </c>
      <c r="AL240" s="405">
        <f t="shared" si="34"/>
        <v>3.5714285714285712E-2</v>
      </c>
      <c r="AM240" s="325">
        <v>0</v>
      </c>
      <c r="AN240" s="411">
        <f t="shared" si="36"/>
        <v>0</v>
      </c>
      <c r="AO240" s="359" t="e">
        <f>+([1]!Tabla1[[#This Row],[ponderacion_accion]]/5)*AQ240</f>
        <v>#REF!</v>
      </c>
      <c r="AP240" s="335" t="e">
        <f>Tabla1[[#This Row],[ponderacion_meta]]*AO240</f>
        <v>#REF!</v>
      </c>
      <c r="AQ240" s="351"/>
      <c r="AR240" s="380">
        <v>0</v>
      </c>
      <c r="AS240" s="9"/>
      <c r="AT240" s="521">
        <v>0</v>
      </c>
    </row>
    <row r="241" spans="1:46" ht="15" customHeight="1" x14ac:dyDescent="0.35">
      <c r="A241" s="236" t="s">
        <v>1150</v>
      </c>
      <c r="B241" s="237" t="s">
        <v>148</v>
      </c>
      <c r="C241" s="237" t="s">
        <v>1719</v>
      </c>
      <c r="D241" s="237" t="s">
        <v>1160</v>
      </c>
      <c r="E241" s="178" t="s">
        <v>499</v>
      </c>
      <c r="F241" s="156" t="s">
        <v>2605</v>
      </c>
      <c r="G241" s="161" t="s">
        <v>521</v>
      </c>
      <c r="H241" s="161" t="s">
        <v>1739</v>
      </c>
      <c r="I241" s="36" t="s">
        <v>542</v>
      </c>
      <c r="J241" s="265">
        <v>6.4939999999999998E-3</v>
      </c>
      <c r="K241" s="99" t="s">
        <v>1137</v>
      </c>
      <c r="L241" s="130">
        <v>150000000</v>
      </c>
      <c r="M241" s="130">
        <v>0</v>
      </c>
      <c r="N241" s="438"/>
      <c r="O241" s="438" t="s">
        <v>2622</v>
      </c>
      <c r="P241" s="194">
        <v>0</v>
      </c>
      <c r="Q241" s="195">
        <v>0</v>
      </c>
      <c r="R241" s="195">
        <v>4</v>
      </c>
      <c r="S241" s="195">
        <v>1</v>
      </c>
      <c r="T241" s="195" t="s">
        <v>1410</v>
      </c>
      <c r="U241" s="37" t="s">
        <v>546</v>
      </c>
      <c r="V241" s="38">
        <v>0.1</v>
      </c>
      <c r="W241" s="37" t="s">
        <v>88</v>
      </c>
      <c r="X241" s="37"/>
      <c r="Y241" s="36" t="s">
        <v>2588</v>
      </c>
      <c r="Z241" s="37" t="s">
        <v>2539</v>
      </c>
      <c r="AA241" s="239">
        <f t="shared" si="32"/>
        <v>6.4940000000000006E-4</v>
      </c>
      <c r="AB241" s="252">
        <v>0</v>
      </c>
      <c r="AC241" s="262">
        <f>+(Tabla1[[#This Row],[Avance PDI]]*100%)/Tabla1[[#This Row],[ponderacion_meta]]</f>
        <v>0</v>
      </c>
      <c r="AD241" s="257">
        <v>0</v>
      </c>
      <c r="AE241" s="257">
        <v>0</v>
      </c>
      <c r="AF241" s="257">
        <v>5.1951999999999996E-3</v>
      </c>
      <c r="AG241" s="257">
        <v>1.2987999999999999E-3</v>
      </c>
      <c r="AH241" s="393">
        <f t="shared" si="30"/>
        <v>1.9088790000000005E-2</v>
      </c>
      <c r="AI241" s="393">
        <f t="shared" si="31"/>
        <v>4.2766666666666675E-2</v>
      </c>
      <c r="AJ241" s="318">
        <f t="shared" si="29"/>
        <v>4.2766666666666675E-2</v>
      </c>
      <c r="AK241" s="387">
        <v>2.9069999999999994E-3</v>
      </c>
      <c r="AL241" s="405">
        <f t="shared" si="34"/>
        <v>3.5714285714285712E-2</v>
      </c>
      <c r="AM241" s="325">
        <v>0</v>
      </c>
      <c r="AN241" s="411">
        <f t="shared" si="36"/>
        <v>0</v>
      </c>
      <c r="AO241" s="359" t="e">
        <f>+([1]!Tabla1[[#This Row],[ponderacion_accion]]/5)*AQ241</f>
        <v>#REF!</v>
      </c>
      <c r="AP241" s="335" t="e">
        <f>Tabla1[[#This Row],[ponderacion_meta]]*AO241</f>
        <v>#REF!</v>
      </c>
      <c r="AQ241" s="351"/>
      <c r="AR241" s="380">
        <v>0</v>
      </c>
      <c r="AS241" s="9"/>
      <c r="AT241" s="521">
        <v>0</v>
      </c>
    </row>
    <row r="242" spans="1:46" ht="15" customHeight="1" x14ac:dyDescent="0.35">
      <c r="A242" s="236" t="s">
        <v>1150</v>
      </c>
      <c r="B242" s="237" t="s">
        <v>148</v>
      </c>
      <c r="C242" s="237" t="s">
        <v>1719</v>
      </c>
      <c r="D242" s="237" t="s">
        <v>1160</v>
      </c>
      <c r="E242" s="178" t="s">
        <v>499</v>
      </c>
      <c r="F242" s="156" t="s">
        <v>2605</v>
      </c>
      <c r="G242" s="161" t="s">
        <v>521</v>
      </c>
      <c r="H242" s="161" t="s">
        <v>1739</v>
      </c>
      <c r="I242" s="36" t="s">
        <v>542</v>
      </c>
      <c r="J242" s="265">
        <v>6.4939999999999998E-3</v>
      </c>
      <c r="K242" s="99" t="s">
        <v>1137</v>
      </c>
      <c r="L242" s="130">
        <v>150000000</v>
      </c>
      <c r="M242" s="130">
        <v>0</v>
      </c>
      <c r="N242" s="438"/>
      <c r="O242" s="438" t="s">
        <v>2622</v>
      </c>
      <c r="P242" s="194">
        <v>0</v>
      </c>
      <c r="Q242" s="195">
        <v>0</v>
      </c>
      <c r="R242" s="195">
        <v>4</v>
      </c>
      <c r="S242" s="195">
        <v>1</v>
      </c>
      <c r="T242" s="195" t="s">
        <v>1411</v>
      </c>
      <c r="U242" s="37" t="s">
        <v>547</v>
      </c>
      <c r="V242" s="38">
        <v>0.5</v>
      </c>
      <c r="W242" s="37" t="s">
        <v>90</v>
      </c>
      <c r="X242" s="37"/>
      <c r="Y242" s="36" t="s">
        <v>2588</v>
      </c>
      <c r="Z242" s="37" t="s">
        <v>2539</v>
      </c>
      <c r="AA242" s="239">
        <f t="shared" si="32"/>
        <v>3.2469999999999999E-3</v>
      </c>
      <c r="AB242" s="252">
        <v>0</v>
      </c>
      <c r="AC242" s="262">
        <f>+(Tabla1[[#This Row],[Avance PDI]]*100%)/Tabla1[[#This Row],[ponderacion_meta]]</f>
        <v>0</v>
      </c>
      <c r="AD242" s="257">
        <v>0</v>
      </c>
      <c r="AE242" s="257">
        <v>0</v>
      </c>
      <c r="AF242" s="257">
        <v>5.1951999999999996E-3</v>
      </c>
      <c r="AG242" s="257">
        <v>1.2987999999999999E-3</v>
      </c>
      <c r="AH242" s="393">
        <f t="shared" si="30"/>
        <v>1.9088790000000005E-2</v>
      </c>
      <c r="AI242" s="393">
        <f t="shared" si="31"/>
        <v>4.2766666666666675E-2</v>
      </c>
      <c r="AJ242" s="318">
        <f t="shared" si="29"/>
        <v>4.2766666666666675E-2</v>
      </c>
      <c r="AK242" s="387">
        <v>2.9069999999999994E-3</v>
      </c>
      <c r="AL242" s="405">
        <f t="shared" si="34"/>
        <v>3.5714285714285712E-2</v>
      </c>
      <c r="AM242" s="325">
        <v>0</v>
      </c>
      <c r="AN242" s="411">
        <f t="shared" si="36"/>
        <v>0</v>
      </c>
      <c r="AO242" s="360" t="e">
        <f>+([1]!Tabla1[[#This Row],[ponderacion_accion]]/5)*AQ242</f>
        <v>#REF!</v>
      </c>
      <c r="AP242" s="335" t="e">
        <f>Tabla1[[#This Row],[ponderacion_meta]]*AO242</f>
        <v>#REF!</v>
      </c>
      <c r="AQ242" s="356"/>
      <c r="AR242" s="380">
        <v>0</v>
      </c>
      <c r="AS242" s="9"/>
      <c r="AT242" s="521">
        <v>0</v>
      </c>
    </row>
    <row r="243" spans="1:46" ht="15" customHeight="1" x14ac:dyDescent="0.35">
      <c r="A243" s="236" t="s">
        <v>1150</v>
      </c>
      <c r="B243" s="237" t="s">
        <v>148</v>
      </c>
      <c r="C243" s="237" t="s">
        <v>1719</v>
      </c>
      <c r="D243" s="237" t="s">
        <v>1161</v>
      </c>
      <c r="E243" s="173" t="s">
        <v>548</v>
      </c>
      <c r="F243" s="176" t="s">
        <v>2606</v>
      </c>
      <c r="G243" s="162" t="s">
        <v>549</v>
      </c>
      <c r="H243" s="420" t="s">
        <v>1740</v>
      </c>
      <c r="I243" s="32" t="s">
        <v>550</v>
      </c>
      <c r="J243" s="264">
        <v>1.1627999999999999E-2</v>
      </c>
      <c r="K243" s="33" t="s">
        <v>551</v>
      </c>
      <c r="L243" s="129">
        <v>100000000</v>
      </c>
      <c r="M243" s="129">
        <v>0</v>
      </c>
      <c r="N243" s="437"/>
      <c r="O243" s="437" t="s">
        <v>2622</v>
      </c>
      <c r="P243" s="192">
        <v>0</v>
      </c>
      <c r="Q243" s="193">
        <v>0</v>
      </c>
      <c r="R243" s="193">
        <v>1</v>
      </c>
      <c r="S243" s="193">
        <v>0</v>
      </c>
      <c r="T243" s="193" t="s">
        <v>1412</v>
      </c>
      <c r="U243" s="33" t="s">
        <v>451</v>
      </c>
      <c r="V243" s="34">
        <v>0.2</v>
      </c>
      <c r="W243" s="33" t="s">
        <v>200</v>
      </c>
      <c r="X243" s="33"/>
      <c r="Y243" s="32" t="s">
        <v>2587</v>
      </c>
      <c r="Z243" s="33" t="s">
        <v>2539</v>
      </c>
      <c r="AA243" s="238">
        <f t="shared" si="32"/>
        <v>2.3256000000000001E-3</v>
      </c>
      <c r="AB243" s="252">
        <v>0</v>
      </c>
      <c r="AC243" s="278">
        <f>+(Tabla1[[#This Row],[Avance PDI]]*100%)/Tabla1[[#This Row],[ponderacion_meta]]</f>
        <v>0</v>
      </c>
      <c r="AD243" s="279">
        <f>+Tabla1[[#This Row],[ponderacion_meta]]*Tabla1[[#This Row],[proyeccion_año1]]</f>
        <v>0</v>
      </c>
      <c r="AE243" s="279">
        <f>+Tabla1[[#This Row],[ponderacion_meta]]*Tabla1[[#This Row],[proyeccion_año2]]</f>
        <v>0</v>
      </c>
      <c r="AF243" s="279">
        <f>+Tabla1[[#This Row],[ponderacion_meta]]*Tabla1[[#This Row],[proyeccion_año3]]</f>
        <v>1.1627999999999999E-2</v>
      </c>
      <c r="AG243" s="279">
        <f>+Tabla1[[#This Row],[ponderacion_meta]]*Tabla1[[#This Row],[proyeccion_año4]]</f>
        <v>0</v>
      </c>
      <c r="AH243" s="393">
        <f t="shared" si="30"/>
        <v>1.9088790000000005E-2</v>
      </c>
      <c r="AI243" s="393">
        <f t="shared" si="31"/>
        <v>4.2766666666666675E-2</v>
      </c>
      <c r="AJ243" s="318">
        <f t="shared" si="29"/>
        <v>4.2766666666666675E-2</v>
      </c>
      <c r="AK243" s="384">
        <f>+SUM(AB243:AB248)</f>
        <v>0</v>
      </c>
      <c r="AL243" s="322">
        <f>+SUM(AC243:AC248)/2</f>
        <v>0</v>
      </c>
      <c r="AM243" s="326">
        <f>+SUM(AB243:AB248)</f>
        <v>0</v>
      </c>
      <c r="AN243" s="410">
        <f t="shared" ref="AN243:AN248" si="37">+SUM(AC243:AC248)/2</f>
        <v>0</v>
      </c>
      <c r="AO243" s="343" t="e">
        <f>+([1]!Tabla1[[#This Row],[ponderacion_accion]]/20%)*AQ243</f>
        <v>#REF!</v>
      </c>
      <c r="AP243" s="343" t="e">
        <f>Tabla1[[#This Row],[ponderacion_meta]]*AO243</f>
        <v>#REF!</v>
      </c>
      <c r="AQ243" s="353"/>
      <c r="AR243" s="377">
        <v>0</v>
      </c>
      <c r="AS243" s="7" t="e">
        <f>+((SUM(AO243:AO245)*100)/20)</f>
        <v>#REF!</v>
      </c>
      <c r="AT243" s="521">
        <v>0</v>
      </c>
    </row>
    <row r="244" spans="1:46" ht="15" customHeight="1" x14ac:dyDescent="0.35">
      <c r="A244" s="236" t="s">
        <v>1150</v>
      </c>
      <c r="B244" s="237" t="s">
        <v>148</v>
      </c>
      <c r="C244" s="237" t="s">
        <v>1719</v>
      </c>
      <c r="D244" s="237" t="s">
        <v>1161</v>
      </c>
      <c r="E244" s="173" t="s">
        <v>548</v>
      </c>
      <c r="F244" s="176" t="s">
        <v>2606</v>
      </c>
      <c r="G244" s="162" t="s">
        <v>549</v>
      </c>
      <c r="H244" s="162" t="s">
        <v>1740</v>
      </c>
      <c r="I244" s="32" t="s">
        <v>550</v>
      </c>
      <c r="J244" s="264">
        <v>1.1627999999999999E-2</v>
      </c>
      <c r="K244" s="33" t="s">
        <v>551</v>
      </c>
      <c r="L244" s="129">
        <v>100000000</v>
      </c>
      <c r="M244" s="129">
        <v>0</v>
      </c>
      <c r="N244" s="437"/>
      <c r="O244" s="437" t="s">
        <v>2622</v>
      </c>
      <c r="P244" s="192">
        <v>0</v>
      </c>
      <c r="Q244" s="193">
        <v>0</v>
      </c>
      <c r="R244" s="193">
        <v>1</v>
      </c>
      <c r="S244" s="193">
        <v>0</v>
      </c>
      <c r="T244" s="193" t="s">
        <v>1413</v>
      </c>
      <c r="U244" s="33" t="s">
        <v>552</v>
      </c>
      <c r="V244" s="34">
        <v>0.6</v>
      </c>
      <c r="W244" s="33" t="s">
        <v>202</v>
      </c>
      <c r="X244" s="33"/>
      <c r="Y244" s="32" t="s">
        <v>2588</v>
      </c>
      <c r="Z244" s="33" t="s">
        <v>2539</v>
      </c>
      <c r="AA244" s="238">
        <f t="shared" si="32"/>
        <v>6.9767999999999991E-3</v>
      </c>
      <c r="AB244" s="252">
        <v>0</v>
      </c>
      <c r="AC244" s="278">
        <f>+(Tabla1[[#This Row],[Avance PDI]]*100%)/Tabla1[[#This Row],[ponderacion_meta]]</f>
        <v>0</v>
      </c>
      <c r="AD244" s="279">
        <v>0</v>
      </c>
      <c r="AE244" s="279">
        <v>0</v>
      </c>
      <c r="AF244" s="279">
        <v>1.1627999999999999E-2</v>
      </c>
      <c r="AG244" s="279">
        <v>0</v>
      </c>
      <c r="AH244" s="393">
        <f t="shared" si="30"/>
        <v>1.9088790000000005E-2</v>
      </c>
      <c r="AI244" s="393">
        <f t="shared" si="31"/>
        <v>4.2766666666666675E-2</v>
      </c>
      <c r="AJ244" s="318">
        <f t="shared" si="29"/>
        <v>4.2766666666666675E-2</v>
      </c>
      <c r="AK244" s="385">
        <v>0</v>
      </c>
      <c r="AL244" s="323">
        <f>$AL$243</f>
        <v>0</v>
      </c>
      <c r="AM244" s="327">
        <v>0</v>
      </c>
      <c r="AN244" s="410">
        <f t="shared" si="37"/>
        <v>0</v>
      </c>
      <c r="AO244" s="344" t="e">
        <f>+([1]!Tabla1[[#This Row],[ponderacion_accion]]/60%)*AQ244</f>
        <v>#REF!</v>
      </c>
      <c r="AP244" s="344" t="e">
        <f>Tabla1[[#This Row],[ponderacion_meta]]*AO244</f>
        <v>#REF!</v>
      </c>
      <c r="AQ244" s="354"/>
      <c r="AR244" s="378">
        <v>0</v>
      </c>
      <c r="AS244" s="9"/>
      <c r="AT244" s="521">
        <v>0</v>
      </c>
    </row>
    <row r="245" spans="1:46" ht="15" customHeight="1" x14ac:dyDescent="0.35">
      <c r="A245" s="236" t="s">
        <v>1150</v>
      </c>
      <c r="B245" s="237" t="s">
        <v>148</v>
      </c>
      <c r="C245" s="237" t="s">
        <v>1719</v>
      </c>
      <c r="D245" s="237" t="s">
        <v>1161</v>
      </c>
      <c r="E245" s="173" t="s">
        <v>548</v>
      </c>
      <c r="F245" s="176" t="s">
        <v>2606</v>
      </c>
      <c r="G245" s="162" t="s">
        <v>549</v>
      </c>
      <c r="H245" s="162" t="s">
        <v>1740</v>
      </c>
      <c r="I245" s="32" t="s">
        <v>550</v>
      </c>
      <c r="J245" s="264">
        <v>1.1627999999999999E-2</v>
      </c>
      <c r="K245" s="33" t="s">
        <v>551</v>
      </c>
      <c r="L245" s="129">
        <v>100000000</v>
      </c>
      <c r="M245" s="129">
        <v>0</v>
      </c>
      <c r="N245" s="437"/>
      <c r="O245" s="437" t="s">
        <v>2622</v>
      </c>
      <c r="P245" s="192">
        <v>0</v>
      </c>
      <c r="Q245" s="193">
        <v>0</v>
      </c>
      <c r="R245" s="193">
        <v>1</v>
      </c>
      <c r="S245" s="193">
        <v>0</v>
      </c>
      <c r="T245" s="193" t="s">
        <v>1414</v>
      </c>
      <c r="U245" s="33" t="s">
        <v>553</v>
      </c>
      <c r="V245" s="34">
        <v>0.2</v>
      </c>
      <c r="W245" s="33" t="s">
        <v>86</v>
      </c>
      <c r="X245" s="33"/>
      <c r="Y245" s="32" t="s">
        <v>2588</v>
      </c>
      <c r="Z245" s="33" t="s">
        <v>2539</v>
      </c>
      <c r="AA245" s="238">
        <f t="shared" si="32"/>
        <v>2.3256000000000001E-3</v>
      </c>
      <c r="AB245" s="252">
        <v>0</v>
      </c>
      <c r="AC245" s="278">
        <f>+(Tabla1[[#This Row],[Avance PDI]]*100%)/Tabla1[[#This Row],[ponderacion_meta]]</f>
        <v>0</v>
      </c>
      <c r="AD245" s="279">
        <v>0</v>
      </c>
      <c r="AE245" s="279">
        <v>0</v>
      </c>
      <c r="AF245" s="279">
        <v>1.1627999999999999E-2</v>
      </c>
      <c r="AG245" s="279">
        <v>0</v>
      </c>
      <c r="AH245" s="393">
        <f t="shared" si="30"/>
        <v>1.9088790000000005E-2</v>
      </c>
      <c r="AI245" s="393">
        <f t="shared" si="31"/>
        <v>4.2766666666666675E-2</v>
      </c>
      <c r="AJ245" s="318">
        <f t="shared" si="29"/>
        <v>4.2766666666666675E-2</v>
      </c>
      <c r="AK245" s="385">
        <v>0</v>
      </c>
      <c r="AL245" s="323">
        <f>$AL$243</f>
        <v>0</v>
      </c>
      <c r="AM245" s="327">
        <v>0</v>
      </c>
      <c r="AN245" s="410">
        <f t="shared" si="37"/>
        <v>0</v>
      </c>
      <c r="AO245" s="345" t="e">
        <f>+([1]!Tabla1[[#This Row],[ponderacion_accion]]/20%)*AQ245</f>
        <v>#REF!</v>
      </c>
      <c r="AP245" s="345" t="e">
        <f>Tabla1[[#This Row],[ponderacion_meta]]*AO245</f>
        <v>#REF!</v>
      </c>
      <c r="AQ245" s="357"/>
      <c r="AR245" s="379">
        <v>0</v>
      </c>
      <c r="AS245" s="9"/>
      <c r="AT245" s="521">
        <v>0</v>
      </c>
    </row>
    <row r="246" spans="1:46" ht="15" customHeight="1" x14ac:dyDescent="0.35">
      <c r="A246" s="236" t="s">
        <v>1150</v>
      </c>
      <c r="B246" s="237" t="s">
        <v>148</v>
      </c>
      <c r="C246" s="237" t="s">
        <v>1719</v>
      </c>
      <c r="D246" s="237" t="s">
        <v>1161</v>
      </c>
      <c r="E246" s="173" t="s">
        <v>548</v>
      </c>
      <c r="F246" s="176" t="s">
        <v>2606</v>
      </c>
      <c r="G246" s="162" t="s">
        <v>549</v>
      </c>
      <c r="H246" s="162" t="s">
        <v>1740</v>
      </c>
      <c r="I246" s="36" t="s">
        <v>554</v>
      </c>
      <c r="J246" s="265">
        <v>6.4939999999999998E-3</v>
      </c>
      <c r="K246" s="37" t="s">
        <v>555</v>
      </c>
      <c r="L246" s="131">
        <v>100000000</v>
      </c>
      <c r="M246" s="131">
        <v>0</v>
      </c>
      <c r="N246" s="439"/>
      <c r="O246" s="439" t="s">
        <v>2622</v>
      </c>
      <c r="P246" s="191">
        <v>0</v>
      </c>
      <c r="Q246" s="188">
        <v>1</v>
      </c>
      <c r="R246" s="188">
        <v>1</v>
      </c>
      <c r="S246" s="188">
        <v>1</v>
      </c>
      <c r="T246" s="188" t="s">
        <v>1415</v>
      </c>
      <c r="U246" s="37" t="s">
        <v>451</v>
      </c>
      <c r="V246" s="38">
        <v>0.2</v>
      </c>
      <c r="W246" s="37" t="s">
        <v>200</v>
      </c>
      <c r="X246" s="37"/>
      <c r="Y246" s="36" t="s">
        <v>2587</v>
      </c>
      <c r="Z246" s="101" t="s">
        <v>2539</v>
      </c>
      <c r="AA246" s="239">
        <f t="shared" si="32"/>
        <v>1.2988000000000001E-3</v>
      </c>
      <c r="AB246" s="252">
        <v>0</v>
      </c>
      <c r="AC246" s="262">
        <f>+(Tabla1[[#This Row],[Avance PDI]]*100%)/Tabla1[[#This Row],[ponderacion_meta]]</f>
        <v>0</v>
      </c>
      <c r="AD246" s="257">
        <f>+Tabla1[[#This Row],[ponderacion_meta]]*Tabla1[[#This Row],[proyeccion_año1]]</f>
        <v>0</v>
      </c>
      <c r="AE246" s="257">
        <f>+Tabla1[[#This Row],[ponderacion_meta]]/3*Tabla1[[#This Row],[proyeccion_año2]]</f>
        <v>2.1646666666666667E-3</v>
      </c>
      <c r="AF246" s="257">
        <f>+Tabla1[[#This Row],[ponderacion_meta]]/3*Tabla1[[#This Row],[proyeccion_año3]]</f>
        <v>2.1646666666666667E-3</v>
      </c>
      <c r="AG246" s="257">
        <f>+Tabla1[[#This Row],[ponderacion_meta]]/3*Tabla1[[#This Row],[proyeccion_año4]]</f>
        <v>2.1646666666666667E-3</v>
      </c>
      <c r="AH246" s="393">
        <f t="shared" si="30"/>
        <v>1.9088790000000005E-2</v>
      </c>
      <c r="AI246" s="393">
        <f t="shared" si="31"/>
        <v>4.2766666666666675E-2</v>
      </c>
      <c r="AJ246" s="318">
        <f t="shared" si="29"/>
        <v>4.2766666666666675E-2</v>
      </c>
      <c r="AK246" s="385">
        <v>0</v>
      </c>
      <c r="AL246" s="323">
        <f>$AL$243</f>
        <v>0</v>
      </c>
      <c r="AM246" s="327">
        <v>0</v>
      </c>
      <c r="AN246" s="410">
        <f t="shared" si="37"/>
        <v>0</v>
      </c>
      <c r="AO246" s="358" t="e">
        <f>+([1]!Tabla1[[#This Row],[ponderacion_accion]]/3)*AQ246</f>
        <v>#REF!</v>
      </c>
      <c r="AP246" s="335" t="e">
        <f>Tabla1[[#This Row],[ponderacion_meta]]*AO246</f>
        <v>#REF!</v>
      </c>
      <c r="AQ246" s="361"/>
      <c r="AR246" s="380">
        <v>0</v>
      </c>
      <c r="AS246" s="7" t="e">
        <f>+((SUM(AO246:AO248)*100)/33.33)</f>
        <v>#REF!</v>
      </c>
      <c r="AT246" s="521">
        <v>0</v>
      </c>
    </row>
    <row r="247" spans="1:46" ht="15" customHeight="1" x14ac:dyDescent="0.35">
      <c r="A247" s="236" t="s">
        <v>1150</v>
      </c>
      <c r="B247" s="237" t="s">
        <v>148</v>
      </c>
      <c r="C247" s="237" t="s">
        <v>1719</v>
      </c>
      <c r="D247" s="237" t="s">
        <v>1161</v>
      </c>
      <c r="E247" s="173" t="s">
        <v>548</v>
      </c>
      <c r="F247" s="176" t="s">
        <v>2606</v>
      </c>
      <c r="G247" s="162" t="s">
        <v>549</v>
      </c>
      <c r="H247" s="162" t="s">
        <v>1740</v>
      </c>
      <c r="I247" s="36" t="s">
        <v>554</v>
      </c>
      <c r="J247" s="265">
        <v>6.4939999999999998E-3</v>
      </c>
      <c r="K247" s="37" t="s">
        <v>555</v>
      </c>
      <c r="L247" s="131">
        <v>100000000</v>
      </c>
      <c r="M247" s="131">
        <v>0</v>
      </c>
      <c r="N247" s="439"/>
      <c r="O247" s="439" t="s">
        <v>2622</v>
      </c>
      <c r="P247" s="191">
        <v>0</v>
      </c>
      <c r="Q247" s="188">
        <v>1</v>
      </c>
      <c r="R247" s="188">
        <v>1</v>
      </c>
      <c r="S247" s="188">
        <v>1</v>
      </c>
      <c r="T247" s="188" t="s">
        <v>1416</v>
      </c>
      <c r="U247" s="37" t="s">
        <v>552</v>
      </c>
      <c r="V247" s="38">
        <v>0.6</v>
      </c>
      <c r="W247" s="37" t="s">
        <v>202</v>
      </c>
      <c r="X247" s="37"/>
      <c r="Y247" s="36" t="s">
        <v>2587</v>
      </c>
      <c r="Z247" s="101" t="s">
        <v>2539</v>
      </c>
      <c r="AA247" s="239">
        <f t="shared" si="32"/>
        <v>3.8963999999999995E-3</v>
      </c>
      <c r="AB247" s="252">
        <v>0</v>
      </c>
      <c r="AC247" s="262">
        <f>+(Tabla1[[#This Row],[Avance PDI]]*100%)/Tabla1[[#This Row],[ponderacion_meta]]</f>
        <v>0</v>
      </c>
      <c r="AD247" s="257">
        <v>0</v>
      </c>
      <c r="AE247" s="257">
        <v>2.1646666666666667E-3</v>
      </c>
      <c r="AF247" s="257">
        <v>2.1646666666666667E-3</v>
      </c>
      <c r="AG247" s="257">
        <v>2.1646666666666667E-3</v>
      </c>
      <c r="AH247" s="393">
        <f t="shared" si="30"/>
        <v>1.9088790000000005E-2</v>
      </c>
      <c r="AI247" s="393">
        <f t="shared" si="31"/>
        <v>4.2766666666666675E-2</v>
      </c>
      <c r="AJ247" s="318">
        <f t="shared" si="29"/>
        <v>4.2766666666666675E-2</v>
      </c>
      <c r="AK247" s="385">
        <v>0</v>
      </c>
      <c r="AL247" s="323">
        <f>$AL$243</f>
        <v>0</v>
      </c>
      <c r="AM247" s="327">
        <v>0</v>
      </c>
      <c r="AN247" s="410">
        <f t="shared" si="37"/>
        <v>0</v>
      </c>
      <c r="AO247" s="359" t="e">
        <f>+([1]!Tabla1[[#This Row],[ponderacion_accion]]/3)*AQ247</f>
        <v>#REF!</v>
      </c>
      <c r="AP247" s="335" t="e">
        <f>Tabla1[[#This Row],[ponderacion_meta]]*AO247</f>
        <v>#REF!</v>
      </c>
      <c r="AQ247" s="351"/>
      <c r="AR247" s="380">
        <v>0</v>
      </c>
      <c r="AS247" s="9"/>
      <c r="AT247" s="521">
        <v>0</v>
      </c>
    </row>
    <row r="248" spans="1:46" ht="15" customHeight="1" x14ac:dyDescent="0.35">
      <c r="A248" s="236" t="s">
        <v>1150</v>
      </c>
      <c r="B248" s="237" t="s">
        <v>148</v>
      </c>
      <c r="C248" s="237" t="s">
        <v>1719</v>
      </c>
      <c r="D248" s="237" t="s">
        <v>1161</v>
      </c>
      <c r="E248" s="173" t="s">
        <v>548</v>
      </c>
      <c r="F248" s="176" t="s">
        <v>2606</v>
      </c>
      <c r="G248" s="162" t="s">
        <v>549</v>
      </c>
      <c r="H248" s="162" t="s">
        <v>1740</v>
      </c>
      <c r="I248" s="36" t="s">
        <v>554</v>
      </c>
      <c r="J248" s="265">
        <v>6.4939999999999998E-3</v>
      </c>
      <c r="K248" s="37" t="s">
        <v>555</v>
      </c>
      <c r="L248" s="131">
        <v>100000000</v>
      </c>
      <c r="M248" s="131">
        <v>0</v>
      </c>
      <c r="N248" s="439"/>
      <c r="O248" s="439" t="s">
        <v>2622</v>
      </c>
      <c r="P248" s="191">
        <v>0</v>
      </c>
      <c r="Q248" s="188">
        <v>1</v>
      </c>
      <c r="R248" s="188">
        <v>1</v>
      </c>
      <c r="S248" s="188">
        <v>1</v>
      </c>
      <c r="T248" s="188" t="s">
        <v>1417</v>
      </c>
      <c r="U248" s="37" t="s">
        <v>553</v>
      </c>
      <c r="V248" s="38">
        <v>0.2</v>
      </c>
      <c r="W248" s="37" t="s">
        <v>86</v>
      </c>
      <c r="X248" s="37"/>
      <c r="Y248" s="36" t="s">
        <v>2587</v>
      </c>
      <c r="Z248" s="101" t="s">
        <v>2539</v>
      </c>
      <c r="AA248" s="239">
        <f t="shared" si="32"/>
        <v>1.2988000000000001E-3</v>
      </c>
      <c r="AB248" s="252">
        <v>0</v>
      </c>
      <c r="AC248" s="262">
        <f>+(Tabla1[[#This Row],[Avance PDI]]*100%)/Tabla1[[#This Row],[ponderacion_meta]]</f>
        <v>0</v>
      </c>
      <c r="AD248" s="257">
        <v>0</v>
      </c>
      <c r="AE248" s="257">
        <v>2.1646666666666667E-3</v>
      </c>
      <c r="AF248" s="257">
        <v>2.1646666666666667E-3</v>
      </c>
      <c r="AG248" s="257">
        <v>2.1646666666666667E-3</v>
      </c>
      <c r="AH248" s="393">
        <f t="shared" si="30"/>
        <v>1.9088790000000005E-2</v>
      </c>
      <c r="AI248" s="393">
        <f t="shared" si="31"/>
        <v>4.2766666666666675E-2</v>
      </c>
      <c r="AJ248" s="318">
        <f t="shared" si="29"/>
        <v>4.2766666666666675E-2</v>
      </c>
      <c r="AK248" s="385">
        <v>0</v>
      </c>
      <c r="AL248" s="323">
        <f>$AL$243</f>
        <v>0</v>
      </c>
      <c r="AM248" s="327">
        <v>0</v>
      </c>
      <c r="AN248" s="410">
        <f t="shared" si="37"/>
        <v>0</v>
      </c>
      <c r="AO248" s="360" t="e">
        <f>+([1]!Tabla1[[#This Row],[ponderacion_accion]]/3)*AQ248</f>
        <v>#REF!</v>
      </c>
      <c r="AP248" s="335" t="e">
        <f>Tabla1[[#This Row],[ponderacion_meta]]*AO248</f>
        <v>#REF!</v>
      </c>
      <c r="AQ248" s="356"/>
      <c r="AR248" s="380">
        <v>0</v>
      </c>
      <c r="AS248" s="9"/>
      <c r="AT248" s="521">
        <v>0</v>
      </c>
    </row>
    <row r="249" spans="1:46" ht="15" customHeight="1" x14ac:dyDescent="0.35">
      <c r="A249" s="236" t="s">
        <v>1150</v>
      </c>
      <c r="B249" s="237" t="s">
        <v>148</v>
      </c>
      <c r="C249" s="237" t="s">
        <v>1719</v>
      </c>
      <c r="D249" s="237" t="s">
        <v>1162</v>
      </c>
      <c r="E249" s="178" t="s">
        <v>556</v>
      </c>
      <c r="F249" s="156" t="s">
        <v>2607</v>
      </c>
      <c r="G249" s="161" t="s">
        <v>557</v>
      </c>
      <c r="H249" s="419" t="s">
        <v>1741</v>
      </c>
      <c r="I249" s="32" t="s">
        <v>558</v>
      </c>
      <c r="J249" s="264">
        <v>1.1627999999999999E-2</v>
      </c>
      <c r="K249" s="33" t="s">
        <v>559</v>
      </c>
      <c r="L249" s="129">
        <v>150000000</v>
      </c>
      <c r="M249" s="129">
        <v>0</v>
      </c>
      <c r="N249" s="437"/>
      <c r="O249" s="437" t="s">
        <v>2622</v>
      </c>
      <c r="P249" s="192">
        <v>0</v>
      </c>
      <c r="Q249" s="193">
        <v>1</v>
      </c>
      <c r="R249" s="193">
        <v>1</v>
      </c>
      <c r="S249" s="193">
        <v>1</v>
      </c>
      <c r="T249" s="193" t="s">
        <v>1418</v>
      </c>
      <c r="U249" s="33" t="s">
        <v>560</v>
      </c>
      <c r="V249" s="34">
        <v>0.2</v>
      </c>
      <c r="W249" s="33" t="s">
        <v>200</v>
      </c>
      <c r="X249" s="33"/>
      <c r="Y249" s="32" t="s">
        <v>2587</v>
      </c>
      <c r="Z249" s="33" t="s">
        <v>2539</v>
      </c>
      <c r="AA249" s="238">
        <f t="shared" si="32"/>
        <v>2.3256000000000001E-3</v>
      </c>
      <c r="AB249" s="252">
        <v>0</v>
      </c>
      <c r="AC249" s="278">
        <f>+(Tabla1[[#This Row],[Avance PDI]]*100%)/Tabla1[[#This Row],[ponderacion_meta]]</f>
        <v>0</v>
      </c>
      <c r="AD249" s="279">
        <f>+Tabla1[[#This Row],[ponderacion_meta]]*Tabla1[[#This Row],[proyeccion_año1]]</f>
        <v>0</v>
      </c>
      <c r="AE249" s="279">
        <f>+Tabla1[[#This Row],[ponderacion_meta]]/3*Tabla1[[#This Row],[proyeccion_año2]]</f>
        <v>3.8759999999999997E-3</v>
      </c>
      <c r="AF249" s="279">
        <f>+Tabla1[[#This Row],[ponderacion_meta]]/3*Tabla1[[#This Row],[proyeccion_año3]]</f>
        <v>3.8759999999999997E-3</v>
      </c>
      <c r="AG249" s="279">
        <f>+Tabla1[[#This Row],[ponderacion_meta]]/3*Tabla1[[#This Row],[proyeccion_año4]]</f>
        <v>3.8759999999999997E-3</v>
      </c>
      <c r="AH249" s="393">
        <f t="shared" si="30"/>
        <v>1.9088790000000005E-2</v>
      </c>
      <c r="AI249" s="393">
        <f t="shared" si="31"/>
        <v>4.2766666666666675E-2</v>
      </c>
      <c r="AJ249" s="318">
        <f t="shared" si="29"/>
        <v>4.2766666666666675E-2</v>
      </c>
      <c r="AK249" s="386">
        <f>+SUM(AB249:AB257)</f>
        <v>0</v>
      </c>
      <c r="AL249" s="320">
        <f>+SUM(AC249:AC257)/3</f>
        <v>0</v>
      </c>
      <c r="AM249" s="332">
        <f>+SUM(AB249:AB257)</f>
        <v>0</v>
      </c>
      <c r="AN249" s="411">
        <f>+SUM(AC249:AC257)/3</f>
        <v>0</v>
      </c>
      <c r="AO249" s="343" t="e">
        <f>+([1]!Tabla1[[#This Row],[ponderacion_accion]]/3)*AQ249</f>
        <v>#REF!</v>
      </c>
      <c r="AP249" s="343" t="e">
        <f>Tabla1[[#This Row],[ponderacion_meta]]*AO249</f>
        <v>#REF!</v>
      </c>
      <c r="AQ249" s="353"/>
      <c r="AR249" s="377">
        <v>0</v>
      </c>
      <c r="AS249" s="7" t="e">
        <f>+((SUM(AO249:AO251)*100)/33.33)</f>
        <v>#REF!</v>
      </c>
      <c r="AT249" s="521">
        <v>0</v>
      </c>
    </row>
    <row r="250" spans="1:46" ht="15" customHeight="1" x14ac:dyDescent="0.35">
      <c r="A250" s="236" t="s">
        <v>1150</v>
      </c>
      <c r="B250" s="237" t="s">
        <v>148</v>
      </c>
      <c r="C250" s="237" t="s">
        <v>1719</v>
      </c>
      <c r="D250" s="237" t="s">
        <v>1162</v>
      </c>
      <c r="E250" s="178" t="s">
        <v>556</v>
      </c>
      <c r="F250" s="156" t="s">
        <v>2607</v>
      </c>
      <c r="G250" s="161" t="s">
        <v>557</v>
      </c>
      <c r="H250" s="161" t="s">
        <v>1741</v>
      </c>
      <c r="I250" s="32" t="s">
        <v>558</v>
      </c>
      <c r="J250" s="264">
        <v>1.1627999999999999E-2</v>
      </c>
      <c r="K250" s="33" t="s">
        <v>559</v>
      </c>
      <c r="L250" s="129">
        <v>150000000</v>
      </c>
      <c r="M250" s="129">
        <v>0</v>
      </c>
      <c r="N250" s="437"/>
      <c r="O250" s="437" t="s">
        <v>2622</v>
      </c>
      <c r="P250" s="192">
        <v>0</v>
      </c>
      <c r="Q250" s="193">
        <v>1</v>
      </c>
      <c r="R250" s="193">
        <v>1</v>
      </c>
      <c r="S250" s="193">
        <v>1</v>
      </c>
      <c r="T250" s="193" t="s">
        <v>1419</v>
      </c>
      <c r="U250" s="33" t="s">
        <v>561</v>
      </c>
      <c r="V250" s="34">
        <v>0.2</v>
      </c>
      <c r="W250" s="33" t="s">
        <v>202</v>
      </c>
      <c r="X250" s="33"/>
      <c r="Y250" s="32" t="s">
        <v>2587</v>
      </c>
      <c r="Z250" s="33" t="s">
        <v>2539</v>
      </c>
      <c r="AA250" s="238">
        <f t="shared" si="32"/>
        <v>2.3256000000000001E-3</v>
      </c>
      <c r="AB250" s="252">
        <v>0</v>
      </c>
      <c r="AC250" s="278">
        <f>+(Tabla1[[#This Row],[Avance PDI]]*100%)/Tabla1[[#This Row],[ponderacion_meta]]</f>
        <v>0</v>
      </c>
      <c r="AD250" s="279">
        <v>0</v>
      </c>
      <c r="AE250" s="279">
        <v>3.8759999999999997E-3</v>
      </c>
      <c r="AF250" s="279">
        <v>3.8759999999999997E-3</v>
      </c>
      <c r="AG250" s="279">
        <v>3.8759999999999997E-3</v>
      </c>
      <c r="AH250" s="393">
        <f t="shared" si="30"/>
        <v>1.9088790000000005E-2</v>
      </c>
      <c r="AI250" s="393">
        <f t="shared" si="31"/>
        <v>4.2766666666666675E-2</v>
      </c>
      <c r="AJ250" s="318">
        <f t="shared" ref="AJ250:AJ257" si="38">+SUM($AC$57:$AC$257)/50</f>
        <v>4.2766666666666675E-2</v>
      </c>
      <c r="AK250" s="389">
        <v>0</v>
      </c>
      <c r="AL250" s="321">
        <f>$AL$249</f>
        <v>0</v>
      </c>
      <c r="AM250" s="325">
        <v>0</v>
      </c>
      <c r="AN250" s="411">
        <f>$AN$249</f>
        <v>0</v>
      </c>
      <c r="AO250" s="344" t="e">
        <f>+([1]!Tabla1[[#This Row],[ponderacion_accion]]/3)*AQ250</f>
        <v>#REF!</v>
      </c>
      <c r="AP250" s="344" t="e">
        <f>Tabla1[[#This Row],[ponderacion_meta]]*AO250</f>
        <v>#REF!</v>
      </c>
      <c r="AQ250" s="354"/>
      <c r="AR250" s="378">
        <v>0</v>
      </c>
      <c r="AS250" s="7"/>
      <c r="AT250" s="521">
        <v>0</v>
      </c>
    </row>
    <row r="251" spans="1:46" ht="15" customHeight="1" x14ac:dyDescent="0.35">
      <c r="A251" s="236" t="s">
        <v>1150</v>
      </c>
      <c r="B251" s="237" t="s">
        <v>148</v>
      </c>
      <c r="C251" s="237" t="s">
        <v>1719</v>
      </c>
      <c r="D251" s="237" t="s">
        <v>1162</v>
      </c>
      <c r="E251" s="178" t="s">
        <v>556</v>
      </c>
      <c r="F251" s="156" t="s">
        <v>2607</v>
      </c>
      <c r="G251" s="161" t="s">
        <v>557</v>
      </c>
      <c r="H251" s="161" t="s">
        <v>1741</v>
      </c>
      <c r="I251" s="32" t="s">
        <v>558</v>
      </c>
      <c r="J251" s="264">
        <v>1.1627999999999999E-2</v>
      </c>
      <c r="K251" s="33" t="s">
        <v>559</v>
      </c>
      <c r="L251" s="129">
        <v>150000000</v>
      </c>
      <c r="M251" s="129">
        <v>0</v>
      </c>
      <c r="N251" s="437"/>
      <c r="O251" s="437" t="s">
        <v>2622</v>
      </c>
      <c r="P251" s="192">
        <v>0</v>
      </c>
      <c r="Q251" s="193">
        <v>1</v>
      </c>
      <c r="R251" s="193">
        <v>1</v>
      </c>
      <c r="S251" s="193">
        <v>1</v>
      </c>
      <c r="T251" s="193" t="s">
        <v>1420</v>
      </c>
      <c r="U251" s="33" t="s">
        <v>562</v>
      </c>
      <c r="V251" s="34">
        <v>0.6</v>
      </c>
      <c r="W251" s="33" t="s">
        <v>86</v>
      </c>
      <c r="X251" s="33"/>
      <c r="Y251" s="32" t="s">
        <v>2587</v>
      </c>
      <c r="Z251" s="33" t="s">
        <v>2539</v>
      </c>
      <c r="AA251" s="238">
        <f t="shared" si="32"/>
        <v>6.9767999999999991E-3</v>
      </c>
      <c r="AB251" s="252">
        <v>0</v>
      </c>
      <c r="AC251" s="278">
        <f>+(Tabla1[[#This Row],[Avance PDI]]*100%)/Tabla1[[#This Row],[ponderacion_meta]]</f>
        <v>0</v>
      </c>
      <c r="AD251" s="279">
        <v>0</v>
      </c>
      <c r="AE251" s="279">
        <v>3.8759999999999997E-3</v>
      </c>
      <c r="AF251" s="279">
        <v>3.8759999999999997E-3</v>
      </c>
      <c r="AG251" s="279">
        <v>3.8759999999999997E-3</v>
      </c>
      <c r="AH251" s="393">
        <f t="shared" ref="AH251:AH257" si="39">$AH$57</f>
        <v>1.9088790000000005E-2</v>
      </c>
      <c r="AI251" s="393">
        <f t="shared" ref="AI251:AI257" si="40">$AI$57</f>
        <v>4.2766666666666675E-2</v>
      </c>
      <c r="AJ251" s="318">
        <f t="shared" si="38"/>
        <v>4.2766666666666675E-2</v>
      </c>
      <c r="AK251" s="389">
        <v>0</v>
      </c>
      <c r="AL251" s="321">
        <f t="shared" ref="AL251:AL257" si="41">$AL$249</f>
        <v>0</v>
      </c>
      <c r="AM251" s="325">
        <v>0</v>
      </c>
      <c r="AN251" s="411">
        <f t="shared" ref="AN251:AN257" si="42">$AN$249</f>
        <v>0</v>
      </c>
      <c r="AO251" s="345" t="e">
        <f>+([1]!Tabla1[[#This Row],[ponderacion_accion]]/3)*AQ251</f>
        <v>#REF!</v>
      </c>
      <c r="AP251" s="345" t="e">
        <f>Tabla1[[#This Row],[ponderacion_meta]]*AO251</f>
        <v>#REF!</v>
      </c>
      <c r="AQ251" s="357"/>
      <c r="AR251" s="379">
        <v>0</v>
      </c>
      <c r="AS251" s="7"/>
      <c r="AT251" s="521">
        <v>0</v>
      </c>
    </row>
    <row r="252" spans="1:46" ht="15" customHeight="1" x14ac:dyDescent="0.35">
      <c r="A252" s="236" t="s">
        <v>1150</v>
      </c>
      <c r="B252" s="237" t="s">
        <v>148</v>
      </c>
      <c r="C252" s="237" t="s">
        <v>1719</v>
      </c>
      <c r="D252" s="237" t="s">
        <v>1162</v>
      </c>
      <c r="E252" s="178" t="s">
        <v>556</v>
      </c>
      <c r="F252" s="156" t="s">
        <v>2607</v>
      </c>
      <c r="G252" s="161" t="s">
        <v>557</v>
      </c>
      <c r="H252" s="161" t="s">
        <v>1741</v>
      </c>
      <c r="I252" s="36" t="s">
        <v>563</v>
      </c>
      <c r="J252" s="265">
        <v>1.1627999999999999E-2</v>
      </c>
      <c r="K252" s="37" t="s">
        <v>564</v>
      </c>
      <c r="L252" s="130">
        <v>150000000</v>
      </c>
      <c r="M252" s="130">
        <v>0</v>
      </c>
      <c r="N252" s="438"/>
      <c r="O252" s="438" t="s">
        <v>2622</v>
      </c>
      <c r="P252" s="194">
        <v>0</v>
      </c>
      <c r="Q252" s="195">
        <v>1</v>
      </c>
      <c r="R252" s="195">
        <v>1</v>
      </c>
      <c r="S252" s="195">
        <v>1</v>
      </c>
      <c r="T252" s="195" t="s">
        <v>1421</v>
      </c>
      <c r="U252" s="37" t="s">
        <v>560</v>
      </c>
      <c r="V252" s="38">
        <v>0.2</v>
      </c>
      <c r="W252" s="37" t="s">
        <v>200</v>
      </c>
      <c r="X252" s="37"/>
      <c r="Y252" s="36" t="s">
        <v>2587</v>
      </c>
      <c r="Z252" s="37" t="s">
        <v>2539</v>
      </c>
      <c r="AA252" s="239">
        <f t="shared" si="32"/>
        <v>2.3256000000000001E-3</v>
      </c>
      <c r="AB252" s="252">
        <v>0</v>
      </c>
      <c r="AC252" s="262">
        <f>+(Tabla1[[#This Row],[Avance PDI]]*100%)/Tabla1[[#This Row],[ponderacion_meta]]</f>
        <v>0</v>
      </c>
      <c r="AD252" s="257">
        <f>+Tabla1[[#This Row],[ponderacion_meta]]*Tabla1[[#This Row],[proyeccion_año1]]</f>
        <v>0</v>
      </c>
      <c r="AE252" s="257">
        <f>+Tabla1[[#This Row],[ponderacion_meta]]/3*Tabla1[[#This Row],[proyeccion_año2]]</f>
        <v>3.8759999999999997E-3</v>
      </c>
      <c r="AF252" s="257">
        <f>+Tabla1[[#This Row],[ponderacion_meta]]/3*Tabla1[[#This Row],[proyeccion_año3]]</f>
        <v>3.8759999999999997E-3</v>
      </c>
      <c r="AG252" s="257">
        <f>+Tabla1[[#This Row],[ponderacion_meta]]/3*Tabla1[[#This Row],[proyeccion_año4]]</f>
        <v>3.8759999999999997E-3</v>
      </c>
      <c r="AH252" s="393">
        <f t="shared" si="39"/>
        <v>1.9088790000000005E-2</v>
      </c>
      <c r="AI252" s="393">
        <f t="shared" si="40"/>
        <v>4.2766666666666675E-2</v>
      </c>
      <c r="AJ252" s="318">
        <f t="shared" si="38"/>
        <v>4.2766666666666675E-2</v>
      </c>
      <c r="AK252" s="389">
        <v>0</v>
      </c>
      <c r="AL252" s="321">
        <f t="shared" si="41"/>
        <v>0</v>
      </c>
      <c r="AM252" s="325">
        <v>0</v>
      </c>
      <c r="AN252" s="411">
        <f t="shared" si="42"/>
        <v>0</v>
      </c>
      <c r="AO252" s="358" t="e">
        <f>+([1]!Tabla1[[#This Row],[ponderacion_accion]]/3)*AQ252</f>
        <v>#REF!</v>
      </c>
      <c r="AP252" s="358" t="e">
        <f>Tabla1[[#This Row],[ponderacion_meta]]*AO252</f>
        <v>#REF!</v>
      </c>
      <c r="AQ252" s="361"/>
      <c r="AR252" s="380">
        <v>0</v>
      </c>
      <c r="AS252" s="7" t="e">
        <f>+((SUM(AO252:AO254)*100)/33.33)</f>
        <v>#REF!</v>
      </c>
      <c r="AT252" s="521">
        <v>0</v>
      </c>
    </row>
    <row r="253" spans="1:46" ht="15" customHeight="1" x14ac:dyDescent="0.35">
      <c r="A253" s="236" t="s">
        <v>1150</v>
      </c>
      <c r="B253" s="237" t="s">
        <v>148</v>
      </c>
      <c r="C253" s="237" t="s">
        <v>1719</v>
      </c>
      <c r="D253" s="237" t="s">
        <v>1162</v>
      </c>
      <c r="E253" s="178" t="s">
        <v>556</v>
      </c>
      <c r="F253" s="156" t="s">
        <v>2607</v>
      </c>
      <c r="G253" s="161" t="s">
        <v>557</v>
      </c>
      <c r="H253" s="161" t="s">
        <v>1741</v>
      </c>
      <c r="I253" s="36" t="s">
        <v>563</v>
      </c>
      <c r="J253" s="265">
        <v>1.1627999999999999E-2</v>
      </c>
      <c r="K253" s="37" t="s">
        <v>564</v>
      </c>
      <c r="L253" s="130">
        <v>150000000</v>
      </c>
      <c r="M253" s="130">
        <v>0</v>
      </c>
      <c r="N253" s="438"/>
      <c r="O253" s="438" t="s">
        <v>2622</v>
      </c>
      <c r="P253" s="194">
        <v>0</v>
      </c>
      <c r="Q253" s="195">
        <v>1</v>
      </c>
      <c r="R253" s="195">
        <v>1</v>
      </c>
      <c r="S253" s="195">
        <v>1</v>
      </c>
      <c r="T253" s="195" t="s">
        <v>1422</v>
      </c>
      <c r="U253" s="37" t="s">
        <v>561</v>
      </c>
      <c r="V253" s="38">
        <v>0.2</v>
      </c>
      <c r="W253" s="37" t="s">
        <v>202</v>
      </c>
      <c r="X253" s="37"/>
      <c r="Y253" s="36" t="s">
        <v>2587</v>
      </c>
      <c r="Z253" s="37" t="s">
        <v>2539</v>
      </c>
      <c r="AA253" s="239">
        <f t="shared" si="32"/>
        <v>2.3256000000000001E-3</v>
      </c>
      <c r="AB253" s="252">
        <v>0</v>
      </c>
      <c r="AC253" s="262">
        <f>+(Tabla1[[#This Row],[Avance PDI]]*100%)/Tabla1[[#This Row],[ponderacion_meta]]</f>
        <v>0</v>
      </c>
      <c r="AD253" s="257">
        <v>0</v>
      </c>
      <c r="AE253" s="257">
        <v>3.8759999999999997E-3</v>
      </c>
      <c r="AF253" s="257">
        <v>3.8759999999999997E-3</v>
      </c>
      <c r="AG253" s="257">
        <v>3.8759999999999997E-3</v>
      </c>
      <c r="AH253" s="393">
        <f t="shared" si="39"/>
        <v>1.9088790000000005E-2</v>
      </c>
      <c r="AI253" s="393">
        <f t="shared" si="40"/>
        <v>4.2766666666666675E-2</v>
      </c>
      <c r="AJ253" s="318">
        <f t="shared" si="38"/>
        <v>4.2766666666666675E-2</v>
      </c>
      <c r="AK253" s="389">
        <v>0</v>
      </c>
      <c r="AL253" s="321">
        <f t="shared" si="41"/>
        <v>0</v>
      </c>
      <c r="AM253" s="325">
        <v>0</v>
      </c>
      <c r="AN253" s="411">
        <f t="shared" si="42"/>
        <v>0</v>
      </c>
      <c r="AO253" s="359" t="e">
        <f>+([1]!Tabla1[[#This Row],[ponderacion_accion]]/3)*AQ253</f>
        <v>#REF!</v>
      </c>
      <c r="AP253" s="359" t="e">
        <f>Tabla1[[#This Row],[ponderacion_meta]]*AO253</f>
        <v>#REF!</v>
      </c>
      <c r="AQ253" s="351"/>
      <c r="AR253" s="380">
        <v>0</v>
      </c>
      <c r="AS253" s="7"/>
      <c r="AT253" s="521">
        <v>0</v>
      </c>
    </row>
    <row r="254" spans="1:46" ht="15" customHeight="1" x14ac:dyDescent="0.35">
      <c r="A254" s="236" t="s">
        <v>1150</v>
      </c>
      <c r="B254" s="237" t="s">
        <v>148</v>
      </c>
      <c r="C254" s="237" t="s">
        <v>1719</v>
      </c>
      <c r="D254" s="237" t="s">
        <v>1162</v>
      </c>
      <c r="E254" s="178" t="s">
        <v>556</v>
      </c>
      <c r="F254" s="156" t="s">
        <v>2607</v>
      </c>
      <c r="G254" s="161" t="s">
        <v>557</v>
      </c>
      <c r="H254" s="161" t="s">
        <v>1741</v>
      </c>
      <c r="I254" s="36" t="s">
        <v>563</v>
      </c>
      <c r="J254" s="265">
        <v>1.1627999999999999E-2</v>
      </c>
      <c r="K254" s="37" t="s">
        <v>564</v>
      </c>
      <c r="L254" s="130">
        <v>150000000</v>
      </c>
      <c r="M254" s="130">
        <v>0</v>
      </c>
      <c r="N254" s="438"/>
      <c r="O254" s="438" t="s">
        <v>2622</v>
      </c>
      <c r="P254" s="194">
        <v>0</v>
      </c>
      <c r="Q254" s="195">
        <v>1</v>
      </c>
      <c r="R254" s="195">
        <v>1</v>
      </c>
      <c r="S254" s="195">
        <v>1</v>
      </c>
      <c r="T254" s="195" t="s">
        <v>1423</v>
      </c>
      <c r="U254" s="37" t="s">
        <v>562</v>
      </c>
      <c r="V254" s="38">
        <v>0.6</v>
      </c>
      <c r="W254" s="37" t="s">
        <v>86</v>
      </c>
      <c r="X254" s="37"/>
      <c r="Y254" s="36" t="s">
        <v>2587</v>
      </c>
      <c r="Z254" s="37" t="s">
        <v>2539</v>
      </c>
      <c r="AA254" s="239">
        <f t="shared" si="32"/>
        <v>6.9767999999999991E-3</v>
      </c>
      <c r="AB254" s="252">
        <v>0</v>
      </c>
      <c r="AC254" s="262">
        <f>+(Tabla1[[#This Row],[Avance PDI]]*100%)/Tabla1[[#This Row],[ponderacion_meta]]</f>
        <v>0</v>
      </c>
      <c r="AD254" s="257">
        <v>0</v>
      </c>
      <c r="AE254" s="257">
        <v>3.8759999999999997E-3</v>
      </c>
      <c r="AF254" s="257">
        <v>3.8759999999999997E-3</v>
      </c>
      <c r="AG254" s="257">
        <v>3.8759999999999997E-3</v>
      </c>
      <c r="AH254" s="393">
        <f t="shared" si="39"/>
        <v>1.9088790000000005E-2</v>
      </c>
      <c r="AI254" s="393">
        <f t="shared" si="40"/>
        <v>4.2766666666666675E-2</v>
      </c>
      <c r="AJ254" s="318">
        <f t="shared" si="38"/>
        <v>4.2766666666666675E-2</v>
      </c>
      <c r="AK254" s="389">
        <v>0</v>
      </c>
      <c r="AL254" s="321">
        <f t="shared" si="41"/>
        <v>0</v>
      </c>
      <c r="AM254" s="325">
        <v>0</v>
      </c>
      <c r="AN254" s="411">
        <f t="shared" si="42"/>
        <v>0</v>
      </c>
      <c r="AO254" s="360" t="e">
        <f>+([1]!Tabla1[[#This Row],[ponderacion_accion]]/3)*AQ254</f>
        <v>#REF!</v>
      </c>
      <c r="AP254" s="360" t="e">
        <f>Tabla1[[#This Row],[ponderacion_meta]]*AO254</f>
        <v>#REF!</v>
      </c>
      <c r="AQ254" s="356"/>
      <c r="AR254" s="380">
        <v>0</v>
      </c>
      <c r="AS254" s="7"/>
      <c r="AT254" s="521">
        <v>0</v>
      </c>
    </row>
    <row r="255" spans="1:46" ht="15" customHeight="1" x14ac:dyDescent="0.35">
      <c r="A255" s="236" t="s">
        <v>1150</v>
      </c>
      <c r="B255" s="237" t="s">
        <v>148</v>
      </c>
      <c r="C255" s="237" t="s">
        <v>1719</v>
      </c>
      <c r="D255" s="237" t="s">
        <v>1162</v>
      </c>
      <c r="E255" s="178" t="s">
        <v>556</v>
      </c>
      <c r="F255" s="156" t="s">
        <v>2607</v>
      </c>
      <c r="G255" s="161" t="s">
        <v>557</v>
      </c>
      <c r="H255" s="161" t="s">
        <v>1741</v>
      </c>
      <c r="I255" s="32" t="s">
        <v>565</v>
      </c>
      <c r="J255" s="264">
        <v>1.1627999999999999E-2</v>
      </c>
      <c r="K255" s="33" t="s">
        <v>566</v>
      </c>
      <c r="L255" s="129">
        <v>30000000</v>
      </c>
      <c r="M255" s="129">
        <v>0</v>
      </c>
      <c r="N255" s="437"/>
      <c r="O255" s="437" t="s">
        <v>2622</v>
      </c>
      <c r="P255" s="192">
        <v>0</v>
      </c>
      <c r="Q255" s="193">
        <v>1</v>
      </c>
      <c r="R255" s="193">
        <v>1</v>
      </c>
      <c r="S255" s="193">
        <v>1</v>
      </c>
      <c r="T255" s="193" t="s">
        <v>1424</v>
      </c>
      <c r="U255" s="33" t="s">
        <v>560</v>
      </c>
      <c r="V255" s="34">
        <v>0.2</v>
      </c>
      <c r="W255" s="33" t="s">
        <v>200</v>
      </c>
      <c r="X255" s="33"/>
      <c r="Y255" s="32" t="s">
        <v>2587</v>
      </c>
      <c r="Z255" s="33" t="s">
        <v>2539</v>
      </c>
      <c r="AA255" s="238">
        <f t="shared" si="32"/>
        <v>2.3256000000000001E-3</v>
      </c>
      <c r="AB255" s="252">
        <v>0</v>
      </c>
      <c r="AC255" s="278">
        <f>+(Tabla1[[#This Row],[Avance PDI]]*100%)/Tabla1[[#This Row],[ponderacion_meta]]</f>
        <v>0</v>
      </c>
      <c r="AD255" s="279">
        <f>+Tabla1[[#This Row],[ponderacion_meta]]*Tabla1[[#This Row],[proyeccion_año1]]</f>
        <v>0</v>
      </c>
      <c r="AE255" s="279">
        <f>+Tabla1[[#This Row],[ponderacion_meta]]/3*Tabla1[[#This Row],[proyeccion_año2]]</f>
        <v>3.8759999999999997E-3</v>
      </c>
      <c r="AF255" s="279">
        <f>+Tabla1[[#This Row],[ponderacion_meta]]/3*Tabla1[[#This Row],[proyeccion_año3]]</f>
        <v>3.8759999999999997E-3</v>
      </c>
      <c r="AG255" s="279">
        <f>+Tabla1[[#This Row],[ponderacion_meta]]/3*Tabla1[[#This Row],[proyeccion_año4]]</f>
        <v>3.8759999999999997E-3</v>
      </c>
      <c r="AH255" s="393">
        <f t="shared" si="39"/>
        <v>1.9088790000000005E-2</v>
      </c>
      <c r="AI255" s="393">
        <f t="shared" si="40"/>
        <v>4.2766666666666675E-2</v>
      </c>
      <c r="AJ255" s="318">
        <f t="shared" si="38"/>
        <v>4.2766666666666675E-2</v>
      </c>
      <c r="AK255" s="389">
        <v>0</v>
      </c>
      <c r="AL255" s="321">
        <f t="shared" si="41"/>
        <v>0</v>
      </c>
      <c r="AM255" s="325">
        <v>0</v>
      </c>
      <c r="AN255" s="411">
        <f t="shared" si="42"/>
        <v>0</v>
      </c>
      <c r="AO255" s="343" t="e">
        <f>+([1]!Tabla1[[#This Row],[ponderacion_accion]]/3)*AQ255</f>
        <v>#REF!</v>
      </c>
      <c r="AP255" s="343" t="e">
        <f>Tabla1[[#This Row],[ponderacion_meta]]*AO255</f>
        <v>#REF!</v>
      </c>
      <c r="AQ255" s="353"/>
      <c r="AR255" s="377">
        <v>12181663.5</v>
      </c>
      <c r="AS255" s="7" t="e">
        <f>+((SUM(AO255:AO257)*100)/33.33)</f>
        <v>#REF!</v>
      </c>
      <c r="AT255" s="521">
        <v>0</v>
      </c>
    </row>
    <row r="256" spans="1:46" ht="15" customHeight="1" x14ac:dyDescent="0.35">
      <c r="A256" s="236" t="s">
        <v>1150</v>
      </c>
      <c r="B256" s="237" t="s">
        <v>148</v>
      </c>
      <c r="C256" s="237" t="s">
        <v>1719</v>
      </c>
      <c r="D256" s="237" t="s">
        <v>1162</v>
      </c>
      <c r="E256" s="178" t="s">
        <v>556</v>
      </c>
      <c r="F256" s="156" t="s">
        <v>2607</v>
      </c>
      <c r="G256" s="161" t="s">
        <v>557</v>
      </c>
      <c r="H256" s="161" t="s">
        <v>1741</v>
      </c>
      <c r="I256" s="32" t="s">
        <v>565</v>
      </c>
      <c r="J256" s="264">
        <v>1.1627999999999999E-2</v>
      </c>
      <c r="K256" s="33" t="s">
        <v>566</v>
      </c>
      <c r="L256" s="129">
        <v>30000000</v>
      </c>
      <c r="M256" s="129">
        <v>0</v>
      </c>
      <c r="N256" s="437"/>
      <c r="O256" s="437" t="s">
        <v>2622</v>
      </c>
      <c r="P256" s="192">
        <v>0</v>
      </c>
      <c r="Q256" s="193">
        <v>1</v>
      </c>
      <c r="R256" s="193">
        <v>1</v>
      </c>
      <c r="S256" s="193">
        <v>1</v>
      </c>
      <c r="T256" s="193" t="s">
        <v>1425</v>
      </c>
      <c r="U256" s="33" t="s">
        <v>561</v>
      </c>
      <c r="V256" s="34">
        <v>0.2</v>
      </c>
      <c r="W256" s="33" t="s">
        <v>202</v>
      </c>
      <c r="X256" s="33"/>
      <c r="Y256" s="32" t="s">
        <v>2587</v>
      </c>
      <c r="Z256" s="33" t="s">
        <v>2539</v>
      </c>
      <c r="AA256" s="238">
        <f t="shared" si="32"/>
        <v>2.3256000000000001E-3</v>
      </c>
      <c r="AB256" s="252">
        <v>0</v>
      </c>
      <c r="AC256" s="278">
        <f>+(Tabla1[[#This Row],[Avance PDI]]*100%)/Tabla1[[#This Row],[ponderacion_meta]]</f>
        <v>0</v>
      </c>
      <c r="AD256" s="279">
        <v>0</v>
      </c>
      <c r="AE256" s="279">
        <v>3.8759999999999997E-3</v>
      </c>
      <c r="AF256" s="279">
        <v>3.8759999999999997E-3</v>
      </c>
      <c r="AG256" s="279">
        <v>3.8759999999999997E-3</v>
      </c>
      <c r="AH256" s="393">
        <f t="shared" si="39"/>
        <v>1.9088790000000005E-2</v>
      </c>
      <c r="AI256" s="393">
        <f t="shared" si="40"/>
        <v>4.2766666666666675E-2</v>
      </c>
      <c r="AJ256" s="318">
        <f t="shared" si="38"/>
        <v>4.2766666666666675E-2</v>
      </c>
      <c r="AK256" s="389">
        <v>0</v>
      </c>
      <c r="AL256" s="321">
        <f t="shared" si="41"/>
        <v>0</v>
      </c>
      <c r="AM256" s="325">
        <v>0</v>
      </c>
      <c r="AN256" s="411">
        <f t="shared" si="42"/>
        <v>0</v>
      </c>
      <c r="AO256" s="344" t="e">
        <f>+([1]!Tabla1[[#This Row],[ponderacion_accion]]/3)*AQ256</f>
        <v>#REF!</v>
      </c>
      <c r="AP256" s="344" t="e">
        <f>Tabla1[[#This Row],[ponderacion_meta]]*AO256</f>
        <v>#REF!</v>
      </c>
      <c r="AQ256" s="354"/>
      <c r="AR256" s="378">
        <v>0</v>
      </c>
      <c r="AS256" s="9"/>
      <c r="AT256" s="521">
        <v>0</v>
      </c>
    </row>
    <row r="257" spans="1:46" ht="15" customHeight="1" x14ac:dyDescent="0.35">
      <c r="A257" s="236" t="s">
        <v>1150</v>
      </c>
      <c r="B257" s="237" t="s">
        <v>148</v>
      </c>
      <c r="C257" s="237" t="s">
        <v>1719</v>
      </c>
      <c r="D257" s="237" t="s">
        <v>1162</v>
      </c>
      <c r="E257" s="178" t="s">
        <v>556</v>
      </c>
      <c r="F257" s="156" t="s">
        <v>2607</v>
      </c>
      <c r="G257" s="161" t="s">
        <v>557</v>
      </c>
      <c r="H257" s="161" t="s">
        <v>1741</v>
      </c>
      <c r="I257" s="32" t="s">
        <v>565</v>
      </c>
      <c r="J257" s="264">
        <v>1.1627999999999999E-2</v>
      </c>
      <c r="K257" s="33" t="s">
        <v>566</v>
      </c>
      <c r="L257" s="129">
        <v>30000000</v>
      </c>
      <c r="M257" s="129">
        <v>0</v>
      </c>
      <c r="N257" s="437"/>
      <c r="O257" s="437" t="s">
        <v>2622</v>
      </c>
      <c r="P257" s="192">
        <v>0</v>
      </c>
      <c r="Q257" s="193">
        <v>1</v>
      </c>
      <c r="R257" s="193">
        <v>1</v>
      </c>
      <c r="S257" s="193">
        <v>1</v>
      </c>
      <c r="T257" s="193" t="s">
        <v>1426</v>
      </c>
      <c r="U257" s="33" t="s">
        <v>562</v>
      </c>
      <c r="V257" s="34">
        <v>0.6</v>
      </c>
      <c r="W257" s="33" t="s">
        <v>86</v>
      </c>
      <c r="X257" s="33"/>
      <c r="Y257" s="32" t="s">
        <v>2587</v>
      </c>
      <c r="Z257" s="33" t="s">
        <v>2539</v>
      </c>
      <c r="AA257" s="238">
        <f t="shared" si="32"/>
        <v>6.9767999999999991E-3</v>
      </c>
      <c r="AB257" s="252">
        <v>0</v>
      </c>
      <c r="AC257" s="278">
        <f>+(Tabla1[[#This Row],[Avance PDI]]*100%)/Tabla1[[#This Row],[ponderacion_meta]]</f>
        <v>0</v>
      </c>
      <c r="AD257" s="279">
        <v>0</v>
      </c>
      <c r="AE257" s="279">
        <v>3.8759999999999997E-3</v>
      </c>
      <c r="AF257" s="279">
        <v>3.8759999999999997E-3</v>
      </c>
      <c r="AG257" s="279">
        <v>3.8759999999999997E-3</v>
      </c>
      <c r="AH257" s="393">
        <f t="shared" si="39"/>
        <v>1.9088790000000005E-2</v>
      </c>
      <c r="AI257" s="393">
        <f t="shared" si="40"/>
        <v>4.2766666666666675E-2</v>
      </c>
      <c r="AJ257" s="318">
        <f t="shared" si="38"/>
        <v>4.2766666666666675E-2</v>
      </c>
      <c r="AK257" s="389">
        <v>0</v>
      </c>
      <c r="AL257" s="321">
        <f t="shared" si="41"/>
        <v>0</v>
      </c>
      <c r="AM257" s="325">
        <v>0</v>
      </c>
      <c r="AN257" s="411">
        <f t="shared" si="42"/>
        <v>0</v>
      </c>
      <c r="AO257" s="345" t="e">
        <f>+([1]!Tabla1[[#This Row],[ponderacion_accion]]/3)*AQ257</f>
        <v>#REF!</v>
      </c>
      <c r="AP257" s="345" t="e">
        <f>Tabla1[[#This Row],[ponderacion_meta]]*AO257</f>
        <v>#REF!</v>
      </c>
      <c r="AQ257" s="357"/>
      <c r="AR257" s="379">
        <v>0</v>
      </c>
      <c r="AS257" s="9"/>
      <c r="AT257" s="521">
        <v>0</v>
      </c>
    </row>
    <row r="258" spans="1:46" ht="15" customHeight="1" x14ac:dyDescent="0.35">
      <c r="A258" s="236" t="s">
        <v>1151</v>
      </c>
      <c r="B258" s="399" t="s">
        <v>567</v>
      </c>
      <c r="C258" s="399" t="s">
        <v>1720</v>
      </c>
      <c r="D258" s="237" t="s">
        <v>1163</v>
      </c>
      <c r="E258" s="174" t="s">
        <v>568</v>
      </c>
      <c r="F258" s="176" t="s">
        <v>2608</v>
      </c>
      <c r="G258" s="160" t="s">
        <v>569</v>
      </c>
      <c r="H258" s="418" t="s">
        <v>1742</v>
      </c>
      <c r="I258" s="14" t="s">
        <v>570</v>
      </c>
      <c r="J258" s="265">
        <v>6.4939999999999998E-3</v>
      </c>
      <c r="K258" s="26" t="s">
        <v>571</v>
      </c>
      <c r="L258" s="120">
        <v>24728040655</v>
      </c>
      <c r="M258" s="120">
        <v>0</v>
      </c>
      <c r="N258" s="122"/>
      <c r="O258" s="122" t="s">
        <v>1753</v>
      </c>
      <c r="P258" s="185">
        <v>0.2</v>
      </c>
      <c r="Q258" s="186">
        <v>0.3</v>
      </c>
      <c r="R258" s="186">
        <v>0.2</v>
      </c>
      <c r="S258" s="186">
        <v>0.3</v>
      </c>
      <c r="T258" s="186" t="s">
        <v>1427</v>
      </c>
      <c r="U258" s="52" t="s">
        <v>572</v>
      </c>
      <c r="V258" s="15">
        <v>0.1</v>
      </c>
      <c r="W258" s="26" t="s">
        <v>573</v>
      </c>
      <c r="X258" s="26"/>
      <c r="Y258" s="14" t="s">
        <v>2587</v>
      </c>
      <c r="Z258" s="500" t="s">
        <v>2569</v>
      </c>
      <c r="AA258" s="239">
        <f t="shared" ref="AA258:AA276" si="43">+J258*V258</f>
        <v>6.4940000000000006E-4</v>
      </c>
      <c r="AB258" s="252">
        <v>0</v>
      </c>
      <c r="AC258" s="262">
        <f>+(Tabla1[[#This Row],[Avance PDI]]*100%)/Tabla1[[#This Row],[ponderacion_meta]]</f>
        <v>0</v>
      </c>
      <c r="AD258" s="257">
        <f>+Tabla1[[#This Row],[ponderacion_meta]]*Tabla1[[#This Row],[proyeccion_año1]]</f>
        <v>1.2988000000000001E-3</v>
      </c>
      <c r="AE258" s="257">
        <f>+Tabla1[[#This Row],[ponderacion_meta]]*Tabla1[[#This Row],[proyeccion_año2]]</f>
        <v>1.9481999999999998E-3</v>
      </c>
      <c r="AF258" s="257">
        <f>+Tabla1[[#This Row],[ponderacion_meta]]*Tabla1[[#This Row],[proyeccion_año3]]</f>
        <v>1.2988000000000001E-3</v>
      </c>
      <c r="AG258" s="257">
        <f>+Tabla1[[#This Row],[ponderacion_meta]]*Tabla1[[#This Row],[proyeccion_año4]]</f>
        <v>1.9481999999999998E-3</v>
      </c>
      <c r="AH258" s="397">
        <f>+SUM(AB258:AB431)</f>
        <v>2.6596669999999999E-2</v>
      </c>
      <c r="AI258" s="317">
        <f>+SUM(AC258:AC431)/40</f>
        <v>8.2625000000000032E-2</v>
      </c>
      <c r="AJ258" s="317">
        <f>+SUM($AC$258:$AC$431)/40</f>
        <v>8.2625000000000032E-2</v>
      </c>
      <c r="AK258" s="384">
        <f>+SUM(AB258:AB305)</f>
        <v>3.8964000000000004E-3</v>
      </c>
      <c r="AL258" s="322">
        <f>+SUM(AC258:AC305)/9</f>
        <v>6.666666666666668E-2</v>
      </c>
      <c r="AM258" s="326">
        <f>+SUM(AB258:AB297)</f>
        <v>3.2470000000000003E-3</v>
      </c>
      <c r="AN258" s="410">
        <f>+SUM(AC258:AC297)/7</f>
        <v>7.1428571428571438E-2</v>
      </c>
      <c r="AO258" s="358" t="e">
        <f>+([1]!Tabla1[[#This Row],[ponderacion_accion]]/10%)*AQ258</f>
        <v>#REF!</v>
      </c>
      <c r="AP258" s="358" t="e">
        <f>Tabla1[[#This Row],[ponderacion_meta]]*AO258</f>
        <v>#REF!</v>
      </c>
      <c r="AQ258" s="361"/>
      <c r="AR258" s="380">
        <v>0</v>
      </c>
      <c r="AS258" s="7" t="e">
        <f>+((SUM(AO258:AO263)*100)/100)</f>
        <v>#REF!</v>
      </c>
      <c r="AT258" s="521">
        <v>0</v>
      </c>
    </row>
    <row r="259" spans="1:46" ht="15" customHeight="1" x14ac:dyDescent="0.35">
      <c r="A259" s="236" t="s">
        <v>1151</v>
      </c>
      <c r="B259" s="400" t="s">
        <v>567</v>
      </c>
      <c r="C259" s="399" t="s">
        <v>1720</v>
      </c>
      <c r="D259" s="237" t="s">
        <v>1163</v>
      </c>
      <c r="E259" s="172" t="s">
        <v>568</v>
      </c>
      <c r="F259" s="176" t="s">
        <v>2608</v>
      </c>
      <c r="G259" s="160" t="s">
        <v>569</v>
      </c>
      <c r="H259" s="160" t="s">
        <v>1742</v>
      </c>
      <c r="I259" s="19" t="s">
        <v>570</v>
      </c>
      <c r="J259" s="267">
        <v>6.4939999999999998E-3</v>
      </c>
      <c r="K259" s="98" t="s">
        <v>571</v>
      </c>
      <c r="L259" s="132">
        <v>24728040655</v>
      </c>
      <c r="M259" s="132">
        <v>0</v>
      </c>
      <c r="N259" s="440"/>
      <c r="O259" s="440" t="s">
        <v>1753</v>
      </c>
      <c r="P259" s="204">
        <v>0.2</v>
      </c>
      <c r="Q259" s="205">
        <v>0.3</v>
      </c>
      <c r="R259" s="205">
        <v>0.2</v>
      </c>
      <c r="S259" s="205">
        <v>0.3</v>
      </c>
      <c r="T259" s="205" t="s">
        <v>1428</v>
      </c>
      <c r="U259" s="52" t="s">
        <v>574</v>
      </c>
      <c r="V259" s="15">
        <v>0.1</v>
      </c>
      <c r="W259" s="26" t="s">
        <v>575</v>
      </c>
      <c r="X259" s="26"/>
      <c r="Y259" s="14" t="s">
        <v>2587</v>
      </c>
      <c r="Z259" s="500" t="s">
        <v>2569</v>
      </c>
      <c r="AA259" s="239">
        <f t="shared" si="43"/>
        <v>6.4940000000000006E-4</v>
      </c>
      <c r="AB259" s="252">
        <v>0</v>
      </c>
      <c r="AC259" s="262">
        <f>+(Tabla1[[#This Row],[Avance PDI]]*100%)/Tabla1[[#This Row],[ponderacion_meta]]</f>
        <v>0</v>
      </c>
      <c r="AD259" s="257">
        <v>1.2988000000000001E-3</v>
      </c>
      <c r="AE259" s="257">
        <v>1.9481999999999998E-3</v>
      </c>
      <c r="AF259" s="257">
        <v>1.2988000000000001E-3</v>
      </c>
      <c r="AG259" s="257">
        <v>1.9481999999999998E-3</v>
      </c>
      <c r="AH259" s="396">
        <f>$AH$258</f>
        <v>2.6596669999999999E-2</v>
      </c>
      <c r="AI259" s="396">
        <f>$AI$258</f>
        <v>8.2625000000000032E-2</v>
      </c>
      <c r="AJ259" s="317">
        <f>+SUM($AC$258:$AC$431)/40</f>
        <v>8.2625000000000032E-2</v>
      </c>
      <c r="AK259" s="385">
        <v>3.8964000000000004E-3</v>
      </c>
      <c r="AL259" s="402">
        <f>$AL$258</f>
        <v>6.666666666666668E-2</v>
      </c>
      <c r="AM259" s="327">
        <v>0</v>
      </c>
      <c r="AN259" s="410">
        <f>$AN$258</f>
        <v>7.1428571428571438E-2</v>
      </c>
      <c r="AO259" s="359" t="e">
        <f>+([1]!Tabla1[[#This Row],[ponderacion_accion]]/10%)*AQ259</f>
        <v>#REF!</v>
      </c>
      <c r="AP259" s="359" t="e">
        <f>Tabla1[[#This Row],[ponderacion_meta]]*AO259</f>
        <v>#REF!</v>
      </c>
      <c r="AQ259" s="351"/>
      <c r="AR259" s="380">
        <v>0</v>
      </c>
      <c r="AS259" s="9"/>
      <c r="AT259" s="521">
        <v>0</v>
      </c>
    </row>
    <row r="260" spans="1:46" ht="15" customHeight="1" x14ac:dyDescent="0.35">
      <c r="A260" s="236" t="s">
        <v>1151</v>
      </c>
      <c r="B260" s="400" t="s">
        <v>567</v>
      </c>
      <c r="C260" s="399" t="s">
        <v>1720</v>
      </c>
      <c r="D260" s="237" t="s">
        <v>1163</v>
      </c>
      <c r="E260" s="172" t="s">
        <v>568</v>
      </c>
      <c r="F260" s="176" t="s">
        <v>2608</v>
      </c>
      <c r="G260" s="160" t="s">
        <v>569</v>
      </c>
      <c r="H260" s="160" t="s">
        <v>1742</v>
      </c>
      <c r="I260" s="19" t="s">
        <v>570</v>
      </c>
      <c r="J260" s="267">
        <v>6.4939999999999998E-3</v>
      </c>
      <c r="K260" s="98" t="s">
        <v>571</v>
      </c>
      <c r="L260" s="132">
        <v>24728040655</v>
      </c>
      <c r="M260" s="132">
        <v>0</v>
      </c>
      <c r="N260" s="440"/>
      <c r="O260" s="440" t="s">
        <v>1753</v>
      </c>
      <c r="P260" s="204">
        <v>0.2</v>
      </c>
      <c r="Q260" s="205">
        <v>0.3</v>
      </c>
      <c r="R260" s="205">
        <v>0.2</v>
      </c>
      <c r="S260" s="205">
        <v>0.3</v>
      </c>
      <c r="T260" s="205" t="s">
        <v>1429</v>
      </c>
      <c r="U260" s="52" t="s">
        <v>576</v>
      </c>
      <c r="V260" s="15">
        <v>0.1</v>
      </c>
      <c r="W260" s="26" t="s">
        <v>577</v>
      </c>
      <c r="X260" s="26"/>
      <c r="Y260" s="14" t="s">
        <v>2587</v>
      </c>
      <c r="Z260" s="500" t="s">
        <v>2569</v>
      </c>
      <c r="AA260" s="239">
        <f t="shared" si="43"/>
        <v>6.4940000000000006E-4</v>
      </c>
      <c r="AB260" s="252">
        <v>0</v>
      </c>
      <c r="AC260" s="262">
        <f>+(Tabla1[[#This Row],[Avance PDI]]*100%)/Tabla1[[#This Row],[ponderacion_meta]]</f>
        <v>0</v>
      </c>
      <c r="AD260" s="257">
        <v>1.2988000000000001E-3</v>
      </c>
      <c r="AE260" s="257">
        <v>1.9481999999999998E-3</v>
      </c>
      <c r="AF260" s="257">
        <v>1.2988000000000001E-3</v>
      </c>
      <c r="AG260" s="257">
        <v>1.9481999999999998E-3</v>
      </c>
      <c r="AH260" s="396">
        <f t="shared" ref="AH260:AH323" si="44">$AH$258</f>
        <v>2.6596669999999999E-2</v>
      </c>
      <c r="AI260" s="396">
        <f t="shared" ref="AI260:AI323" si="45">$AI$258</f>
        <v>8.2625000000000032E-2</v>
      </c>
      <c r="AJ260" s="317">
        <f t="shared" ref="AJ260:AJ322" si="46">+SUM($AC$258:$AC$431)/40</f>
        <v>8.2625000000000032E-2</v>
      </c>
      <c r="AK260" s="385">
        <v>3.8964000000000004E-3</v>
      </c>
      <c r="AL260" s="402">
        <f t="shared" ref="AL260:AL305" si="47">$AL$258</f>
        <v>6.666666666666668E-2</v>
      </c>
      <c r="AM260" s="327">
        <v>0</v>
      </c>
      <c r="AN260" s="410">
        <f t="shared" ref="AN260:AN297" si="48">$AN$258</f>
        <v>7.1428571428571438E-2</v>
      </c>
      <c r="AO260" s="359" t="e">
        <f>+([1]!Tabla1[[#This Row],[ponderacion_accion]]/10%)*AQ260</f>
        <v>#REF!</v>
      </c>
      <c r="AP260" s="359" t="e">
        <f>Tabla1[[#This Row],[ponderacion_meta]]*AO260</f>
        <v>#REF!</v>
      </c>
      <c r="AQ260" s="351"/>
      <c r="AR260" s="380">
        <v>0</v>
      </c>
      <c r="AS260" s="9"/>
      <c r="AT260" s="521">
        <v>0</v>
      </c>
    </row>
    <row r="261" spans="1:46" ht="15" customHeight="1" x14ac:dyDescent="0.35">
      <c r="A261" s="236" t="s">
        <v>1151</v>
      </c>
      <c r="B261" s="400" t="s">
        <v>567</v>
      </c>
      <c r="C261" s="399" t="s">
        <v>1720</v>
      </c>
      <c r="D261" s="237" t="s">
        <v>1163</v>
      </c>
      <c r="E261" s="172" t="s">
        <v>568</v>
      </c>
      <c r="F261" s="176" t="s">
        <v>2608</v>
      </c>
      <c r="G261" s="160" t="s">
        <v>569</v>
      </c>
      <c r="H261" s="160" t="s">
        <v>1742</v>
      </c>
      <c r="I261" s="19" t="s">
        <v>570</v>
      </c>
      <c r="J261" s="267">
        <v>6.4939999999999998E-3</v>
      </c>
      <c r="K261" s="98" t="s">
        <v>571</v>
      </c>
      <c r="L261" s="132">
        <v>24728040655</v>
      </c>
      <c r="M261" s="132">
        <v>0</v>
      </c>
      <c r="N261" s="440"/>
      <c r="O261" s="440" t="s">
        <v>1753</v>
      </c>
      <c r="P261" s="204">
        <v>0.2</v>
      </c>
      <c r="Q261" s="205">
        <v>0.3</v>
      </c>
      <c r="R261" s="205">
        <v>0.2</v>
      </c>
      <c r="S261" s="205">
        <v>0.3</v>
      </c>
      <c r="T261" s="205" t="s">
        <v>1430</v>
      </c>
      <c r="U261" s="52" t="s">
        <v>578</v>
      </c>
      <c r="V261" s="15">
        <v>0.1</v>
      </c>
      <c r="W261" s="26" t="s">
        <v>579</v>
      </c>
      <c r="X261" s="26"/>
      <c r="Y261" s="14" t="s">
        <v>2587</v>
      </c>
      <c r="Z261" s="500" t="s">
        <v>2569</v>
      </c>
      <c r="AA261" s="239">
        <f t="shared" si="43"/>
        <v>6.4940000000000006E-4</v>
      </c>
      <c r="AB261" s="252">
        <v>0</v>
      </c>
      <c r="AC261" s="262">
        <f>+(Tabla1[[#This Row],[Avance PDI]]*100%)/Tabla1[[#This Row],[ponderacion_meta]]</f>
        <v>0</v>
      </c>
      <c r="AD261" s="257">
        <v>1.2988000000000001E-3</v>
      </c>
      <c r="AE261" s="257">
        <v>1.9481999999999998E-3</v>
      </c>
      <c r="AF261" s="257">
        <v>1.2988000000000001E-3</v>
      </c>
      <c r="AG261" s="257">
        <v>1.9481999999999998E-3</v>
      </c>
      <c r="AH261" s="396">
        <f t="shared" si="44"/>
        <v>2.6596669999999999E-2</v>
      </c>
      <c r="AI261" s="396">
        <f t="shared" si="45"/>
        <v>8.2625000000000032E-2</v>
      </c>
      <c r="AJ261" s="317">
        <f t="shared" si="46"/>
        <v>8.2625000000000032E-2</v>
      </c>
      <c r="AK261" s="385">
        <v>3.8964000000000004E-3</v>
      </c>
      <c r="AL261" s="402">
        <f t="shared" si="47"/>
        <v>6.666666666666668E-2</v>
      </c>
      <c r="AM261" s="327">
        <v>0</v>
      </c>
      <c r="AN261" s="410">
        <f t="shared" si="48"/>
        <v>7.1428571428571438E-2</v>
      </c>
      <c r="AO261" s="359" t="e">
        <f>+([1]!Tabla1[[#This Row],[ponderacion_accion]]/10%)*AQ261</f>
        <v>#REF!</v>
      </c>
      <c r="AP261" s="359" t="e">
        <f>Tabla1[[#This Row],[ponderacion_meta]]*AO261</f>
        <v>#REF!</v>
      </c>
      <c r="AQ261" s="351"/>
      <c r="AR261" s="380">
        <v>0</v>
      </c>
      <c r="AS261" s="9"/>
      <c r="AT261" s="521">
        <v>0</v>
      </c>
    </row>
    <row r="262" spans="1:46" ht="15" customHeight="1" x14ac:dyDescent="0.35">
      <c r="A262" s="236" t="s">
        <v>1151</v>
      </c>
      <c r="B262" s="400" t="s">
        <v>567</v>
      </c>
      <c r="C262" s="399" t="s">
        <v>1720</v>
      </c>
      <c r="D262" s="237" t="s">
        <v>1163</v>
      </c>
      <c r="E262" s="172" t="s">
        <v>568</v>
      </c>
      <c r="F262" s="176" t="s">
        <v>2608</v>
      </c>
      <c r="G262" s="160" t="s">
        <v>569</v>
      </c>
      <c r="H262" s="160" t="s">
        <v>1742</v>
      </c>
      <c r="I262" s="19" t="s">
        <v>570</v>
      </c>
      <c r="J262" s="267">
        <v>6.4939999999999998E-3</v>
      </c>
      <c r="K262" s="98" t="s">
        <v>571</v>
      </c>
      <c r="L262" s="132">
        <v>24728040655</v>
      </c>
      <c r="M262" s="132">
        <v>0</v>
      </c>
      <c r="N262" s="440"/>
      <c r="O262" s="440" t="s">
        <v>1753</v>
      </c>
      <c r="P262" s="204">
        <v>0.2</v>
      </c>
      <c r="Q262" s="205">
        <v>0.3</v>
      </c>
      <c r="R262" s="205">
        <v>0.2</v>
      </c>
      <c r="S262" s="205">
        <v>0.3</v>
      </c>
      <c r="T262" s="205" t="s">
        <v>1431</v>
      </c>
      <c r="U262" s="52" t="s">
        <v>580</v>
      </c>
      <c r="V262" s="15">
        <v>0.1</v>
      </c>
      <c r="W262" s="26" t="s">
        <v>581</v>
      </c>
      <c r="X262" s="26"/>
      <c r="Y262" s="14" t="s">
        <v>2587</v>
      </c>
      <c r="Z262" s="500" t="s">
        <v>2569</v>
      </c>
      <c r="AA262" s="239">
        <f t="shared" si="43"/>
        <v>6.4940000000000006E-4</v>
      </c>
      <c r="AB262" s="252">
        <v>0</v>
      </c>
      <c r="AC262" s="262">
        <f>+(Tabla1[[#This Row],[Avance PDI]]*100%)/Tabla1[[#This Row],[ponderacion_meta]]</f>
        <v>0</v>
      </c>
      <c r="AD262" s="257">
        <v>1.2988000000000001E-3</v>
      </c>
      <c r="AE262" s="257">
        <v>1.9481999999999998E-3</v>
      </c>
      <c r="AF262" s="257">
        <v>1.2988000000000001E-3</v>
      </c>
      <c r="AG262" s="257">
        <v>1.9481999999999998E-3</v>
      </c>
      <c r="AH262" s="396">
        <f t="shared" si="44"/>
        <v>2.6596669999999999E-2</v>
      </c>
      <c r="AI262" s="396">
        <f t="shared" si="45"/>
        <v>8.2625000000000032E-2</v>
      </c>
      <c r="AJ262" s="317">
        <f t="shared" si="46"/>
        <v>8.2625000000000032E-2</v>
      </c>
      <c r="AK262" s="385">
        <v>3.8964000000000004E-3</v>
      </c>
      <c r="AL262" s="402">
        <f t="shared" si="47"/>
        <v>6.666666666666668E-2</v>
      </c>
      <c r="AM262" s="327">
        <v>0</v>
      </c>
      <c r="AN262" s="410">
        <f t="shared" si="48"/>
        <v>7.1428571428571438E-2</v>
      </c>
      <c r="AO262" s="359" t="e">
        <f>+([1]!Tabla1[[#This Row],[ponderacion_accion]]/10%)*AQ262</f>
        <v>#REF!</v>
      </c>
      <c r="AP262" s="359" t="e">
        <f>Tabla1[[#This Row],[ponderacion_meta]]*AO262</f>
        <v>#REF!</v>
      </c>
      <c r="AQ262" s="351"/>
      <c r="AR262" s="380">
        <v>0</v>
      </c>
      <c r="AS262" s="9"/>
      <c r="AT262" s="521">
        <v>0</v>
      </c>
    </row>
    <row r="263" spans="1:46" ht="15" customHeight="1" x14ac:dyDescent="0.35">
      <c r="A263" s="236" t="s">
        <v>1151</v>
      </c>
      <c r="B263" s="400" t="s">
        <v>567</v>
      </c>
      <c r="C263" s="399" t="s">
        <v>1720</v>
      </c>
      <c r="D263" s="237" t="s">
        <v>1163</v>
      </c>
      <c r="E263" s="172" t="s">
        <v>568</v>
      </c>
      <c r="F263" s="176" t="s">
        <v>2608</v>
      </c>
      <c r="G263" s="160" t="s">
        <v>569</v>
      </c>
      <c r="H263" s="160" t="s">
        <v>1742</v>
      </c>
      <c r="I263" s="19" t="s">
        <v>570</v>
      </c>
      <c r="J263" s="267">
        <v>6.4939999999999998E-3</v>
      </c>
      <c r="K263" s="98" t="s">
        <v>571</v>
      </c>
      <c r="L263" s="132">
        <v>24728040655</v>
      </c>
      <c r="M263" s="132">
        <v>0</v>
      </c>
      <c r="N263" s="440"/>
      <c r="O263" s="440" t="s">
        <v>1753</v>
      </c>
      <c r="P263" s="204">
        <v>0.2</v>
      </c>
      <c r="Q263" s="205">
        <v>0.3</v>
      </c>
      <c r="R263" s="205">
        <v>0.2</v>
      </c>
      <c r="S263" s="205">
        <v>0.3</v>
      </c>
      <c r="T263" s="205" t="s">
        <v>1432</v>
      </c>
      <c r="U263" s="52" t="s">
        <v>582</v>
      </c>
      <c r="V263" s="15">
        <v>0.5</v>
      </c>
      <c r="W263" s="26" t="s">
        <v>583</v>
      </c>
      <c r="X263" s="26"/>
      <c r="Y263" s="14" t="s">
        <v>2587</v>
      </c>
      <c r="Z263" s="500" t="s">
        <v>2569</v>
      </c>
      <c r="AA263" s="239">
        <f t="shared" si="43"/>
        <v>3.2469999999999999E-3</v>
      </c>
      <c r="AB263" s="252">
        <v>0</v>
      </c>
      <c r="AC263" s="262">
        <f>+(Tabla1[[#This Row],[Avance PDI]]*100%)/Tabla1[[#This Row],[ponderacion_meta]]</f>
        <v>0</v>
      </c>
      <c r="AD263" s="257">
        <v>1.2988000000000001E-3</v>
      </c>
      <c r="AE263" s="257">
        <v>1.9481999999999998E-3</v>
      </c>
      <c r="AF263" s="257">
        <v>1.2988000000000001E-3</v>
      </c>
      <c r="AG263" s="257">
        <v>1.9481999999999998E-3</v>
      </c>
      <c r="AH263" s="396">
        <f t="shared" si="44"/>
        <v>2.6596669999999999E-2</v>
      </c>
      <c r="AI263" s="396">
        <f t="shared" si="45"/>
        <v>8.2625000000000032E-2</v>
      </c>
      <c r="AJ263" s="317">
        <f t="shared" si="46"/>
        <v>8.2625000000000032E-2</v>
      </c>
      <c r="AK263" s="385">
        <v>3.8964000000000004E-3</v>
      </c>
      <c r="AL263" s="402">
        <f t="shared" si="47"/>
        <v>6.666666666666668E-2</v>
      </c>
      <c r="AM263" s="327">
        <v>0</v>
      </c>
      <c r="AN263" s="410">
        <f t="shared" si="48"/>
        <v>7.1428571428571438E-2</v>
      </c>
      <c r="AO263" s="360" t="e">
        <f>+([1]!Tabla1[[#This Row],[ponderacion_accion]]/50%)*AQ263</f>
        <v>#REF!</v>
      </c>
      <c r="AP263" s="360" t="e">
        <f>Tabla1[[#This Row],[ponderacion_meta]]*AO263</f>
        <v>#REF!</v>
      </c>
      <c r="AQ263" s="356"/>
      <c r="AR263" s="380">
        <v>0</v>
      </c>
      <c r="AS263" s="9"/>
      <c r="AT263" s="521">
        <v>0</v>
      </c>
    </row>
    <row r="264" spans="1:46" ht="15" customHeight="1" x14ac:dyDescent="0.35">
      <c r="A264" s="236" t="s">
        <v>1151</v>
      </c>
      <c r="B264" s="400" t="s">
        <v>567</v>
      </c>
      <c r="C264" s="399" t="s">
        <v>1720</v>
      </c>
      <c r="D264" s="237" t="s">
        <v>1163</v>
      </c>
      <c r="E264" s="172" t="s">
        <v>568</v>
      </c>
      <c r="F264" s="176" t="s">
        <v>2608</v>
      </c>
      <c r="G264" s="160" t="s">
        <v>569</v>
      </c>
      <c r="H264" s="160" t="s">
        <v>1742</v>
      </c>
      <c r="I264" s="23" t="s">
        <v>584</v>
      </c>
      <c r="J264" s="264">
        <v>6.4939999999999998E-3</v>
      </c>
      <c r="K264" s="28" t="s">
        <v>585</v>
      </c>
      <c r="L264" s="118">
        <v>97178948879</v>
      </c>
      <c r="M264" s="118">
        <v>0</v>
      </c>
      <c r="N264" s="123"/>
      <c r="O264" s="123" t="s">
        <v>1753</v>
      </c>
      <c r="P264" s="183">
        <v>0.1</v>
      </c>
      <c r="Q264" s="184">
        <v>0.3</v>
      </c>
      <c r="R264" s="184">
        <v>0.2</v>
      </c>
      <c r="S264" s="184">
        <v>0.4</v>
      </c>
      <c r="T264" s="184" t="s">
        <v>1433</v>
      </c>
      <c r="U264" s="53" t="s">
        <v>586</v>
      </c>
      <c r="V264" s="25">
        <v>0.1</v>
      </c>
      <c r="W264" s="24" t="s">
        <v>573</v>
      </c>
      <c r="X264" s="24"/>
      <c r="Y264" s="23" t="s">
        <v>2587</v>
      </c>
      <c r="Z264" s="490" t="s">
        <v>2569</v>
      </c>
      <c r="AA264" s="238">
        <f t="shared" si="43"/>
        <v>6.4940000000000006E-4</v>
      </c>
      <c r="AB264" s="252">
        <v>0</v>
      </c>
      <c r="AC264" s="278">
        <f>+(Tabla1[[#This Row],[Avance PDI]]*100%)/Tabla1[[#This Row],[ponderacion_meta]]</f>
        <v>0</v>
      </c>
      <c r="AD264" s="279">
        <f>+Tabla1[[#This Row],[ponderacion_meta]]*Tabla1[[#This Row],[proyeccion_año1]]</f>
        <v>6.4940000000000006E-4</v>
      </c>
      <c r="AE264" s="279">
        <f>+Tabla1[[#This Row],[ponderacion_meta]]*Tabla1[[#This Row],[proyeccion_año2]]</f>
        <v>1.9481999999999998E-3</v>
      </c>
      <c r="AF264" s="279">
        <f>+Tabla1[[#This Row],[ponderacion_meta]]*Tabla1[[#This Row],[proyeccion_año3]]</f>
        <v>1.2988000000000001E-3</v>
      </c>
      <c r="AG264" s="279">
        <f>+Tabla1[[#This Row],[ponderacion_meta]]*Tabla1[[#This Row],[proyeccion_año4]]</f>
        <v>2.5976000000000003E-3</v>
      </c>
      <c r="AH264" s="396">
        <f t="shared" si="44"/>
        <v>2.6596669999999999E-2</v>
      </c>
      <c r="AI264" s="396">
        <f t="shared" si="45"/>
        <v>8.2625000000000032E-2</v>
      </c>
      <c r="AJ264" s="317">
        <f t="shared" si="46"/>
        <v>8.2625000000000032E-2</v>
      </c>
      <c r="AK264" s="385">
        <v>3.8964000000000004E-3</v>
      </c>
      <c r="AL264" s="402">
        <f t="shared" si="47"/>
        <v>6.666666666666668E-2</v>
      </c>
      <c r="AM264" s="327">
        <v>0</v>
      </c>
      <c r="AN264" s="410">
        <f t="shared" si="48"/>
        <v>7.1428571428571438E-2</v>
      </c>
      <c r="AO264" s="343" t="e">
        <f>+([1]!Tabla1[[#This Row],[ponderacion_accion]]/10%)*AQ264</f>
        <v>#REF!</v>
      </c>
      <c r="AP264" s="343" t="e">
        <f>Tabla1[[#This Row],[ponderacion_meta]]*AO264</f>
        <v>#REF!</v>
      </c>
      <c r="AQ264" s="353"/>
      <c r="AR264" s="380">
        <v>0</v>
      </c>
      <c r="AS264" s="7" t="e">
        <f>+((SUM(AO264:AO269)*100)/40)</f>
        <v>#REF!</v>
      </c>
      <c r="AT264" s="521">
        <v>0</v>
      </c>
    </row>
    <row r="265" spans="1:46" ht="15" customHeight="1" x14ac:dyDescent="0.35">
      <c r="A265" s="236" t="s">
        <v>1151</v>
      </c>
      <c r="B265" s="400" t="s">
        <v>567</v>
      </c>
      <c r="C265" s="399" t="s">
        <v>1720</v>
      </c>
      <c r="D265" s="237" t="s">
        <v>1163</v>
      </c>
      <c r="E265" s="172" t="s">
        <v>568</v>
      </c>
      <c r="F265" s="176" t="s">
        <v>2608</v>
      </c>
      <c r="G265" s="160" t="s">
        <v>569</v>
      </c>
      <c r="H265" s="160" t="s">
        <v>1742</v>
      </c>
      <c r="I265" s="30" t="s">
        <v>584</v>
      </c>
      <c r="J265" s="266">
        <v>6.4939999999999998E-3</v>
      </c>
      <c r="K265" s="28" t="s">
        <v>585</v>
      </c>
      <c r="L265" s="133">
        <v>97178948879</v>
      </c>
      <c r="M265" s="133">
        <v>0</v>
      </c>
      <c r="N265" s="441"/>
      <c r="O265" s="441" t="s">
        <v>1753</v>
      </c>
      <c r="P265" s="213">
        <v>0.1</v>
      </c>
      <c r="Q265" s="214">
        <v>0.3</v>
      </c>
      <c r="R265" s="214">
        <v>0.2</v>
      </c>
      <c r="S265" s="214">
        <v>0.4</v>
      </c>
      <c r="T265" s="214" t="s">
        <v>1434</v>
      </c>
      <c r="U265" s="53" t="s">
        <v>587</v>
      </c>
      <c r="V265" s="25">
        <v>0.1</v>
      </c>
      <c r="W265" s="24" t="s">
        <v>575</v>
      </c>
      <c r="X265" s="24"/>
      <c r="Y265" s="23" t="s">
        <v>2587</v>
      </c>
      <c r="Z265" s="491" t="s">
        <v>2569</v>
      </c>
      <c r="AA265" s="238">
        <f t="shared" si="43"/>
        <v>6.4940000000000006E-4</v>
      </c>
      <c r="AB265" s="252">
        <v>0</v>
      </c>
      <c r="AC265" s="278">
        <f>+(Tabla1[[#This Row],[Avance PDI]]*100%)/Tabla1[[#This Row],[ponderacion_meta]]</f>
        <v>0</v>
      </c>
      <c r="AD265" s="279">
        <v>6.4940000000000006E-4</v>
      </c>
      <c r="AE265" s="279">
        <v>1.9481999999999998E-3</v>
      </c>
      <c r="AF265" s="279">
        <v>1.2988000000000001E-3</v>
      </c>
      <c r="AG265" s="279">
        <v>2.5976000000000003E-3</v>
      </c>
      <c r="AH265" s="396">
        <f t="shared" si="44"/>
        <v>2.6596669999999999E-2</v>
      </c>
      <c r="AI265" s="396">
        <f t="shared" si="45"/>
        <v>8.2625000000000032E-2</v>
      </c>
      <c r="AJ265" s="317">
        <f t="shared" si="46"/>
        <v>8.2625000000000032E-2</v>
      </c>
      <c r="AK265" s="385">
        <v>3.8964000000000004E-3</v>
      </c>
      <c r="AL265" s="402">
        <f t="shared" si="47"/>
        <v>6.666666666666668E-2</v>
      </c>
      <c r="AM265" s="327">
        <v>0</v>
      </c>
      <c r="AN265" s="410">
        <f t="shared" si="48"/>
        <v>7.1428571428571438E-2</v>
      </c>
      <c r="AO265" s="344" t="e">
        <f>+([1]!Tabla1[[#This Row],[ponderacion_accion]]/10%)*AQ265</f>
        <v>#REF!</v>
      </c>
      <c r="AP265" s="344" t="e">
        <f>Tabla1[[#This Row],[ponderacion_meta]]*AO265</f>
        <v>#REF!</v>
      </c>
      <c r="AQ265" s="354"/>
      <c r="AR265" s="380">
        <v>0</v>
      </c>
      <c r="AS265" s="9"/>
      <c r="AT265" s="521">
        <v>0</v>
      </c>
    </row>
    <row r="266" spans="1:46" ht="15" customHeight="1" x14ac:dyDescent="0.35">
      <c r="A266" s="236" t="s">
        <v>1151</v>
      </c>
      <c r="B266" s="400" t="s">
        <v>567</v>
      </c>
      <c r="C266" s="399" t="s">
        <v>1720</v>
      </c>
      <c r="D266" s="237" t="s">
        <v>1163</v>
      </c>
      <c r="E266" s="172" t="s">
        <v>568</v>
      </c>
      <c r="F266" s="176" t="s">
        <v>2608</v>
      </c>
      <c r="G266" s="160" t="s">
        <v>569</v>
      </c>
      <c r="H266" s="160" t="s">
        <v>1742</v>
      </c>
      <c r="I266" s="30" t="s">
        <v>584</v>
      </c>
      <c r="J266" s="266">
        <v>6.4939999999999998E-3</v>
      </c>
      <c r="K266" s="28" t="s">
        <v>585</v>
      </c>
      <c r="L266" s="133">
        <v>97178948879</v>
      </c>
      <c r="M266" s="133">
        <v>0</v>
      </c>
      <c r="N266" s="441"/>
      <c r="O266" s="441" t="s">
        <v>1753</v>
      </c>
      <c r="P266" s="213">
        <v>0.1</v>
      </c>
      <c r="Q266" s="214">
        <v>0.3</v>
      </c>
      <c r="R266" s="214">
        <v>0.2</v>
      </c>
      <c r="S266" s="214">
        <v>0.4</v>
      </c>
      <c r="T266" s="214" t="s">
        <v>1435</v>
      </c>
      <c r="U266" s="53" t="s">
        <v>588</v>
      </c>
      <c r="V266" s="25">
        <v>0.1</v>
      </c>
      <c r="W266" s="24" t="s">
        <v>577</v>
      </c>
      <c r="X266" s="24"/>
      <c r="Y266" s="23" t="s">
        <v>2587</v>
      </c>
      <c r="Z266" s="491" t="s">
        <v>2569</v>
      </c>
      <c r="AA266" s="238">
        <f t="shared" si="43"/>
        <v>6.4940000000000006E-4</v>
      </c>
      <c r="AB266" s="252">
        <v>0</v>
      </c>
      <c r="AC266" s="278">
        <f>+(Tabla1[[#This Row],[Avance PDI]]*100%)/Tabla1[[#This Row],[ponderacion_meta]]</f>
        <v>0</v>
      </c>
      <c r="AD266" s="279">
        <v>6.4940000000000006E-4</v>
      </c>
      <c r="AE266" s="279">
        <v>1.9481999999999998E-3</v>
      </c>
      <c r="AF266" s="279">
        <v>1.2988000000000001E-3</v>
      </c>
      <c r="AG266" s="279">
        <v>2.5976000000000003E-3</v>
      </c>
      <c r="AH266" s="396">
        <f t="shared" si="44"/>
        <v>2.6596669999999999E-2</v>
      </c>
      <c r="AI266" s="396">
        <f t="shared" si="45"/>
        <v>8.2625000000000032E-2</v>
      </c>
      <c r="AJ266" s="317">
        <f t="shared" si="46"/>
        <v>8.2625000000000032E-2</v>
      </c>
      <c r="AK266" s="385">
        <v>3.8964000000000004E-3</v>
      </c>
      <c r="AL266" s="402">
        <f t="shared" si="47"/>
        <v>6.666666666666668E-2</v>
      </c>
      <c r="AM266" s="327">
        <v>0</v>
      </c>
      <c r="AN266" s="410">
        <f t="shared" si="48"/>
        <v>7.1428571428571438E-2</v>
      </c>
      <c r="AO266" s="344" t="e">
        <f>+([1]!Tabla1[[#This Row],[ponderacion_accion]]/10%)*AQ266</f>
        <v>#REF!</v>
      </c>
      <c r="AP266" s="344" t="e">
        <f>Tabla1[[#This Row],[ponderacion_meta]]*AO266</f>
        <v>#REF!</v>
      </c>
      <c r="AQ266" s="354"/>
      <c r="AR266" s="380">
        <v>0</v>
      </c>
      <c r="AS266" s="9"/>
      <c r="AT266" s="521">
        <v>0</v>
      </c>
    </row>
    <row r="267" spans="1:46" ht="15" customHeight="1" x14ac:dyDescent="0.35">
      <c r="A267" s="236" t="s">
        <v>1151</v>
      </c>
      <c r="B267" s="400" t="s">
        <v>567</v>
      </c>
      <c r="C267" s="399" t="s">
        <v>1720</v>
      </c>
      <c r="D267" s="237" t="s">
        <v>1163</v>
      </c>
      <c r="E267" s="172" t="s">
        <v>568</v>
      </c>
      <c r="F267" s="176" t="s">
        <v>2608</v>
      </c>
      <c r="G267" s="160" t="s">
        <v>569</v>
      </c>
      <c r="H267" s="160" t="s">
        <v>1742</v>
      </c>
      <c r="I267" s="30" t="s">
        <v>584</v>
      </c>
      <c r="J267" s="266">
        <v>6.4939999999999998E-3</v>
      </c>
      <c r="K267" s="28" t="s">
        <v>585</v>
      </c>
      <c r="L267" s="133">
        <v>97178948879</v>
      </c>
      <c r="M267" s="133">
        <v>0</v>
      </c>
      <c r="N267" s="441"/>
      <c r="O267" s="441" t="s">
        <v>1753</v>
      </c>
      <c r="P267" s="213">
        <v>0.1</v>
      </c>
      <c r="Q267" s="214">
        <v>0.3</v>
      </c>
      <c r="R267" s="214">
        <v>0.2</v>
      </c>
      <c r="S267" s="214">
        <v>0.4</v>
      </c>
      <c r="T267" s="214" t="s">
        <v>1436</v>
      </c>
      <c r="U267" s="53" t="s">
        <v>589</v>
      </c>
      <c r="V267" s="25">
        <v>0.1</v>
      </c>
      <c r="W267" s="24" t="s">
        <v>579</v>
      </c>
      <c r="X267" s="24"/>
      <c r="Y267" s="23" t="s">
        <v>2587</v>
      </c>
      <c r="Z267" s="491" t="s">
        <v>2569</v>
      </c>
      <c r="AA267" s="238">
        <f t="shared" si="43"/>
        <v>6.4940000000000006E-4</v>
      </c>
      <c r="AB267" s="252">
        <v>0</v>
      </c>
      <c r="AC267" s="278">
        <f>+(Tabla1[[#This Row],[Avance PDI]]*100%)/Tabla1[[#This Row],[ponderacion_meta]]</f>
        <v>0</v>
      </c>
      <c r="AD267" s="279">
        <v>6.4940000000000006E-4</v>
      </c>
      <c r="AE267" s="279">
        <v>1.9481999999999998E-3</v>
      </c>
      <c r="AF267" s="279">
        <v>1.2988000000000001E-3</v>
      </c>
      <c r="AG267" s="279">
        <v>2.5976000000000003E-3</v>
      </c>
      <c r="AH267" s="396">
        <f t="shared" si="44"/>
        <v>2.6596669999999999E-2</v>
      </c>
      <c r="AI267" s="396">
        <f t="shared" si="45"/>
        <v>8.2625000000000032E-2</v>
      </c>
      <c r="AJ267" s="317">
        <f t="shared" si="46"/>
        <v>8.2625000000000032E-2</v>
      </c>
      <c r="AK267" s="385">
        <v>3.8964000000000004E-3</v>
      </c>
      <c r="AL267" s="402">
        <f t="shared" si="47"/>
        <v>6.666666666666668E-2</v>
      </c>
      <c r="AM267" s="327">
        <v>0</v>
      </c>
      <c r="AN267" s="410">
        <f t="shared" si="48"/>
        <v>7.1428571428571438E-2</v>
      </c>
      <c r="AO267" s="344" t="e">
        <f>+([1]!Tabla1[[#This Row],[ponderacion_accion]]/10%)*AQ267</f>
        <v>#REF!</v>
      </c>
      <c r="AP267" s="344" t="e">
        <f>Tabla1[[#This Row],[ponderacion_meta]]*AO267</f>
        <v>#REF!</v>
      </c>
      <c r="AQ267" s="354"/>
      <c r="AR267" s="380">
        <v>0</v>
      </c>
      <c r="AS267" s="9"/>
      <c r="AT267" s="521">
        <v>0</v>
      </c>
    </row>
    <row r="268" spans="1:46" ht="15" customHeight="1" x14ac:dyDescent="0.35">
      <c r="A268" s="236" t="s">
        <v>1151</v>
      </c>
      <c r="B268" s="400" t="s">
        <v>567</v>
      </c>
      <c r="C268" s="399" t="s">
        <v>1720</v>
      </c>
      <c r="D268" s="237" t="s">
        <v>1163</v>
      </c>
      <c r="E268" s="172" t="s">
        <v>568</v>
      </c>
      <c r="F268" s="176" t="s">
        <v>2608</v>
      </c>
      <c r="G268" s="160" t="s">
        <v>569</v>
      </c>
      <c r="H268" s="160" t="s">
        <v>1742</v>
      </c>
      <c r="I268" s="30" t="s">
        <v>584</v>
      </c>
      <c r="J268" s="266">
        <v>6.4939999999999998E-3</v>
      </c>
      <c r="K268" s="28" t="s">
        <v>585</v>
      </c>
      <c r="L268" s="133">
        <v>97178948879</v>
      </c>
      <c r="M268" s="133">
        <v>0</v>
      </c>
      <c r="N268" s="441"/>
      <c r="O268" s="441" t="s">
        <v>1753</v>
      </c>
      <c r="P268" s="213">
        <v>0.1</v>
      </c>
      <c r="Q268" s="214">
        <v>0.3</v>
      </c>
      <c r="R268" s="214">
        <v>0.2</v>
      </c>
      <c r="S268" s="214">
        <v>0.4</v>
      </c>
      <c r="T268" s="214" t="s">
        <v>1437</v>
      </c>
      <c r="U268" s="53" t="s">
        <v>590</v>
      </c>
      <c r="V268" s="25">
        <v>0.1</v>
      </c>
      <c r="W268" s="24" t="s">
        <v>581</v>
      </c>
      <c r="X268" s="24"/>
      <c r="Y268" s="23" t="s">
        <v>2588</v>
      </c>
      <c r="Z268" s="491" t="s">
        <v>2569</v>
      </c>
      <c r="AA268" s="238">
        <f t="shared" si="43"/>
        <v>6.4940000000000006E-4</v>
      </c>
      <c r="AB268" s="252">
        <v>0</v>
      </c>
      <c r="AC268" s="278">
        <f>+(Tabla1[[#This Row],[Avance PDI]]*100%)/Tabla1[[#This Row],[ponderacion_meta]]</f>
        <v>0</v>
      </c>
      <c r="AD268" s="279">
        <v>6.4940000000000006E-4</v>
      </c>
      <c r="AE268" s="279">
        <v>1.9481999999999998E-3</v>
      </c>
      <c r="AF268" s="279">
        <v>1.2988000000000001E-3</v>
      </c>
      <c r="AG268" s="279">
        <v>2.5976000000000003E-3</v>
      </c>
      <c r="AH268" s="396">
        <f t="shared" si="44"/>
        <v>2.6596669999999999E-2</v>
      </c>
      <c r="AI268" s="396">
        <f t="shared" si="45"/>
        <v>8.2625000000000032E-2</v>
      </c>
      <c r="AJ268" s="317">
        <f t="shared" si="46"/>
        <v>8.2625000000000032E-2</v>
      </c>
      <c r="AK268" s="385">
        <v>3.8964000000000004E-3</v>
      </c>
      <c r="AL268" s="402">
        <f t="shared" si="47"/>
        <v>6.666666666666668E-2</v>
      </c>
      <c r="AM268" s="327">
        <v>0</v>
      </c>
      <c r="AN268" s="410">
        <f t="shared" si="48"/>
        <v>7.1428571428571438E-2</v>
      </c>
      <c r="AO268" s="344" t="e">
        <f>+([1]!Tabla1[[#This Row],[ponderacion_accion]]/10%)*AQ268</f>
        <v>#REF!</v>
      </c>
      <c r="AP268" s="344" t="e">
        <f>Tabla1[[#This Row],[ponderacion_meta]]*AO268</f>
        <v>#REF!</v>
      </c>
      <c r="AQ268" s="354"/>
      <c r="AR268" s="380">
        <v>0</v>
      </c>
      <c r="AS268" s="9"/>
      <c r="AT268" s="521">
        <v>0</v>
      </c>
    </row>
    <row r="269" spans="1:46" ht="15" customHeight="1" x14ac:dyDescent="0.35">
      <c r="A269" s="236" t="s">
        <v>1151</v>
      </c>
      <c r="B269" s="400" t="s">
        <v>567</v>
      </c>
      <c r="C269" s="399" t="s">
        <v>1720</v>
      </c>
      <c r="D269" s="237" t="s">
        <v>1163</v>
      </c>
      <c r="E269" s="172" t="s">
        <v>568</v>
      </c>
      <c r="F269" s="176" t="s">
        <v>2608</v>
      </c>
      <c r="G269" s="160" t="s">
        <v>569</v>
      </c>
      <c r="H269" s="160" t="s">
        <v>1742</v>
      </c>
      <c r="I269" s="30" t="s">
        <v>584</v>
      </c>
      <c r="J269" s="266">
        <v>6.4939999999999998E-3</v>
      </c>
      <c r="K269" s="28" t="s">
        <v>585</v>
      </c>
      <c r="L269" s="133">
        <v>97178948879</v>
      </c>
      <c r="M269" s="133">
        <v>0</v>
      </c>
      <c r="N269" s="441"/>
      <c r="O269" s="441" t="s">
        <v>1753</v>
      </c>
      <c r="P269" s="213">
        <v>0.1</v>
      </c>
      <c r="Q269" s="214">
        <v>0.3</v>
      </c>
      <c r="R269" s="214">
        <v>0.2</v>
      </c>
      <c r="S269" s="214">
        <v>0.4</v>
      </c>
      <c r="T269" s="214" t="s">
        <v>1438</v>
      </c>
      <c r="U269" s="53" t="s">
        <v>591</v>
      </c>
      <c r="V269" s="25">
        <v>0.5</v>
      </c>
      <c r="W269" s="24" t="s">
        <v>583</v>
      </c>
      <c r="X269" s="24"/>
      <c r="Y269" s="23" t="s">
        <v>2588</v>
      </c>
      <c r="Z269" s="491" t="s">
        <v>2569</v>
      </c>
      <c r="AA269" s="238">
        <f t="shared" si="43"/>
        <v>3.2469999999999999E-3</v>
      </c>
      <c r="AB269" s="252">
        <v>0</v>
      </c>
      <c r="AC269" s="278">
        <f>+(Tabla1[[#This Row],[Avance PDI]]*100%)/Tabla1[[#This Row],[ponderacion_meta]]</f>
        <v>0</v>
      </c>
      <c r="AD269" s="279">
        <v>6.4940000000000006E-4</v>
      </c>
      <c r="AE269" s="279">
        <v>1.9481999999999998E-3</v>
      </c>
      <c r="AF269" s="279">
        <v>1.2988000000000001E-3</v>
      </c>
      <c r="AG269" s="279">
        <v>2.5976000000000003E-3</v>
      </c>
      <c r="AH269" s="396">
        <f t="shared" si="44"/>
        <v>2.6596669999999999E-2</v>
      </c>
      <c r="AI269" s="396">
        <f t="shared" si="45"/>
        <v>8.2625000000000032E-2</v>
      </c>
      <c r="AJ269" s="317">
        <f t="shared" si="46"/>
        <v>8.2625000000000032E-2</v>
      </c>
      <c r="AK269" s="385">
        <v>3.8964000000000004E-3</v>
      </c>
      <c r="AL269" s="402">
        <f t="shared" si="47"/>
        <v>6.666666666666668E-2</v>
      </c>
      <c r="AM269" s="327">
        <v>0</v>
      </c>
      <c r="AN269" s="410">
        <f t="shared" si="48"/>
        <v>7.1428571428571438E-2</v>
      </c>
      <c r="AO269" s="345" t="e">
        <f>+([1]!Tabla1[[#This Row],[ponderacion_accion]]/50%)*AQ269</f>
        <v>#REF!</v>
      </c>
      <c r="AP269" s="345" t="e">
        <f>Tabla1[[#This Row],[ponderacion_meta]]*AO269</f>
        <v>#REF!</v>
      </c>
      <c r="AQ269" s="357"/>
      <c r="AR269" s="380">
        <v>0</v>
      </c>
      <c r="AS269" s="9"/>
      <c r="AT269" s="521">
        <v>0</v>
      </c>
    </row>
    <row r="270" spans="1:46" ht="15" customHeight="1" x14ac:dyDescent="0.35">
      <c r="A270" s="236" t="s">
        <v>1151</v>
      </c>
      <c r="B270" s="400" t="s">
        <v>567</v>
      </c>
      <c r="C270" s="399" t="s">
        <v>1720</v>
      </c>
      <c r="D270" s="237" t="s">
        <v>1163</v>
      </c>
      <c r="E270" s="172" t="s">
        <v>568</v>
      </c>
      <c r="F270" s="176" t="s">
        <v>2608</v>
      </c>
      <c r="G270" s="160" t="s">
        <v>569</v>
      </c>
      <c r="H270" s="160" t="s">
        <v>1742</v>
      </c>
      <c r="I270" s="14" t="s">
        <v>592</v>
      </c>
      <c r="J270" s="265">
        <v>6.4939999999999998E-3</v>
      </c>
      <c r="K270" s="26" t="s">
        <v>593</v>
      </c>
      <c r="L270" s="120">
        <v>15001145846</v>
      </c>
      <c r="M270" s="120">
        <v>0</v>
      </c>
      <c r="N270" s="122"/>
      <c r="O270" s="122" t="s">
        <v>1753</v>
      </c>
      <c r="P270" s="185">
        <v>0.3</v>
      </c>
      <c r="Q270" s="186">
        <v>0.1</v>
      </c>
      <c r="R270" s="186">
        <v>0.2</v>
      </c>
      <c r="S270" s="186">
        <v>0.4</v>
      </c>
      <c r="T270" s="186" t="s">
        <v>1439</v>
      </c>
      <c r="U270" s="52" t="s">
        <v>572</v>
      </c>
      <c r="V270" s="15">
        <v>0.1</v>
      </c>
      <c r="W270" s="26" t="s">
        <v>573</v>
      </c>
      <c r="X270" s="26"/>
      <c r="Y270" s="14" t="s">
        <v>2587</v>
      </c>
      <c r="Z270" s="500" t="s">
        <v>2569</v>
      </c>
      <c r="AA270" s="239">
        <f t="shared" si="43"/>
        <v>6.4940000000000006E-4</v>
      </c>
      <c r="AB270" s="252">
        <v>0</v>
      </c>
      <c r="AC270" s="262">
        <f>+(Tabla1[[#This Row],[Avance PDI]]*100%)/Tabla1[[#This Row],[ponderacion_meta]]</f>
        <v>0</v>
      </c>
      <c r="AD270" s="257">
        <f>+Tabla1[[#This Row],[ponderacion_meta]]*Tabla1[[#This Row],[proyeccion_año1]]</f>
        <v>1.9481999999999998E-3</v>
      </c>
      <c r="AE270" s="257">
        <f>+Tabla1[[#This Row],[ponderacion_meta]]*Tabla1[[#This Row],[proyeccion_año2]]</f>
        <v>6.4940000000000006E-4</v>
      </c>
      <c r="AF270" s="257">
        <f>+Tabla1[[#This Row],[ponderacion_meta]]*Tabla1[[#This Row],[proyeccion_año3]]</f>
        <v>1.2988000000000001E-3</v>
      </c>
      <c r="AG270" s="257">
        <f>+Tabla1[[#This Row],[ponderacion_meta]]*Tabla1[[#This Row],[proyeccion_año4]]</f>
        <v>2.5976000000000003E-3</v>
      </c>
      <c r="AH270" s="396">
        <f t="shared" si="44"/>
        <v>2.6596669999999999E-2</v>
      </c>
      <c r="AI270" s="396">
        <f t="shared" si="45"/>
        <v>8.2625000000000032E-2</v>
      </c>
      <c r="AJ270" s="317">
        <f t="shared" si="46"/>
        <v>8.2625000000000032E-2</v>
      </c>
      <c r="AK270" s="385">
        <v>3.8964000000000004E-3</v>
      </c>
      <c r="AL270" s="402">
        <f t="shared" si="47"/>
        <v>6.666666666666668E-2</v>
      </c>
      <c r="AM270" s="327">
        <v>0</v>
      </c>
      <c r="AN270" s="410">
        <f t="shared" si="48"/>
        <v>7.1428571428571438E-2</v>
      </c>
      <c r="AO270" s="358" t="e">
        <f>+([1]!Tabla1[[#This Row],[ponderacion_accion]]/10%)*AQ270</f>
        <v>#REF!</v>
      </c>
      <c r="AP270" s="358" t="e">
        <f>Tabla1[[#This Row],[ponderacion_meta]]*AO270</f>
        <v>#REF!</v>
      </c>
      <c r="AQ270" s="361"/>
      <c r="AR270" s="380">
        <v>0</v>
      </c>
      <c r="AS270" s="7" t="e">
        <f>+((SUM(AO270:AO275)*100)/50)</f>
        <v>#REF!</v>
      </c>
      <c r="AT270" s="521">
        <v>0</v>
      </c>
    </row>
    <row r="271" spans="1:46" ht="15" customHeight="1" x14ac:dyDescent="0.35">
      <c r="A271" s="236" t="s">
        <v>1151</v>
      </c>
      <c r="B271" s="400" t="s">
        <v>567</v>
      </c>
      <c r="C271" s="399" t="s">
        <v>1720</v>
      </c>
      <c r="D271" s="237" t="s">
        <v>1163</v>
      </c>
      <c r="E271" s="172" t="s">
        <v>568</v>
      </c>
      <c r="F271" s="176" t="s">
        <v>2608</v>
      </c>
      <c r="G271" s="160" t="s">
        <v>569</v>
      </c>
      <c r="H271" s="160" t="s">
        <v>1742</v>
      </c>
      <c r="I271" s="19" t="s">
        <v>592</v>
      </c>
      <c r="J271" s="267">
        <v>6.4939999999999998E-3</v>
      </c>
      <c r="K271" s="98" t="s">
        <v>593</v>
      </c>
      <c r="L271" s="132">
        <v>15001145846</v>
      </c>
      <c r="M271" s="132">
        <v>0</v>
      </c>
      <c r="N271" s="440"/>
      <c r="O271" s="440" t="s">
        <v>1753</v>
      </c>
      <c r="P271" s="204">
        <v>0.3</v>
      </c>
      <c r="Q271" s="205">
        <v>0.1</v>
      </c>
      <c r="R271" s="205">
        <v>0.2</v>
      </c>
      <c r="S271" s="205">
        <v>0.4</v>
      </c>
      <c r="T271" s="205" t="s">
        <v>1440</v>
      </c>
      <c r="U271" s="52" t="s">
        <v>594</v>
      </c>
      <c r="V271" s="15">
        <v>0.1</v>
      </c>
      <c r="W271" s="26" t="s">
        <v>575</v>
      </c>
      <c r="X271" s="26"/>
      <c r="Y271" s="14" t="s">
        <v>2587</v>
      </c>
      <c r="Z271" s="500" t="s">
        <v>2569</v>
      </c>
      <c r="AA271" s="239">
        <f t="shared" si="43"/>
        <v>6.4940000000000006E-4</v>
      </c>
      <c r="AB271" s="252">
        <v>0</v>
      </c>
      <c r="AC271" s="262">
        <f>+(Tabla1[[#This Row],[Avance PDI]]*100%)/Tabla1[[#This Row],[ponderacion_meta]]</f>
        <v>0</v>
      </c>
      <c r="AD271" s="257">
        <v>1.9481999999999998E-3</v>
      </c>
      <c r="AE271" s="257">
        <v>6.4940000000000006E-4</v>
      </c>
      <c r="AF271" s="257">
        <v>1.2988000000000001E-3</v>
      </c>
      <c r="AG271" s="257">
        <v>2.5976000000000003E-3</v>
      </c>
      <c r="AH271" s="396">
        <f t="shared" si="44"/>
        <v>2.6596669999999999E-2</v>
      </c>
      <c r="AI271" s="396">
        <f t="shared" si="45"/>
        <v>8.2625000000000032E-2</v>
      </c>
      <c r="AJ271" s="317">
        <f t="shared" si="46"/>
        <v>8.2625000000000032E-2</v>
      </c>
      <c r="AK271" s="385">
        <v>3.8964000000000004E-3</v>
      </c>
      <c r="AL271" s="402">
        <f t="shared" si="47"/>
        <v>6.666666666666668E-2</v>
      </c>
      <c r="AM271" s="327">
        <v>0</v>
      </c>
      <c r="AN271" s="410">
        <f t="shared" si="48"/>
        <v>7.1428571428571438E-2</v>
      </c>
      <c r="AO271" s="359" t="e">
        <f>+([1]!Tabla1[[#This Row],[ponderacion_accion]]/10%)*AQ271</f>
        <v>#REF!</v>
      </c>
      <c r="AP271" s="359" t="e">
        <f>Tabla1[[#This Row],[ponderacion_meta]]*AO271</f>
        <v>#REF!</v>
      </c>
      <c r="AQ271" s="351"/>
      <c r="AR271" s="380">
        <v>0</v>
      </c>
      <c r="AS271" s="9"/>
      <c r="AT271" s="521">
        <v>0</v>
      </c>
    </row>
    <row r="272" spans="1:46" ht="15" customHeight="1" x14ac:dyDescent="0.35">
      <c r="A272" s="236" t="s">
        <v>1151</v>
      </c>
      <c r="B272" s="400" t="s">
        <v>567</v>
      </c>
      <c r="C272" s="399" t="s">
        <v>1720</v>
      </c>
      <c r="D272" s="237" t="s">
        <v>1163</v>
      </c>
      <c r="E272" s="172" t="s">
        <v>568</v>
      </c>
      <c r="F272" s="176" t="s">
        <v>2608</v>
      </c>
      <c r="G272" s="160" t="s">
        <v>569</v>
      </c>
      <c r="H272" s="160" t="s">
        <v>1742</v>
      </c>
      <c r="I272" s="19" t="s">
        <v>592</v>
      </c>
      <c r="J272" s="267">
        <v>6.4939999999999998E-3</v>
      </c>
      <c r="K272" s="98" t="s">
        <v>593</v>
      </c>
      <c r="L272" s="132">
        <v>15001145846</v>
      </c>
      <c r="M272" s="132">
        <v>0</v>
      </c>
      <c r="N272" s="440"/>
      <c r="O272" s="440" t="s">
        <v>1753</v>
      </c>
      <c r="P272" s="204">
        <v>0.3</v>
      </c>
      <c r="Q272" s="205">
        <v>0.1</v>
      </c>
      <c r="R272" s="205">
        <v>0.2</v>
      </c>
      <c r="S272" s="205">
        <v>0.4</v>
      </c>
      <c r="T272" s="205" t="s">
        <v>1441</v>
      </c>
      <c r="U272" s="52" t="s">
        <v>576</v>
      </c>
      <c r="V272" s="15">
        <v>0.1</v>
      </c>
      <c r="W272" s="26" t="s">
        <v>577</v>
      </c>
      <c r="X272" s="26"/>
      <c r="Y272" s="14" t="s">
        <v>2587</v>
      </c>
      <c r="Z272" s="501" t="s">
        <v>2569</v>
      </c>
      <c r="AA272" s="239">
        <f t="shared" si="43"/>
        <v>6.4940000000000006E-4</v>
      </c>
      <c r="AB272" s="252">
        <v>0</v>
      </c>
      <c r="AC272" s="262">
        <f>+(Tabla1[[#This Row],[Avance PDI]]*100%)/Tabla1[[#This Row],[ponderacion_meta]]</f>
        <v>0</v>
      </c>
      <c r="AD272" s="257">
        <v>1.9481999999999998E-3</v>
      </c>
      <c r="AE272" s="257">
        <v>6.4940000000000006E-4</v>
      </c>
      <c r="AF272" s="257">
        <v>1.2988000000000001E-3</v>
      </c>
      <c r="AG272" s="257">
        <v>2.5976000000000003E-3</v>
      </c>
      <c r="AH272" s="396">
        <f t="shared" si="44"/>
        <v>2.6596669999999999E-2</v>
      </c>
      <c r="AI272" s="396">
        <f t="shared" si="45"/>
        <v>8.2625000000000032E-2</v>
      </c>
      <c r="AJ272" s="317">
        <f t="shared" si="46"/>
        <v>8.2625000000000032E-2</v>
      </c>
      <c r="AK272" s="385">
        <v>3.8964000000000004E-3</v>
      </c>
      <c r="AL272" s="402">
        <f t="shared" si="47"/>
        <v>6.666666666666668E-2</v>
      </c>
      <c r="AM272" s="327">
        <v>0</v>
      </c>
      <c r="AN272" s="410">
        <f t="shared" si="48"/>
        <v>7.1428571428571438E-2</v>
      </c>
      <c r="AO272" s="359" t="e">
        <f>+([1]!Tabla1[[#This Row],[ponderacion_accion]]/10%)*AQ272</f>
        <v>#REF!</v>
      </c>
      <c r="AP272" s="359" t="e">
        <f>Tabla1[[#This Row],[ponderacion_meta]]*AO272</f>
        <v>#REF!</v>
      </c>
      <c r="AQ272" s="351"/>
      <c r="AR272" s="380">
        <v>0</v>
      </c>
      <c r="AS272" s="9"/>
      <c r="AT272" s="521">
        <v>0</v>
      </c>
    </row>
    <row r="273" spans="1:46" ht="15" customHeight="1" x14ac:dyDescent="0.35">
      <c r="A273" s="236" t="s">
        <v>1151</v>
      </c>
      <c r="B273" s="400" t="s">
        <v>567</v>
      </c>
      <c r="C273" s="399" t="s">
        <v>1720</v>
      </c>
      <c r="D273" s="237" t="s">
        <v>1163</v>
      </c>
      <c r="E273" s="172" t="s">
        <v>568</v>
      </c>
      <c r="F273" s="176" t="s">
        <v>2608</v>
      </c>
      <c r="G273" s="160" t="s">
        <v>569</v>
      </c>
      <c r="H273" s="160" t="s">
        <v>1742</v>
      </c>
      <c r="I273" s="19" t="s">
        <v>592</v>
      </c>
      <c r="J273" s="267">
        <v>6.4939999999999998E-3</v>
      </c>
      <c r="K273" s="98" t="s">
        <v>593</v>
      </c>
      <c r="L273" s="132">
        <v>15001145846</v>
      </c>
      <c r="M273" s="132">
        <v>0</v>
      </c>
      <c r="N273" s="440"/>
      <c r="O273" s="440" t="s">
        <v>1753</v>
      </c>
      <c r="P273" s="204">
        <v>0.3</v>
      </c>
      <c r="Q273" s="205">
        <v>0.1</v>
      </c>
      <c r="R273" s="205">
        <v>0.2</v>
      </c>
      <c r="S273" s="205">
        <v>0.4</v>
      </c>
      <c r="T273" s="205" t="s">
        <v>1442</v>
      </c>
      <c r="U273" s="52" t="s">
        <v>578</v>
      </c>
      <c r="V273" s="15">
        <v>0.1</v>
      </c>
      <c r="W273" s="26" t="s">
        <v>579</v>
      </c>
      <c r="X273" s="26"/>
      <c r="Y273" s="14" t="s">
        <v>2587</v>
      </c>
      <c r="Z273" s="501" t="s">
        <v>2569</v>
      </c>
      <c r="AA273" s="239">
        <f t="shared" si="43"/>
        <v>6.4940000000000006E-4</v>
      </c>
      <c r="AB273" s="252">
        <v>0</v>
      </c>
      <c r="AC273" s="262">
        <f>+(Tabla1[[#This Row],[Avance PDI]]*100%)/Tabla1[[#This Row],[ponderacion_meta]]</f>
        <v>0</v>
      </c>
      <c r="AD273" s="257">
        <v>1.9481999999999998E-3</v>
      </c>
      <c r="AE273" s="257">
        <v>6.4940000000000006E-4</v>
      </c>
      <c r="AF273" s="257">
        <v>1.2988000000000001E-3</v>
      </c>
      <c r="AG273" s="257">
        <v>2.5976000000000003E-3</v>
      </c>
      <c r="AH273" s="396">
        <f t="shared" si="44"/>
        <v>2.6596669999999999E-2</v>
      </c>
      <c r="AI273" s="396">
        <f t="shared" si="45"/>
        <v>8.2625000000000032E-2</v>
      </c>
      <c r="AJ273" s="317">
        <f t="shared" si="46"/>
        <v>8.2625000000000032E-2</v>
      </c>
      <c r="AK273" s="385">
        <v>3.8964000000000004E-3</v>
      </c>
      <c r="AL273" s="402">
        <f t="shared" si="47"/>
        <v>6.666666666666668E-2</v>
      </c>
      <c r="AM273" s="327">
        <v>0</v>
      </c>
      <c r="AN273" s="410">
        <f t="shared" si="48"/>
        <v>7.1428571428571438E-2</v>
      </c>
      <c r="AO273" s="359" t="e">
        <f>+([1]!Tabla1[[#This Row],[ponderacion_accion]]/10%)*AQ273</f>
        <v>#REF!</v>
      </c>
      <c r="AP273" s="359" t="e">
        <f>Tabla1[[#This Row],[ponderacion_meta]]*AO273</f>
        <v>#REF!</v>
      </c>
      <c r="AQ273" s="351"/>
      <c r="AR273" s="380">
        <v>0</v>
      </c>
      <c r="AS273" s="9"/>
      <c r="AT273" s="521">
        <v>0</v>
      </c>
    </row>
    <row r="274" spans="1:46" ht="15" customHeight="1" x14ac:dyDescent="0.35">
      <c r="A274" s="236" t="s">
        <v>1151</v>
      </c>
      <c r="B274" s="400" t="s">
        <v>567</v>
      </c>
      <c r="C274" s="399" t="s">
        <v>1720</v>
      </c>
      <c r="D274" s="237" t="s">
        <v>1163</v>
      </c>
      <c r="E274" s="172" t="s">
        <v>568</v>
      </c>
      <c r="F274" s="176" t="s">
        <v>2608</v>
      </c>
      <c r="G274" s="160" t="s">
        <v>569</v>
      </c>
      <c r="H274" s="160" t="s">
        <v>1742</v>
      </c>
      <c r="I274" s="19" t="s">
        <v>592</v>
      </c>
      <c r="J274" s="267">
        <v>6.4939999999999998E-3</v>
      </c>
      <c r="K274" s="98" t="s">
        <v>593</v>
      </c>
      <c r="L274" s="132">
        <v>15001145846</v>
      </c>
      <c r="M274" s="132">
        <v>0</v>
      </c>
      <c r="N274" s="440"/>
      <c r="O274" s="440" t="s">
        <v>1753</v>
      </c>
      <c r="P274" s="204">
        <v>0.3</v>
      </c>
      <c r="Q274" s="205">
        <v>0.1</v>
      </c>
      <c r="R274" s="205">
        <v>0.2</v>
      </c>
      <c r="S274" s="205">
        <v>0.4</v>
      </c>
      <c r="T274" s="205" t="s">
        <v>1443</v>
      </c>
      <c r="U274" s="52" t="s">
        <v>580</v>
      </c>
      <c r="V274" s="15">
        <v>0.1</v>
      </c>
      <c r="W274" s="26" t="s">
        <v>581</v>
      </c>
      <c r="X274" s="26"/>
      <c r="Y274" s="14" t="s">
        <v>2587</v>
      </c>
      <c r="Z274" s="501" t="s">
        <v>2569</v>
      </c>
      <c r="AA274" s="239">
        <f t="shared" si="43"/>
        <v>6.4940000000000006E-4</v>
      </c>
      <c r="AB274" s="252">
        <v>0</v>
      </c>
      <c r="AC274" s="262">
        <f>+(Tabla1[[#This Row],[Avance PDI]]*100%)/Tabla1[[#This Row],[ponderacion_meta]]</f>
        <v>0</v>
      </c>
      <c r="AD274" s="257">
        <v>1.9481999999999998E-3</v>
      </c>
      <c r="AE274" s="257">
        <v>6.4940000000000006E-4</v>
      </c>
      <c r="AF274" s="257">
        <v>1.2988000000000001E-3</v>
      </c>
      <c r="AG274" s="257">
        <v>2.5976000000000003E-3</v>
      </c>
      <c r="AH274" s="396">
        <f t="shared" si="44"/>
        <v>2.6596669999999999E-2</v>
      </c>
      <c r="AI274" s="396">
        <f t="shared" si="45"/>
        <v>8.2625000000000032E-2</v>
      </c>
      <c r="AJ274" s="317">
        <f t="shared" si="46"/>
        <v>8.2625000000000032E-2</v>
      </c>
      <c r="AK274" s="385">
        <v>3.8964000000000004E-3</v>
      </c>
      <c r="AL274" s="402">
        <f t="shared" si="47"/>
        <v>6.666666666666668E-2</v>
      </c>
      <c r="AM274" s="327">
        <v>0</v>
      </c>
      <c r="AN274" s="410">
        <f t="shared" si="48"/>
        <v>7.1428571428571438E-2</v>
      </c>
      <c r="AO274" s="359" t="e">
        <f>+([1]!Tabla1[[#This Row],[ponderacion_accion]]/10%)*AQ274</f>
        <v>#REF!</v>
      </c>
      <c r="AP274" s="359" t="e">
        <f>Tabla1[[#This Row],[ponderacion_meta]]*AO274</f>
        <v>#REF!</v>
      </c>
      <c r="AQ274" s="351"/>
      <c r="AR274" s="380">
        <v>0</v>
      </c>
      <c r="AS274" s="9"/>
      <c r="AT274" s="521">
        <v>0</v>
      </c>
    </row>
    <row r="275" spans="1:46" ht="15" customHeight="1" x14ac:dyDescent="0.35">
      <c r="A275" s="236" t="s">
        <v>1151</v>
      </c>
      <c r="B275" s="400" t="s">
        <v>567</v>
      </c>
      <c r="C275" s="399" t="s">
        <v>1720</v>
      </c>
      <c r="D275" s="237" t="s">
        <v>1163</v>
      </c>
      <c r="E275" s="172" t="s">
        <v>568</v>
      </c>
      <c r="F275" s="176" t="s">
        <v>2608</v>
      </c>
      <c r="G275" s="160" t="s">
        <v>569</v>
      </c>
      <c r="H275" s="160" t="s">
        <v>1742</v>
      </c>
      <c r="I275" s="19" t="s">
        <v>592</v>
      </c>
      <c r="J275" s="267">
        <v>6.4939999999999998E-3</v>
      </c>
      <c r="K275" s="98" t="s">
        <v>593</v>
      </c>
      <c r="L275" s="132">
        <v>15001145846</v>
      </c>
      <c r="M275" s="132">
        <v>0</v>
      </c>
      <c r="N275" s="440"/>
      <c r="O275" s="440" t="s">
        <v>1753</v>
      </c>
      <c r="P275" s="204">
        <v>0.3</v>
      </c>
      <c r="Q275" s="205">
        <v>0.1</v>
      </c>
      <c r="R275" s="205">
        <v>0.2</v>
      </c>
      <c r="S275" s="205">
        <v>0.4</v>
      </c>
      <c r="T275" s="205" t="s">
        <v>1444</v>
      </c>
      <c r="U275" s="54" t="s">
        <v>595</v>
      </c>
      <c r="V275" s="15">
        <v>0.5</v>
      </c>
      <c r="W275" s="26" t="s">
        <v>583</v>
      </c>
      <c r="X275" s="26"/>
      <c r="Y275" s="14" t="s">
        <v>2588</v>
      </c>
      <c r="Z275" s="501" t="s">
        <v>2569</v>
      </c>
      <c r="AA275" s="239">
        <f t="shared" si="43"/>
        <v>3.2469999999999999E-3</v>
      </c>
      <c r="AB275" s="252">
        <v>0</v>
      </c>
      <c r="AC275" s="262">
        <f>+(Tabla1[[#This Row],[Avance PDI]]*100%)/Tabla1[[#This Row],[ponderacion_meta]]</f>
        <v>0</v>
      </c>
      <c r="AD275" s="257">
        <v>1.9481999999999998E-3</v>
      </c>
      <c r="AE275" s="257">
        <v>6.4940000000000006E-4</v>
      </c>
      <c r="AF275" s="257">
        <v>1.2988000000000001E-3</v>
      </c>
      <c r="AG275" s="257">
        <v>2.5976000000000003E-3</v>
      </c>
      <c r="AH275" s="396">
        <f t="shared" si="44"/>
        <v>2.6596669999999999E-2</v>
      </c>
      <c r="AI275" s="396">
        <f t="shared" si="45"/>
        <v>8.2625000000000032E-2</v>
      </c>
      <c r="AJ275" s="317">
        <f t="shared" si="46"/>
        <v>8.2625000000000032E-2</v>
      </c>
      <c r="AK275" s="385">
        <v>3.8964000000000004E-3</v>
      </c>
      <c r="AL275" s="402">
        <f t="shared" si="47"/>
        <v>6.666666666666668E-2</v>
      </c>
      <c r="AM275" s="327">
        <v>0</v>
      </c>
      <c r="AN275" s="410">
        <f t="shared" si="48"/>
        <v>7.1428571428571438E-2</v>
      </c>
      <c r="AO275" s="360" t="e">
        <f>+([1]!Tabla1[[#This Row],[ponderacion_accion]]/50%)*AQ275</f>
        <v>#REF!</v>
      </c>
      <c r="AP275" s="360" t="e">
        <f>Tabla1[[#This Row],[ponderacion_meta]]*AO275</f>
        <v>#REF!</v>
      </c>
      <c r="AQ275" s="356"/>
      <c r="AR275" s="380">
        <v>0</v>
      </c>
      <c r="AS275" s="9"/>
      <c r="AT275" s="521">
        <v>0</v>
      </c>
    </row>
    <row r="276" spans="1:46" ht="15" customHeight="1" x14ac:dyDescent="0.35">
      <c r="A276" s="236" t="s">
        <v>1151</v>
      </c>
      <c r="B276" s="400" t="s">
        <v>567</v>
      </c>
      <c r="C276" s="399" t="s">
        <v>1720</v>
      </c>
      <c r="D276" s="237" t="s">
        <v>1163</v>
      </c>
      <c r="E276" s="172" t="s">
        <v>568</v>
      </c>
      <c r="F276" s="176" t="s">
        <v>2608</v>
      </c>
      <c r="G276" s="160" t="s">
        <v>569</v>
      </c>
      <c r="H276" s="160" t="s">
        <v>1742</v>
      </c>
      <c r="I276" s="30" t="s">
        <v>596</v>
      </c>
      <c r="J276" s="266">
        <v>6.4939999999999998E-3</v>
      </c>
      <c r="K276" s="28" t="s">
        <v>597</v>
      </c>
      <c r="L276" s="126">
        <v>137142267787</v>
      </c>
      <c r="M276" s="126">
        <v>0</v>
      </c>
      <c r="N276" s="434"/>
      <c r="O276" s="434" t="s">
        <v>1753</v>
      </c>
      <c r="P276" s="215">
        <v>0.255</v>
      </c>
      <c r="Q276" s="216">
        <v>0.252</v>
      </c>
      <c r="R276" s="216">
        <v>0.36499999999999999</v>
      </c>
      <c r="S276" s="216">
        <v>0.128</v>
      </c>
      <c r="T276" s="216" t="s">
        <v>1445</v>
      </c>
      <c r="U276" s="53" t="s">
        <v>598</v>
      </c>
      <c r="V276" s="27">
        <v>1</v>
      </c>
      <c r="W276" s="24" t="s">
        <v>599</v>
      </c>
      <c r="X276" s="24"/>
      <c r="Y276" s="24" t="s">
        <v>2588</v>
      </c>
      <c r="Z276" s="491" t="s">
        <v>2569</v>
      </c>
      <c r="AA276" s="240">
        <f t="shared" si="43"/>
        <v>6.4939999999999998E-3</v>
      </c>
      <c r="AB276" s="252">
        <v>0</v>
      </c>
      <c r="AC276" s="278">
        <f>+(Tabla1[[#This Row],[Avance PDI]]*100%)/Tabla1[[#This Row],[ponderacion_meta]]</f>
        <v>0</v>
      </c>
      <c r="AD276" s="279">
        <f>+Tabla1[[#This Row],[ponderacion_meta]]*Tabla1[[#This Row],[proyeccion_año1]]</f>
        <v>1.6559699999999999E-3</v>
      </c>
      <c r="AE276" s="279">
        <f>+Tabla1[[#This Row],[ponderacion_meta]]*Tabla1[[#This Row],[proyeccion_año2]]</f>
        <v>1.636488E-3</v>
      </c>
      <c r="AF276" s="279">
        <f>+Tabla1[[#This Row],[ponderacion_meta]]*Tabla1[[#This Row],[proyeccion_año3]]</f>
        <v>2.37031E-3</v>
      </c>
      <c r="AG276" s="279">
        <f>+Tabla1[[#This Row],[ponderacion_meta]]*Tabla1[[#This Row],[proyeccion_año4]]</f>
        <v>8.31232E-4</v>
      </c>
      <c r="AH276" s="396">
        <f t="shared" si="44"/>
        <v>2.6596669999999999E-2</v>
      </c>
      <c r="AI276" s="396">
        <f t="shared" si="45"/>
        <v>8.2625000000000032E-2</v>
      </c>
      <c r="AJ276" s="317">
        <f t="shared" si="46"/>
        <v>8.2625000000000032E-2</v>
      </c>
      <c r="AK276" s="385">
        <v>3.8964000000000004E-3</v>
      </c>
      <c r="AL276" s="402">
        <f t="shared" si="47"/>
        <v>6.666666666666668E-2</v>
      </c>
      <c r="AM276" s="327">
        <v>0</v>
      </c>
      <c r="AN276" s="410">
        <f t="shared" si="48"/>
        <v>7.1428571428571438E-2</v>
      </c>
      <c r="AO276" s="343" t="e">
        <f>+([1]!Tabla1[[#This Row],[ponderacion_accion]]/10000)*AQ276</f>
        <v>#REF!</v>
      </c>
      <c r="AP276" s="343" t="e">
        <f>Tabla1[[#This Row],[ponderacion_meta]]*AO276</f>
        <v>#REF!</v>
      </c>
      <c r="AQ276" s="353"/>
      <c r="AR276" s="377">
        <v>496493311.75</v>
      </c>
      <c r="AS276" s="7" t="e">
        <f>+((SUM(AO276:AO281)*100)/0)</f>
        <v>#REF!</v>
      </c>
      <c r="AT276" s="521">
        <v>0</v>
      </c>
    </row>
    <row r="277" spans="1:46" ht="15" customHeight="1" x14ac:dyDescent="0.35">
      <c r="A277" s="236" t="s">
        <v>1151</v>
      </c>
      <c r="B277" s="400" t="s">
        <v>567</v>
      </c>
      <c r="C277" s="399" t="s">
        <v>1720</v>
      </c>
      <c r="D277" s="237" t="s">
        <v>1163</v>
      </c>
      <c r="E277" s="172" t="s">
        <v>568</v>
      </c>
      <c r="F277" s="176" t="s">
        <v>2608</v>
      </c>
      <c r="G277" s="160" t="s">
        <v>569</v>
      </c>
      <c r="H277" s="160" t="s">
        <v>1742</v>
      </c>
      <c r="I277" s="30" t="s">
        <v>596</v>
      </c>
      <c r="J277" s="266">
        <v>6.4939999999999998E-3</v>
      </c>
      <c r="K277" s="28" t="s">
        <v>597</v>
      </c>
      <c r="L277" s="126">
        <v>137142267787</v>
      </c>
      <c r="M277" s="126">
        <v>0</v>
      </c>
      <c r="N277" s="434"/>
      <c r="O277" s="434" t="s">
        <v>1753</v>
      </c>
      <c r="P277" s="215">
        <v>0.255</v>
      </c>
      <c r="Q277" s="216">
        <v>0.252</v>
      </c>
      <c r="R277" s="216">
        <v>0.36499999999999999</v>
      </c>
      <c r="S277" s="216">
        <v>0.128</v>
      </c>
      <c r="T277" s="216" t="s">
        <v>1446</v>
      </c>
      <c r="U277" s="53" t="s">
        <v>600</v>
      </c>
      <c r="V277" s="25">
        <v>0</v>
      </c>
      <c r="W277" s="24" t="s">
        <v>599</v>
      </c>
      <c r="X277" s="24"/>
      <c r="Y277" s="24" t="s">
        <v>2588</v>
      </c>
      <c r="Z277" s="491" t="s">
        <v>2569</v>
      </c>
      <c r="AA277" s="240">
        <v>0</v>
      </c>
      <c r="AB277" s="252">
        <v>0</v>
      </c>
      <c r="AC277" s="278">
        <f>+(Tabla1[[#This Row],[Avance PDI]]*100%)/Tabla1[[#This Row],[ponderacion_meta]]</f>
        <v>0</v>
      </c>
      <c r="AD277" s="279">
        <v>1.6559699999999999E-3</v>
      </c>
      <c r="AE277" s="279">
        <v>1.636488E-3</v>
      </c>
      <c r="AF277" s="279">
        <v>2.37031E-3</v>
      </c>
      <c r="AG277" s="279">
        <v>8.31232E-4</v>
      </c>
      <c r="AH277" s="396">
        <f t="shared" si="44"/>
        <v>2.6596669999999999E-2</v>
      </c>
      <c r="AI277" s="396">
        <f t="shared" si="45"/>
        <v>8.2625000000000032E-2</v>
      </c>
      <c r="AJ277" s="317">
        <f t="shared" si="46"/>
        <v>8.2625000000000032E-2</v>
      </c>
      <c r="AK277" s="385">
        <v>3.8964000000000004E-3</v>
      </c>
      <c r="AL277" s="402">
        <f t="shared" si="47"/>
        <v>6.666666666666668E-2</v>
      </c>
      <c r="AM277" s="327">
        <v>0</v>
      </c>
      <c r="AN277" s="410">
        <f t="shared" si="48"/>
        <v>7.1428571428571438E-2</v>
      </c>
      <c r="AO277" s="344" t="e">
        <f>+([1]!Tabla1[[#This Row],[ponderacion_accion]]/10000)*AQ277</f>
        <v>#REF!</v>
      </c>
      <c r="AP277" s="344" t="e">
        <f>Tabla1[[#This Row],[ponderacion_meta]]*AO277</f>
        <v>#REF!</v>
      </c>
      <c r="AQ277" s="354"/>
      <c r="AR277" s="378">
        <v>0</v>
      </c>
      <c r="AS277" s="9"/>
      <c r="AT277" s="521">
        <v>0</v>
      </c>
    </row>
    <row r="278" spans="1:46" ht="15" customHeight="1" x14ac:dyDescent="0.35">
      <c r="A278" s="236" t="s">
        <v>1151</v>
      </c>
      <c r="B278" s="400" t="s">
        <v>567</v>
      </c>
      <c r="C278" s="399" t="s">
        <v>1720</v>
      </c>
      <c r="D278" s="237" t="s">
        <v>1163</v>
      </c>
      <c r="E278" s="172" t="s">
        <v>568</v>
      </c>
      <c r="F278" s="176" t="s">
        <v>2608</v>
      </c>
      <c r="G278" s="160" t="s">
        <v>569</v>
      </c>
      <c r="H278" s="160" t="s">
        <v>1742</v>
      </c>
      <c r="I278" s="30" t="s">
        <v>596</v>
      </c>
      <c r="J278" s="266">
        <v>6.4939999999999998E-3</v>
      </c>
      <c r="K278" s="28" t="s">
        <v>597</v>
      </c>
      <c r="L278" s="126">
        <v>137142267787</v>
      </c>
      <c r="M278" s="126">
        <v>0</v>
      </c>
      <c r="N278" s="434"/>
      <c r="O278" s="434" t="s">
        <v>1753</v>
      </c>
      <c r="P278" s="215">
        <v>0.255</v>
      </c>
      <c r="Q278" s="216">
        <v>0.252</v>
      </c>
      <c r="R278" s="216">
        <v>0.36499999999999999</v>
      </c>
      <c r="S278" s="216">
        <v>0.128</v>
      </c>
      <c r="T278" s="216" t="s">
        <v>1447</v>
      </c>
      <c r="U278" s="53" t="s">
        <v>601</v>
      </c>
      <c r="V278" s="25">
        <v>0</v>
      </c>
      <c r="W278" s="24" t="s">
        <v>599</v>
      </c>
      <c r="X278" s="24"/>
      <c r="Y278" s="24" t="s">
        <v>2588</v>
      </c>
      <c r="Z278" s="491" t="s">
        <v>2569</v>
      </c>
      <c r="AA278" s="240">
        <v>0</v>
      </c>
      <c r="AB278" s="252">
        <v>0</v>
      </c>
      <c r="AC278" s="278">
        <f>+(Tabla1[[#This Row],[Avance PDI]]*100%)/Tabla1[[#This Row],[ponderacion_meta]]</f>
        <v>0</v>
      </c>
      <c r="AD278" s="279">
        <v>1.6559699999999999E-3</v>
      </c>
      <c r="AE278" s="279">
        <v>1.636488E-3</v>
      </c>
      <c r="AF278" s="279">
        <v>2.37031E-3</v>
      </c>
      <c r="AG278" s="279">
        <v>8.31232E-4</v>
      </c>
      <c r="AH278" s="396">
        <f t="shared" si="44"/>
        <v>2.6596669999999999E-2</v>
      </c>
      <c r="AI278" s="396">
        <f t="shared" si="45"/>
        <v>8.2625000000000032E-2</v>
      </c>
      <c r="AJ278" s="317">
        <f t="shared" si="46"/>
        <v>8.2625000000000032E-2</v>
      </c>
      <c r="AK278" s="385">
        <v>3.8964000000000004E-3</v>
      </c>
      <c r="AL278" s="402">
        <f t="shared" si="47"/>
        <v>6.666666666666668E-2</v>
      </c>
      <c r="AM278" s="327">
        <v>0</v>
      </c>
      <c r="AN278" s="410">
        <f t="shared" si="48"/>
        <v>7.1428571428571438E-2</v>
      </c>
      <c r="AO278" s="344" t="e">
        <f>+([1]!Tabla1[[#This Row],[ponderacion_accion]]/10000)*AQ278</f>
        <v>#REF!</v>
      </c>
      <c r="AP278" s="344" t="e">
        <f>Tabla1[[#This Row],[ponderacion_meta]]*AO278</f>
        <v>#REF!</v>
      </c>
      <c r="AQ278" s="354"/>
      <c r="AR278" s="378">
        <v>0</v>
      </c>
      <c r="AS278" s="9"/>
      <c r="AT278" s="521">
        <v>0</v>
      </c>
    </row>
    <row r="279" spans="1:46" ht="15" customHeight="1" x14ac:dyDescent="0.35">
      <c r="A279" s="236" t="s">
        <v>1151</v>
      </c>
      <c r="B279" s="400" t="s">
        <v>567</v>
      </c>
      <c r="C279" s="399" t="s">
        <v>1720</v>
      </c>
      <c r="D279" s="237" t="s">
        <v>1163</v>
      </c>
      <c r="E279" s="172" t="s">
        <v>568</v>
      </c>
      <c r="F279" s="176" t="s">
        <v>2608</v>
      </c>
      <c r="G279" s="160" t="s">
        <v>569</v>
      </c>
      <c r="H279" s="160" t="s">
        <v>1742</v>
      </c>
      <c r="I279" s="30" t="s">
        <v>596</v>
      </c>
      <c r="J279" s="266">
        <v>6.4939999999999998E-3</v>
      </c>
      <c r="K279" s="28" t="s">
        <v>597</v>
      </c>
      <c r="L279" s="126">
        <v>137142267787</v>
      </c>
      <c r="M279" s="126">
        <v>0</v>
      </c>
      <c r="N279" s="434"/>
      <c r="O279" s="434" t="s">
        <v>1753</v>
      </c>
      <c r="P279" s="215">
        <v>0.255</v>
      </c>
      <c r="Q279" s="216">
        <v>0.252</v>
      </c>
      <c r="R279" s="216">
        <v>0.36499999999999999</v>
      </c>
      <c r="S279" s="216">
        <v>0.128</v>
      </c>
      <c r="T279" s="216" t="s">
        <v>1448</v>
      </c>
      <c r="U279" s="53" t="s">
        <v>602</v>
      </c>
      <c r="V279" s="25">
        <v>0</v>
      </c>
      <c r="W279" s="24" t="s">
        <v>599</v>
      </c>
      <c r="X279" s="24"/>
      <c r="Y279" s="24" t="s">
        <v>2588</v>
      </c>
      <c r="Z279" s="491" t="s">
        <v>2569</v>
      </c>
      <c r="AA279" s="240">
        <v>0</v>
      </c>
      <c r="AB279" s="252">
        <v>0</v>
      </c>
      <c r="AC279" s="278">
        <f>+(Tabla1[[#This Row],[Avance PDI]]*100%)/Tabla1[[#This Row],[ponderacion_meta]]</f>
        <v>0</v>
      </c>
      <c r="AD279" s="279">
        <v>1.6559699999999999E-3</v>
      </c>
      <c r="AE279" s="279">
        <v>1.636488E-3</v>
      </c>
      <c r="AF279" s="279">
        <v>2.37031E-3</v>
      </c>
      <c r="AG279" s="279">
        <v>8.31232E-4</v>
      </c>
      <c r="AH279" s="396">
        <f t="shared" si="44"/>
        <v>2.6596669999999999E-2</v>
      </c>
      <c r="AI279" s="396">
        <f t="shared" si="45"/>
        <v>8.2625000000000032E-2</v>
      </c>
      <c r="AJ279" s="317">
        <f t="shared" si="46"/>
        <v>8.2625000000000032E-2</v>
      </c>
      <c r="AK279" s="385">
        <v>3.8964000000000004E-3</v>
      </c>
      <c r="AL279" s="402">
        <f t="shared" si="47"/>
        <v>6.666666666666668E-2</v>
      </c>
      <c r="AM279" s="327">
        <v>0</v>
      </c>
      <c r="AN279" s="410">
        <f t="shared" si="48"/>
        <v>7.1428571428571438E-2</v>
      </c>
      <c r="AO279" s="344" t="e">
        <f>+([1]!Tabla1[[#This Row],[ponderacion_accion]]/10000)*AQ279</f>
        <v>#REF!</v>
      </c>
      <c r="AP279" s="344" t="e">
        <f>Tabla1[[#This Row],[ponderacion_meta]]*AO279</f>
        <v>#REF!</v>
      </c>
      <c r="AQ279" s="354"/>
      <c r="AR279" s="378">
        <v>0</v>
      </c>
      <c r="AS279" s="9"/>
      <c r="AT279" s="521">
        <v>0</v>
      </c>
    </row>
    <row r="280" spans="1:46" ht="15" customHeight="1" x14ac:dyDescent="0.35">
      <c r="A280" s="236" t="s">
        <v>1151</v>
      </c>
      <c r="B280" s="400" t="s">
        <v>567</v>
      </c>
      <c r="C280" s="399" t="s">
        <v>1720</v>
      </c>
      <c r="D280" s="237" t="s">
        <v>1163</v>
      </c>
      <c r="E280" s="172" t="s">
        <v>568</v>
      </c>
      <c r="F280" s="176" t="s">
        <v>2608</v>
      </c>
      <c r="G280" s="160" t="s">
        <v>569</v>
      </c>
      <c r="H280" s="160" t="s">
        <v>1742</v>
      </c>
      <c r="I280" s="30" t="s">
        <v>596</v>
      </c>
      <c r="J280" s="266">
        <v>6.4939999999999998E-3</v>
      </c>
      <c r="K280" s="28" t="s">
        <v>597</v>
      </c>
      <c r="L280" s="126">
        <v>137142267787</v>
      </c>
      <c r="M280" s="126">
        <v>0</v>
      </c>
      <c r="N280" s="434"/>
      <c r="O280" s="434" t="s">
        <v>1753</v>
      </c>
      <c r="P280" s="215">
        <v>0.255</v>
      </c>
      <c r="Q280" s="216">
        <v>0.252</v>
      </c>
      <c r="R280" s="216">
        <v>0.36499999999999999</v>
      </c>
      <c r="S280" s="216">
        <v>0.128</v>
      </c>
      <c r="T280" s="216" t="s">
        <v>1449</v>
      </c>
      <c r="U280" s="53" t="s">
        <v>603</v>
      </c>
      <c r="V280" s="25">
        <v>0</v>
      </c>
      <c r="W280" s="24" t="s">
        <v>599</v>
      </c>
      <c r="X280" s="24"/>
      <c r="Y280" s="24" t="s">
        <v>2588</v>
      </c>
      <c r="Z280" s="491" t="s">
        <v>2569</v>
      </c>
      <c r="AA280" s="240">
        <v>0</v>
      </c>
      <c r="AB280" s="252">
        <v>0</v>
      </c>
      <c r="AC280" s="278">
        <f>+(Tabla1[[#This Row],[Avance PDI]]*100%)/Tabla1[[#This Row],[ponderacion_meta]]</f>
        <v>0</v>
      </c>
      <c r="AD280" s="279">
        <v>1.6559699999999999E-3</v>
      </c>
      <c r="AE280" s="279">
        <v>1.636488E-3</v>
      </c>
      <c r="AF280" s="279">
        <v>2.37031E-3</v>
      </c>
      <c r="AG280" s="279">
        <v>8.31232E-4</v>
      </c>
      <c r="AH280" s="396">
        <f t="shared" si="44"/>
        <v>2.6596669999999999E-2</v>
      </c>
      <c r="AI280" s="396">
        <f t="shared" si="45"/>
        <v>8.2625000000000032E-2</v>
      </c>
      <c r="AJ280" s="317">
        <f t="shared" si="46"/>
        <v>8.2625000000000032E-2</v>
      </c>
      <c r="AK280" s="385">
        <v>3.8964000000000004E-3</v>
      </c>
      <c r="AL280" s="402">
        <f t="shared" si="47"/>
        <v>6.666666666666668E-2</v>
      </c>
      <c r="AM280" s="327">
        <v>0</v>
      </c>
      <c r="AN280" s="410">
        <f t="shared" si="48"/>
        <v>7.1428571428571438E-2</v>
      </c>
      <c r="AO280" s="344" t="e">
        <f>+([1]!Tabla1[[#This Row],[ponderacion_accion]]/10000)*AQ280</f>
        <v>#REF!</v>
      </c>
      <c r="AP280" s="344" t="e">
        <f>Tabla1[[#This Row],[ponderacion_meta]]*AO280</f>
        <v>#REF!</v>
      </c>
      <c r="AQ280" s="354"/>
      <c r="AR280" s="378">
        <v>0</v>
      </c>
      <c r="AS280" s="9"/>
      <c r="AT280" s="521">
        <v>0</v>
      </c>
    </row>
    <row r="281" spans="1:46" ht="15" customHeight="1" x14ac:dyDescent="0.35">
      <c r="A281" s="236" t="s">
        <v>1151</v>
      </c>
      <c r="B281" s="400" t="s">
        <v>567</v>
      </c>
      <c r="C281" s="399" t="s">
        <v>1720</v>
      </c>
      <c r="D281" s="237" t="s">
        <v>1163</v>
      </c>
      <c r="E281" s="172" t="s">
        <v>568</v>
      </c>
      <c r="F281" s="176" t="s">
        <v>2608</v>
      </c>
      <c r="G281" s="160" t="s">
        <v>569</v>
      </c>
      <c r="H281" s="160" t="s">
        <v>1742</v>
      </c>
      <c r="I281" s="30" t="s">
        <v>596</v>
      </c>
      <c r="J281" s="266">
        <v>6.4939999999999998E-3</v>
      </c>
      <c r="K281" s="28" t="s">
        <v>597</v>
      </c>
      <c r="L281" s="126">
        <v>137142267787</v>
      </c>
      <c r="M281" s="126">
        <v>0</v>
      </c>
      <c r="N281" s="434"/>
      <c r="O281" s="434" t="s">
        <v>1753</v>
      </c>
      <c r="P281" s="215">
        <v>0.255</v>
      </c>
      <c r="Q281" s="216">
        <v>0.252</v>
      </c>
      <c r="R281" s="216">
        <v>0.36499999999999999</v>
      </c>
      <c r="S281" s="216">
        <v>0.128</v>
      </c>
      <c r="T281" s="216" t="s">
        <v>1450</v>
      </c>
      <c r="U281" s="53" t="s">
        <v>604</v>
      </c>
      <c r="V281" s="25">
        <v>0</v>
      </c>
      <c r="W281" s="24" t="s">
        <v>599</v>
      </c>
      <c r="X281" s="24"/>
      <c r="Y281" s="24" t="s">
        <v>2588</v>
      </c>
      <c r="Z281" s="491" t="s">
        <v>2569</v>
      </c>
      <c r="AA281" s="240">
        <v>0</v>
      </c>
      <c r="AB281" s="252">
        <v>0</v>
      </c>
      <c r="AC281" s="278">
        <f>+(Tabla1[[#This Row],[Avance PDI]]*100%)/Tabla1[[#This Row],[ponderacion_meta]]</f>
        <v>0</v>
      </c>
      <c r="AD281" s="279">
        <v>1.6559699999999999E-3</v>
      </c>
      <c r="AE281" s="279">
        <v>1.636488E-3</v>
      </c>
      <c r="AF281" s="279">
        <v>2.37031E-3</v>
      </c>
      <c r="AG281" s="279">
        <v>8.31232E-4</v>
      </c>
      <c r="AH281" s="396">
        <f t="shared" si="44"/>
        <v>2.6596669999999999E-2</v>
      </c>
      <c r="AI281" s="396">
        <f t="shared" si="45"/>
        <v>8.2625000000000032E-2</v>
      </c>
      <c r="AJ281" s="317">
        <f t="shared" si="46"/>
        <v>8.2625000000000032E-2</v>
      </c>
      <c r="AK281" s="385">
        <v>3.8964000000000004E-3</v>
      </c>
      <c r="AL281" s="402">
        <f t="shared" si="47"/>
        <v>6.666666666666668E-2</v>
      </c>
      <c r="AM281" s="327">
        <v>0</v>
      </c>
      <c r="AN281" s="410">
        <f t="shared" si="48"/>
        <v>7.1428571428571438E-2</v>
      </c>
      <c r="AO281" s="344" t="e">
        <f>+([1]!Tabla1[[#This Row],[ponderacion_accion]]/10000)*AQ281</f>
        <v>#REF!</v>
      </c>
      <c r="AP281" s="344" t="e">
        <f>Tabla1[[#This Row],[ponderacion_meta]]*AO281</f>
        <v>#REF!</v>
      </c>
      <c r="AQ281" s="354"/>
      <c r="AR281" s="378">
        <v>0</v>
      </c>
      <c r="AS281" s="9"/>
      <c r="AT281" s="521">
        <v>0</v>
      </c>
    </row>
    <row r="282" spans="1:46" ht="15" customHeight="1" x14ac:dyDescent="0.35">
      <c r="A282" s="236" t="s">
        <v>1151</v>
      </c>
      <c r="B282" s="400" t="s">
        <v>567</v>
      </c>
      <c r="C282" s="399" t="s">
        <v>1720</v>
      </c>
      <c r="D282" s="237" t="s">
        <v>1163</v>
      </c>
      <c r="E282" s="172" t="s">
        <v>568</v>
      </c>
      <c r="F282" s="176" t="s">
        <v>2608</v>
      </c>
      <c r="G282" s="160" t="s">
        <v>569</v>
      </c>
      <c r="H282" s="160" t="s">
        <v>1742</v>
      </c>
      <c r="I282" s="30" t="s">
        <v>596</v>
      </c>
      <c r="J282" s="266">
        <v>6.4939999999999998E-3</v>
      </c>
      <c r="K282" s="28" t="s">
        <v>597</v>
      </c>
      <c r="L282" s="126">
        <v>137142267787</v>
      </c>
      <c r="M282" s="126">
        <v>0</v>
      </c>
      <c r="N282" s="434"/>
      <c r="O282" s="434" t="s">
        <v>1753</v>
      </c>
      <c r="P282" s="215">
        <v>0.255</v>
      </c>
      <c r="Q282" s="216">
        <v>0.252</v>
      </c>
      <c r="R282" s="216">
        <v>0.36499999999999999</v>
      </c>
      <c r="S282" s="216">
        <v>0.128</v>
      </c>
      <c r="T282" s="216" t="s">
        <v>1451</v>
      </c>
      <c r="U282" s="53" t="s">
        <v>605</v>
      </c>
      <c r="V282" s="25">
        <v>0</v>
      </c>
      <c r="W282" s="24" t="s">
        <v>599</v>
      </c>
      <c r="X282" s="24"/>
      <c r="Y282" s="24" t="s">
        <v>2588</v>
      </c>
      <c r="Z282" s="491" t="s">
        <v>2569</v>
      </c>
      <c r="AA282" s="240">
        <v>0</v>
      </c>
      <c r="AB282" s="252">
        <v>0</v>
      </c>
      <c r="AC282" s="278">
        <f>+(Tabla1[[#This Row],[Avance PDI]]*100%)/Tabla1[[#This Row],[ponderacion_meta]]</f>
        <v>0</v>
      </c>
      <c r="AD282" s="279">
        <v>1.6559699999999999E-3</v>
      </c>
      <c r="AE282" s="279">
        <v>1.636488E-3</v>
      </c>
      <c r="AF282" s="279">
        <v>2.37031E-3</v>
      </c>
      <c r="AG282" s="279">
        <v>8.31232E-4</v>
      </c>
      <c r="AH282" s="396">
        <f t="shared" si="44"/>
        <v>2.6596669999999999E-2</v>
      </c>
      <c r="AI282" s="396">
        <f t="shared" si="45"/>
        <v>8.2625000000000032E-2</v>
      </c>
      <c r="AJ282" s="317">
        <f t="shared" si="46"/>
        <v>8.2625000000000032E-2</v>
      </c>
      <c r="AK282" s="385">
        <v>3.8964000000000004E-3</v>
      </c>
      <c r="AL282" s="402">
        <f t="shared" si="47"/>
        <v>6.666666666666668E-2</v>
      </c>
      <c r="AM282" s="327">
        <v>0</v>
      </c>
      <c r="AN282" s="410">
        <f t="shared" si="48"/>
        <v>7.1428571428571438E-2</v>
      </c>
      <c r="AO282" s="344" t="e">
        <f>+([1]!Tabla1[[#This Row],[ponderacion_accion]]/10000)*AQ282</f>
        <v>#REF!</v>
      </c>
      <c r="AP282" s="344" t="e">
        <f>Tabla1[[#This Row],[ponderacion_meta]]*AO282</f>
        <v>#REF!</v>
      </c>
      <c r="AQ282" s="354"/>
      <c r="AR282" s="378">
        <v>0</v>
      </c>
      <c r="AS282" s="9"/>
      <c r="AT282" s="521">
        <v>0</v>
      </c>
    </row>
    <row r="283" spans="1:46" ht="15" customHeight="1" x14ac:dyDescent="0.35">
      <c r="A283" s="236" t="s">
        <v>1151</v>
      </c>
      <c r="B283" s="400" t="s">
        <v>567</v>
      </c>
      <c r="C283" s="399" t="s">
        <v>1720</v>
      </c>
      <c r="D283" s="237" t="s">
        <v>1163</v>
      </c>
      <c r="E283" s="172" t="s">
        <v>568</v>
      </c>
      <c r="F283" s="176" t="s">
        <v>2608</v>
      </c>
      <c r="G283" s="160" t="s">
        <v>569</v>
      </c>
      <c r="H283" s="160" t="s">
        <v>1742</v>
      </c>
      <c r="I283" s="30" t="s">
        <v>596</v>
      </c>
      <c r="J283" s="266">
        <v>6.4939999999999998E-3</v>
      </c>
      <c r="K283" s="28" t="s">
        <v>597</v>
      </c>
      <c r="L283" s="126">
        <v>137142267787</v>
      </c>
      <c r="M283" s="126">
        <v>0</v>
      </c>
      <c r="N283" s="434"/>
      <c r="O283" s="434" t="s">
        <v>1753</v>
      </c>
      <c r="P283" s="215">
        <v>0.255</v>
      </c>
      <c r="Q283" s="216">
        <v>0.252</v>
      </c>
      <c r="R283" s="216">
        <v>0.36499999999999999</v>
      </c>
      <c r="S283" s="216">
        <v>0.128</v>
      </c>
      <c r="T283" s="216" t="s">
        <v>1452</v>
      </c>
      <c r="U283" s="53" t="s">
        <v>606</v>
      </c>
      <c r="V283" s="25">
        <v>0</v>
      </c>
      <c r="W283" s="24" t="s">
        <v>599</v>
      </c>
      <c r="X283" s="24"/>
      <c r="Y283" s="24" t="s">
        <v>2588</v>
      </c>
      <c r="Z283" s="491" t="s">
        <v>2569</v>
      </c>
      <c r="AA283" s="240">
        <v>0</v>
      </c>
      <c r="AB283" s="252">
        <v>0</v>
      </c>
      <c r="AC283" s="278">
        <f>+(Tabla1[[#This Row],[Avance PDI]]*100%)/Tabla1[[#This Row],[ponderacion_meta]]</f>
        <v>0</v>
      </c>
      <c r="AD283" s="279">
        <v>1.6559699999999999E-3</v>
      </c>
      <c r="AE283" s="279">
        <v>1.636488E-3</v>
      </c>
      <c r="AF283" s="279">
        <v>2.37031E-3</v>
      </c>
      <c r="AG283" s="279">
        <v>8.31232E-4</v>
      </c>
      <c r="AH283" s="396">
        <f t="shared" si="44"/>
        <v>2.6596669999999999E-2</v>
      </c>
      <c r="AI283" s="396">
        <f t="shared" si="45"/>
        <v>8.2625000000000032E-2</v>
      </c>
      <c r="AJ283" s="317">
        <f t="shared" si="46"/>
        <v>8.2625000000000032E-2</v>
      </c>
      <c r="AK283" s="385">
        <v>3.8964000000000004E-3</v>
      </c>
      <c r="AL283" s="402">
        <f t="shared" si="47"/>
        <v>6.666666666666668E-2</v>
      </c>
      <c r="AM283" s="327">
        <v>0</v>
      </c>
      <c r="AN283" s="410">
        <f t="shared" si="48"/>
        <v>7.1428571428571438E-2</v>
      </c>
      <c r="AO283" s="344" t="e">
        <f>+([1]!Tabla1[[#This Row],[ponderacion_accion]]/10000)*AQ283</f>
        <v>#REF!</v>
      </c>
      <c r="AP283" s="344" t="e">
        <f>Tabla1[[#This Row],[ponderacion_meta]]*AO283</f>
        <v>#REF!</v>
      </c>
      <c r="AQ283" s="354"/>
      <c r="AR283" s="378">
        <v>0</v>
      </c>
      <c r="AS283" s="9"/>
      <c r="AT283" s="521">
        <v>0</v>
      </c>
    </row>
    <row r="284" spans="1:46" ht="15" customHeight="1" x14ac:dyDescent="0.35">
      <c r="A284" s="236" t="s">
        <v>1151</v>
      </c>
      <c r="B284" s="400" t="s">
        <v>567</v>
      </c>
      <c r="C284" s="399" t="s">
        <v>1720</v>
      </c>
      <c r="D284" s="237" t="s">
        <v>1163</v>
      </c>
      <c r="E284" s="172" t="s">
        <v>568</v>
      </c>
      <c r="F284" s="176" t="s">
        <v>2608</v>
      </c>
      <c r="G284" s="160" t="s">
        <v>569</v>
      </c>
      <c r="H284" s="160" t="s">
        <v>1742</v>
      </c>
      <c r="I284" s="30" t="s">
        <v>596</v>
      </c>
      <c r="J284" s="266">
        <v>6.4939999999999998E-3</v>
      </c>
      <c r="K284" s="28" t="s">
        <v>597</v>
      </c>
      <c r="L284" s="126">
        <v>137142267787</v>
      </c>
      <c r="M284" s="126">
        <v>0</v>
      </c>
      <c r="N284" s="434"/>
      <c r="O284" s="434" t="s">
        <v>1753</v>
      </c>
      <c r="P284" s="215">
        <v>0.255</v>
      </c>
      <c r="Q284" s="216">
        <v>0.252</v>
      </c>
      <c r="R284" s="216">
        <v>0.36499999999999999</v>
      </c>
      <c r="S284" s="216">
        <v>0.128</v>
      </c>
      <c r="T284" s="216" t="s">
        <v>1453</v>
      </c>
      <c r="U284" s="53" t="s">
        <v>607</v>
      </c>
      <c r="V284" s="25">
        <v>0</v>
      </c>
      <c r="W284" s="24" t="s">
        <v>599</v>
      </c>
      <c r="X284" s="24"/>
      <c r="Y284" s="24" t="s">
        <v>2588</v>
      </c>
      <c r="Z284" s="491" t="s">
        <v>2569</v>
      </c>
      <c r="AA284" s="240">
        <v>0</v>
      </c>
      <c r="AB284" s="252">
        <v>0</v>
      </c>
      <c r="AC284" s="278">
        <f>+(Tabla1[[#This Row],[Avance PDI]]*100%)/Tabla1[[#This Row],[ponderacion_meta]]</f>
        <v>0</v>
      </c>
      <c r="AD284" s="279">
        <v>1.6559699999999999E-3</v>
      </c>
      <c r="AE284" s="279">
        <v>1.636488E-3</v>
      </c>
      <c r="AF284" s="279">
        <v>2.37031E-3</v>
      </c>
      <c r="AG284" s="279">
        <v>8.31232E-4</v>
      </c>
      <c r="AH284" s="396">
        <f t="shared" si="44"/>
        <v>2.6596669999999999E-2</v>
      </c>
      <c r="AI284" s="396">
        <f t="shared" si="45"/>
        <v>8.2625000000000032E-2</v>
      </c>
      <c r="AJ284" s="317">
        <f t="shared" si="46"/>
        <v>8.2625000000000032E-2</v>
      </c>
      <c r="AK284" s="385">
        <v>3.8964000000000004E-3</v>
      </c>
      <c r="AL284" s="402">
        <f t="shared" si="47"/>
        <v>6.666666666666668E-2</v>
      </c>
      <c r="AM284" s="327">
        <v>0</v>
      </c>
      <c r="AN284" s="410">
        <f t="shared" si="48"/>
        <v>7.1428571428571438E-2</v>
      </c>
      <c r="AO284" s="345" t="e">
        <f>+([1]!Tabla1[[#This Row],[ponderacion_accion]]/10000)*AQ284</f>
        <v>#REF!</v>
      </c>
      <c r="AP284" s="345" t="e">
        <f>Tabla1[[#This Row],[ponderacion_meta]]*AO284</f>
        <v>#REF!</v>
      </c>
      <c r="AQ284" s="357"/>
      <c r="AR284" s="379">
        <v>0</v>
      </c>
      <c r="AS284" s="9"/>
      <c r="AT284" s="521">
        <v>0</v>
      </c>
    </row>
    <row r="285" spans="1:46" ht="15" customHeight="1" x14ac:dyDescent="0.35">
      <c r="A285" s="236" t="s">
        <v>1151</v>
      </c>
      <c r="B285" s="400" t="s">
        <v>567</v>
      </c>
      <c r="C285" s="399" t="s">
        <v>1720</v>
      </c>
      <c r="D285" s="237" t="s">
        <v>1163</v>
      </c>
      <c r="E285" s="172" t="s">
        <v>568</v>
      </c>
      <c r="F285" s="176" t="s">
        <v>2608</v>
      </c>
      <c r="G285" s="160" t="s">
        <v>569</v>
      </c>
      <c r="H285" s="160" t="s">
        <v>1742</v>
      </c>
      <c r="I285" s="19" t="s">
        <v>608</v>
      </c>
      <c r="J285" s="267">
        <v>6.4939999999999998E-3</v>
      </c>
      <c r="K285" s="98" t="s">
        <v>609</v>
      </c>
      <c r="L285" s="132">
        <v>5030000000</v>
      </c>
      <c r="M285" s="132">
        <v>0</v>
      </c>
      <c r="N285" s="440"/>
      <c r="O285" s="440" t="s">
        <v>2622</v>
      </c>
      <c r="P285" s="191">
        <v>1</v>
      </c>
      <c r="Q285" s="188">
        <v>1</v>
      </c>
      <c r="R285" s="217">
        <v>0</v>
      </c>
      <c r="S285" s="217">
        <v>0</v>
      </c>
      <c r="T285" s="217" t="s">
        <v>1454</v>
      </c>
      <c r="U285" s="52" t="s">
        <v>610</v>
      </c>
      <c r="V285" s="15">
        <v>0.1</v>
      </c>
      <c r="W285" s="26" t="s">
        <v>82</v>
      </c>
      <c r="X285" s="26"/>
      <c r="Y285" s="14" t="s">
        <v>2587</v>
      </c>
      <c r="Z285" s="98" t="s">
        <v>2536</v>
      </c>
      <c r="AA285" s="239">
        <f>+J285*V285</f>
        <v>6.4940000000000006E-4</v>
      </c>
      <c r="AB285" s="255">
        <f>+(Tabla1[[#This Row],[ponderacion_meta]]*Tabla1[[#This Row],[ponderacion_accion]])/2*1</f>
        <v>3.2470000000000003E-4</v>
      </c>
      <c r="AC285" s="262">
        <f>+(Tabla1[[#This Row],[Avance PDI]]*100%)/Tabla1[[#This Row],[ponderacion_meta]]</f>
        <v>5.000000000000001E-2</v>
      </c>
      <c r="AD285" s="257">
        <f>+Tabla1[[#This Row],[ponderacion_meta]]/2*Tabla1[[#This Row],[proyeccion_año1]]</f>
        <v>3.2469999999999999E-3</v>
      </c>
      <c r="AE285" s="257">
        <f>+Tabla1[[#This Row],[ponderacion_meta]]/2*Tabla1[[#This Row],[proyeccion_año2]]</f>
        <v>3.2469999999999999E-3</v>
      </c>
      <c r="AF285" s="257">
        <f>+Tabla1[[#This Row],[ponderacion_meta]]*Tabla1[[#This Row],[proyeccion_año3]]</f>
        <v>0</v>
      </c>
      <c r="AG285" s="257">
        <f>+Tabla1[[#This Row],[ponderacion_meta]]*Tabla1[[#This Row],[proyeccion_año4]]</f>
        <v>0</v>
      </c>
      <c r="AH285" s="396">
        <f t="shared" si="44"/>
        <v>2.6596669999999999E-2</v>
      </c>
      <c r="AI285" s="396">
        <f t="shared" si="45"/>
        <v>8.2625000000000032E-2</v>
      </c>
      <c r="AJ285" s="317">
        <f t="shared" si="46"/>
        <v>8.2625000000000032E-2</v>
      </c>
      <c r="AK285" s="385">
        <v>3.8964000000000004E-3</v>
      </c>
      <c r="AL285" s="402">
        <f t="shared" si="47"/>
        <v>6.666666666666668E-2</v>
      </c>
      <c r="AM285" s="327">
        <v>0</v>
      </c>
      <c r="AN285" s="410">
        <f t="shared" si="48"/>
        <v>7.1428571428571438E-2</v>
      </c>
      <c r="AO285" s="358" t="e">
        <f>+([1]!Tabla1[[#This Row],[ponderacion_accion]]/2)*AQ285</f>
        <v>#REF!</v>
      </c>
      <c r="AP285" s="358" t="e">
        <f>Tabla1[[#This Row],[ponderacion_meta]]*AO285</f>
        <v>#REF!</v>
      </c>
      <c r="AQ285" s="361">
        <v>1</v>
      </c>
      <c r="AR285" s="380">
        <v>2185000000</v>
      </c>
      <c r="AS285" s="7" t="e">
        <f>+((SUM(AO285:AO290)*100)/100)</f>
        <v>#REF!</v>
      </c>
      <c r="AT285" s="521">
        <v>0</v>
      </c>
    </row>
    <row r="286" spans="1:46" ht="15" customHeight="1" x14ac:dyDescent="0.35">
      <c r="A286" s="236" t="s">
        <v>1151</v>
      </c>
      <c r="B286" s="400" t="s">
        <v>567</v>
      </c>
      <c r="C286" s="399" t="s">
        <v>1720</v>
      </c>
      <c r="D286" s="237" t="s">
        <v>1163</v>
      </c>
      <c r="E286" s="172" t="s">
        <v>568</v>
      </c>
      <c r="F286" s="176" t="s">
        <v>2608</v>
      </c>
      <c r="G286" s="160" t="s">
        <v>569</v>
      </c>
      <c r="H286" s="160" t="s">
        <v>1742</v>
      </c>
      <c r="I286" s="19" t="s">
        <v>608</v>
      </c>
      <c r="J286" s="267">
        <v>6.4939999999999998E-3</v>
      </c>
      <c r="K286" s="98" t="s">
        <v>609</v>
      </c>
      <c r="L286" s="132">
        <v>5030000000</v>
      </c>
      <c r="M286" s="132">
        <v>0</v>
      </c>
      <c r="N286" s="440"/>
      <c r="O286" s="440" t="s">
        <v>2622</v>
      </c>
      <c r="P286" s="191">
        <v>1</v>
      </c>
      <c r="Q286" s="188">
        <v>1</v>
      </c>
      <c r="R286" s="217">
        <v>0</v>
      </c>
      <c r="S286" s="217">
        <v>0</v>
      </c>
      <c r="T286" s="217" t="s">
        <v>1455</v>
      </c>
      <c r="U286" s="52" t="s">
        <v>611</v>
      </c>
      <c r="V286" s="15">
        <v>0.1</v>
      </c>
      <c r="W286" s="26" t="s">
        <v>612</v>
      </c>
      <c r="X286" s="26"/>
      <c r="Y286" s="14" t="s">
        <v>2587</v>
      </c>
      <c r="Z286" s="98" t="s">
        <v>2536</v>
      </c>
      <c r="AA286" s="239">
        <f>+J286*V286</f>
        <v>6.4940000000000006E-4</v>
      </c>
      <c r="AB286" s="255">
        <f>+(Tabla1[[#This Row],[ponderacion_meta]]*Tabla1[[#This Row],[ponderacion_accion]])/2*1</f>
        <v>3.2470000000000003E-4</v>
      </c>
      <c r="AC286" s="262">
        <f>+(Tabla1[[#This Row],[Avance PDI]]*100%)/Tabla1[[#This Row],[ponderacion_meta]]</f>
        <v>5.000000000000001E-2</v>
      </c>
      <c r="AD286" s="257">
        <v>3.2469999999999999E-3</v>
      </c>
      <c r="AE286" s="257">
        <v>3.2469999999999999E-3</v>
      </c>
      <c r="AF286" s="257">
        <v>0</v>
      </c>
      <c r="AG286" s="257">
        <v>0</v>
      </c>
      <c r="AH286" s="396">
        <f t="shared" si="44"/>
        <v>2.6596669999999999E-2</v>
      </c>
      <c r="AI286" s="396">
        <f t="shared" si="45"/>
        <v>8.2625000000000032E-2</v>
      </c>
      <c r="AJ286" s="317">
        <f t="shared" si="46"/>
        <v>8.2625000000000032E-2</v>
      </c>
      <c r="AK286" s="385">
        <v>3.8964000000000004E-3</v>
      </c>
      <c r="AL286" s="402">
        <f t="shared" si="47"/>
        <v>6.666666666666668E-2</v>
      </c>
      <c r="AM286" s="327">
        <v>0</v>
      </c>
      <c r="AN286" s="410">
        <f t="shared" si="48"/>
        <v>7.1428571428571438E-2</v>
      </c>
      <c r="AO286" s="359" t="e">
        <f>+([1]!Tabla1[[#This Row],[ponderacion_accion]]/2)*AQ286</f>
        <v>#REF!</v>
      </c>
      <c r="AP286" s="359" t="e">
        <f>Tabla1[[#This Row],[ponderacion_meta]]*AO286</f>
        <v>#REF!</v>
      </c>
      <c r="AQ286" s="351">
        <v>1</v>
      </c>
      <c r="AR286" s="380">
        <v>0</v>
      </c>
      <c r="AS286" s="9"/>
      <c r="AT286" s="521">
        <v>0</v>
      </c>
    </row>
    <row r="287" spans="1:46" ht="15" customHeight="1" x14ac:dyDescent="0.35">
      <c r="A287" s="236" t="s">
        <v>1151</v>
      </c>
      <c r="B287" s="400" t="s">
        <v>567</v>
      </c>
      <c r="C287" s="399" t="s">
        <v>1720</v>
      </c>
      <c r="D287" s="237" t="s">
        <v>1163</v>
      </c>
      <c r="E287" s="172" t="s">
        <v>568</v>
      </c>
      <c r="F287" s="176" t="s">
        <v>2608</v>
      </c>
      <c r="G287" s="160" t="s">
        <v>569</v>
      </c>
      <c r="H287" s="160" t="s">
        <v>1742</v>
      </c>
      <c r="I287" s="19" t="s">
        <v>608</v>
      </c>
      <c r="J287" s="267">
        <v>6.4939999999999998E-3</v>
      </c>
      <c r="K287" s="98" t="s">
        <v>609</v>
      </c>
      <c r="L287" s="132">
        <v>5030000000</v>
      </c>
      <c r="M287" s="132">
        <v>0</v>
      </c>
      <c r="N287" s="440"/>
      <c r="O287" s="440" t="s">
        <v>2622</v>
      </c>
      <c r="P287" s="191">
        <v>1</v>
      </c>
      <c r="Q287" s="188">
        <v>1</v>
      </c>
      <c r="R287" s="217">
        <v>0</v>
      </c>
      <c r="S287" s="217">
        <v>0</v>
      </c>
      <c r="T287" s="217" t="s">
        <v>1456</v>
      </c>
      <c r="U287" s="52" t="s">
        <v>613</v>
      </c>
      <c r="V287" s="15">
        <v>0.8</v>
      </c>
      <c r="W287" s="26" t="s">
        <v>614</v>
      </c>
      <c r="X287" s="26"/>
      <c r="Y287" s="14" t="s">
        <v>2587</v>
      </c>
      <c r="Z287" s="98" t="s">
        <v>2536</v>
      </c>
      <c r="AA287" s="239">
        <f>+J287*V287</f>
        <v>5.1952000000000005E-3</v>
      </c>
      <c r="AB287" s="255">
        <f>+(Tabla1[[#This Row],[ponderacion_meta]]*Tabla1[[#This Row],[ponderacion_accion]])/2*1</f>
        <v>2.5976000000000003E-3</v>
      </c>
      <c r="AC287" s="262">
        <f>+(Tabla1[[#This Row],[Avance PDI]]*100%)/Tabla1[[#This Row],[ponderacion_meta]]</f>
        <v>0.40000000000000008</v>
      </c>
      <c r="AD287" s="257">
        <v>3.2469999999999999E-3</v>
      </c>
      <c r="AE287" s="257">
        <v>3.2469999999999999E-3</v>
      </c>
      <c r="AF287" s="257">
        <v>0</v>
      </c>
      <c r="AG287" s="257">
        <v>0</v>
      </c>
      <c r="AH287" s="396">
        <f t="shared" si="44"/>
        <v>2.6596669999999999E-2</v>
      </c>
      <c r="AI287" s="396">
        <f t="shared" si="45"/>
        <v>8.2625000000000032E-2</v>
      </c>
      <c r="AJ287" s="317">
        <f t="shared" si="46"/>
        <v>8.2625000000000032E-2</v>
      </c>
      <c r="AK287" s="385">
        <v>3.8964000000000004E-3</v>
      </c>
      <c r="AL287" s="402">
        <f t="shared" si="47"/>
        <v>6.666666666666668E-2</v>
      </c>
      <c r="AM287" s="327">
        <v>0</v>
      </c>
      <c r="AN287" s="410">
        <f t="shared" si="48"/>
        <v>7.1428571428571438E-2</v>
      </c>
      <c r="AO287" s="360" t="e">
        <f>+([1]!Tabla1[[#This Row],[ponderacion_accion]]/2)*AQ287</f>
        <v>#REF!</v>
      </c>
      <c r="AP287" s="360" t="e">
        <f>Tabla1[[#This Row],[ponderacion_meta]]*AO287</f>
        <v>#REF!</v>
      </c>
      <c r="AQ287" s="356">
        <v>1</v>
      </c>
      <c r="AR287" s="380">
        <v>0</v>
      </c>
      <c r="AS287" s="9"/>
      <c r="AT287" s="521">
        <v>0</v>
      </c>
    </row>
    <row r="288" spans="1:46" ht="15" customHeight="1" x14ac:dyDescent="0.35">
      <c r="A288" s="236" t="s">
        <v>1151</v>
      </c>
      <c r="B288" s="400" t="s">
        <v>567</v>
      </c>
      <c r="C288" s="399" t="s">
        <v>1720</v>
      </c>
      <c r="D288" s="237" t="s">
        <v>1163</v>
      </c>
      <c r="E288" s="172" t="s">
        <v>568</v>
      </c>
      <c r="F288" s="176" t="s">
        <v>2608</v>
      </c>
      <c r="G288" s="160" t="s">
        <v>569</v>
      </c>
      <c r="H288" s="160" t="s">
        <v>1742</v>
      </c>
      <c r="I288" s="30" t="s">
        <v>615</v>
      </c>
      <c r="J288" s="266">
        <v>6.4939999999999998E-3</v>
      </c>
      <c r="K288" s="28" t="s">
        <v>616</v>
      </c>
      <c r="L288" s="126">
        <v>1612593489</v>
      </c>
      <c r="M288" s="126">
        <v>0</v>
      </c>
      <c r="N288" s="434"/>
      <c r="O288" s="434" t="s">
        <v>1753</v>
      </c>
      <c r="P288" s="213">
        <v>0.05</v>
      </c>
      <c r="Q288" s="214">
        <v>0.08</v>
      </c>
      <c r="R288" s="214">
        <v>0.26</v>
      </c>
      <c r="S288" s="214">
        <v>0.61</v>
      </c>
      <c r="T288" s="214" t="s">
        <v>1457</v>
      </c>
      <c r="U288" s="53" t="s">
        <v>617</v>
      </c>
      <c r="V288" s="27">
        <v>1</v>
      </c>
      <c r="W288" s="24" t="s">
        <v>618</v>
      </c>
      <c r="X288" s="24"/>
      <c r="Y288" s="23" t="s">
        <v>2588</v>
      </c>
      <c r="Z288" s="28" t="s">
        <v>2536</v>
      </c>
      <c r="AA288" s="240">
        <f>+J288*V288</f>
        <v>6.4939999999999998E-3</v>
      </c>
      <c r="AB288" s="252">
        <v>0</v>
      </c>
      <c r="AC288" s="278">
        <f>+(Tabla1[[#This Row],[Avance PDI]]*100%)/Tabla1[[#This Row],[ponderacion_meta]]</f>
        <v>0</v>
      </c>
      <c r="AD288" s="279">
        <f>+Tabla1[[#This Row],[ponderacion_meta]]*Tabla1[[#This Row],[proyeccion_año1]]</f>
        <v>3.2470000000000003E-4</v>
      </c>
      <c r="AE288" s="279">
        <f>+Tabla1[[#This Row],[ponderacion_meta]]*Tabla1[[#This Row],[proyeccion_año2]]</f>
        <v>5.1951999999999999E-4</v>
      </c>
      <c r="AF288" s="279">
        <f>+Tabla1[[#This Row],[ponderacion_meta]]*Tabla1[[#This Row],[proyeccion_año3]]</f>
        <v>1.68844E-3</v>
      </c>
      <c r="AG288" s="279">
        <f>+Tabla1[[#This Row],[ponderacion_meta]]*Tabla1[[#This Row],[proyeccion_año4]]</f>
        <v>3.9613399999999998E-3</v>
      </c>
      <c r="AH288" s="396">
        <f t="shared" si="44"/>
        <v>2.6596669999999999E-2</v>
      </c>
      <c r="AI288" s="396">
        <f t="shared" si="45"/>
        <v>8.2625000000000032E-2</v>
      </c>
      <c r="AJ288" s="317">
        <f t="shared" si="46"/>
        <v>8.2625000000000032E-2</v>
      </c>
      <c r="AK288" s="385">
        <v>3.8964000000000004E-3</v>
      </c>
      <c r="AL288" s="402">
        <f t="shared" si="47"/>
        <v>6.666666666666668E-2</v>
      </c>
      <c r="AM288" s="327">
        <v>0</v>
      </c>
      <c r="AN288" s="410">
        <f t="shared" si="48"/>
        <v>7.1428571428571438E-2</v>
      </c>
      <c r="AO288" s="343" t="e">
        <f>+([1]!Tabla1[[#This Row],[ponderacion_accion]]/3)*AQ288</f>
        <v>#REF!</v>
      </c>
      <c r="AP288" s="343" t="e">
        <f>Tabla1[[#This Row],[ponderacion_meta]]*AO288</f>
        <v>#REF!</v>
      </c>
      <c r="AQ288" s="353"/>
      <c r="AR288" s="377">
        <v>496493311.75</v>
      </c>
      <c r="AS288" s="7" t="e">
        <f>+((SUM(AO288:AO291)*100)/0)</f>
        <v>#REF!</v>
      </c>
      <c r="AT288" s="521">
        <v>0</v>
      </c>
    </row>
    <row r="289" spans="1:46" ht="15" customHeight="1" x14ac:dyDescent="0.35">
      <c r="A289" s="236" t="s">
        <v>1151</v>
      </c>
      <c r="B289" s="400" t="s">
        <v>567</v>
      </c>
      <c r="C289" s="399" t="s">
        <v>1720</v>
      </c>
      <c r="D289" s="237" t="s">
        <v>1163</v>
      </c>
      <c r="E289" s="172" t="s">
        <v>568</v>
      </c>
      <c r="F289" s="176" t="s">
        <v>2608</v>
      </c>
      <c r="G289" s="160" t="s">
        <v>569</v>
      </c>
      <c r="H289" s="160" t="s">
        <v>1742</v>
      </c>
      <c r="I289" s="30" t="s">
        <v>615</v>
      </c>
      <c r="J289" s="266">
        <v>6.4939999999999998E-3</v>
      </c>
      <c r="K289" s="28" t="s">
        <v>616</v>
      </c>
      <c r="L289" s="126">
        <v>1612593489</v>
      </c>
      <c r="M289" s="126">
        <v>0</v>
      </c>
      <c r="N289" s="434"/>
      <c r="O289" s="434" t="s">
        <v>1753</v>
      </c>
      <c r="P289" s="213">
        <v>0.05</v>
      </c>
      <c r="Q289" s="214">
        <v>0.08</v>
      </c>
      <c r="R289" s="214">
        <v>0.26</v>
      </c>
      <c r="S289" s="214">
        <v>0.61</v>
      </c>
      <c r="T289" s="214" t="s">
        <v>1458</v>
      </c>
      <c r="U289" s="53" t="s">
        <v>619</v>
      </c>
      <c r="V289" s="25">
        <v>0</v>
      </c>
      <c r="W289" s="24" t="s">
        <v>618</v>
      </c>
      <c r="X289" s="24"/>
      <c r="Y289" s="23" t="s">
        <v>2588</v>
      </c>
      <c r="Z289" s="28" t="s">
        <v>2536</v>
      </c>
      <c r="AA289" s="240">
        <v>0</v>
      </c>
      <c r="AB289" s="252">
        <v>0</v>
      </c>
      <c r="AC289" s="278">
        <f>+(Tabla1[[#This Row],[Avance PDI]]*100%)/Tabla1[[#This Row],[ponderacion_meta]]</f>
        <v>0</v>
      </c>
      <c r="AD289" s="279">
        <v>3.2470000000000003E-4</v>
      </c>
      <c r="AE289" s="279">
        <v>5.1951999999999999E-4</v>
      </c>
      <c r="AF289" s="279">
        <v>1.68844E-3</v>
      </c>
      <c r="AG289" s="279">
        <v>3.9613399999999998E-3</v>
      </c>
      <c r="AH289" s="396">
        <f t="shared" si="44"/>
        <v>2.6596669999999999E-2</v>
      </c>
      <c r="AI289" s="396">
        <f t="shared" si="45"/>
        <v>8.2625000000000032E-2</v>
      </c>
      <c r="AJ289" s="317">
        <f t="shared" si="46"/>
        <v>8.2625000000000032E-2</v>
      </c>
      <c r="AK289" s="385">
        <v>3.8964000000000004E-3</v>
      </c>
      <c r="AL289" s="402">
        <f t="shared" si="47"/>
        <v>6.666666666666668E-2</v>
      </c>
      <c r="AM289" s="327">
        <v>0</v>
      </c>
      <c r="AN289" s="410">
        <f t="shared" si="48"/>
        <v>7.1428571428571438E-2</v>
      </c>
      <c r="AO289" s="344" t="e">
        <f>+([1]!Tabla1[[#This Row],[ponderacion_accion]]/3)*AQ289</f>
        <v>#REF!</v>
      </c>
      <c r="AP289" s="344" t="e">
        <f>Tabla1[[#This Row],[ponderacion_meta]]*AO289</f>
        <v>#REF!</v>
      </c>
      <c r="AQ289" s="354"/>
      <c r="AR289" s="378">
        <v>0</v>
      </c>
      <c r="AS289" s="9"/>
      <c r="AT289" s="521">
        <v>0</v>
      </c>
    </row>
    <row r="290" spans="1:46" ht="15" customHeight="1" x14ac:dyDescent="0.35">
      <c r="A290" s="236" t="s">
        <v>1151</v>
      </c>
      <c r="B290" s="400" t="s">
        <v>567</v>
      </c>
      <c r="C290" s="399" t="s">
        <v>1720</v>
      </c>
      <c r="D290" s="237" t="s">
        <v>1163</v>
      </c>
      <c r="E290" s="172" t="s">
        <v>568</v>
      </c>
      <c r="F290" s="176" t="s">
        <v>2608</v>
      </c>
      <c r="G290" s="160" t="s">
        <v>569</v>
      </c>
      <c r="H290" s="160" t="s">
        <v>1742</v>
      </c>
      <c r="I290" s="30" t="s">
        <v>615</v>
      </c>
      <c r="J290" s="266">
        <v>6.4939999999999998E-3</v>
      </c>
      <c r="K290" s="28" t="s">
        <v>616</v>
      </c>
      <c r="L290" s="126">
        <v>1612593489</v>
      </c>
      <c r="M290" s="126">
        <v>0</v>
      </c>
      <c r="N290" s="434"/>
      <c r="O290" s="434" t="s">
        <v>1753</v>
      </c>
      <c r="P290" s="213">
        <v>0.05</v>
      </c>
      <c r="Q290" s="214">
        <v>0.08</v>
      </c>
      <c r="R290" s="214">
        <v>0.26</v>
      </c>
      <c r="S290" s="214">
        <v>0.61</v>
      </c>
      <c r="T290" s="214" t="s">
        <v>1459</v>
      </c>
      <c r="U290" s="53" t="s">
        <v>620</v>
      </c>
      <c r="V290" s="25">
        <v>0</v>
      </c>
      <c r="W290" s="24" t="s">
        <v>618</v>
      </c>
      <c r="X290" s="24"/>
      <c r="Y290" s="23" t="s">
        <v>2588</v>
      </c>
      <c r="Z290" s="28" t="s">
        <v>2536</v>
      </c>
      <c r="AA290" s="240">
        <v>0</v>
      </c>
      <c r="AB290" s="252">
        <v>0</v>
      </c>
      <c r="AC290" s="278">
        <f>+(Tabla1[[#This Row],[Avance PDI]]*100%)/Tabla1[[#This Row],[ponderacion_meta]]</f>
        <v>0</v>
      </c>
      <c r="AD290" s="279">
        <v>3.2470000000000003E-4</v>
      </c>
      <c r="AE290" s="279">
        <v>5.1951999999999999E-4</v>
      </c>
      <c r="AF290" s="279">
        <v>1.68844E-3</v>
      </c>
      <c r="AG290" s="279">
        <v>3.9613399999999998E-3</v>
      </c>
      <c r="AH290" s="396">
        <f t="shared" si="44"/>
        <v>2.6596669999999999E-2</v>
      </c>
      <c r="AI290" s="396">
        <f t="shared" si="45"/>
        <v>8.2625000000000032E-2</v>
      </c>
      <c r="AJ290" s="317">
        <f t="shared" si="46"/>
        <v>8.2625000000000032E-2</v>
      </c>
      <c r="AK290" s="385">
        <v>3.8964000000000004E-3</v>
      </c>
      <c r="AL290" s="402">
        <f t="shared" si="47"/>
        <v>6.666666666666668E-2</v>
      </c>
      <c r="AM290" s="327">
        <v>0</v>
      </c>
      <c r="AN290" s="410">
        <f t="shared" si="48"/>
        <v>7.1428571428571438E-2</v>
      </c>
      <c r="AO290" s="344" t="e">
        <f>+([1]!Tabla1[[#This Row],[ponderacion_accion]]/3)*AQ290</f>
        <v>#REF!</v>
      </c>
      <c r="AP290" s="344" t="e">
        <f>Tabla1[[#This Row],[ponderacion_meta]]*AO290</f>
        <v>#REF!</v>
      </c>
      <c r="AQ290" s="354"/>
      <c r="AR290" s="378">
        <v>0</v>
      </c>
      <c r="AS290" s="9"/>
      <c r="AT290" s="521">
        <v>0</v>
      </c>
    </row>
    <row r="291" spans="1:46" ht="15" customHeight="1" x14ac:dyDescent="0.35">
      <c r="A291" s="236" t="s">
        <v>1151</v>
      </c>
      <c r="B291" s="400" t="s">
        <v>567</v>
      </c>
      <c r="C291" s="399" t="s">
        <v>1720</v>
      </c>
      <c r="D291" s="237" t="s">
        <v>1163</v>
      </c>
      <c r="E291" s="172" t="s">
        <v>568</v>
      </c>
      <c r="F291" s="176" t="s">
        <v>2608</v>
      </c>
      <c r="G291" s="160" t="s">
        <v>569</v>
      </c>
      <c r="H291" s="160" t="s">
        <v>1742</v>
      </c>
      <c r="I291" s="30" t="s">
        <v>615</v>
      </c>
      <c r="J291" s="266">
        <v>6.4939999999999998E-3</v>
      </c>
      <c r="K291" s="28" t="s">
        <v>616</v>
      </c>
      <c r="L291" s="126">
        <v>1612593489</v>
      </c>
      <c r="M291" s="126">
        <v>0</v>
      </c>
      <c r="N291" s="434"/>
      <c r="O291" s="434" t="s">
        <v>1753</v>
      </c>
      <c r="P291" s="213">
        <v>0.05</v>
      </c>
      <c r="Q291" s="214">
        <v>0.08</v>
      </c>
      <c r="R291" s="214">
        <v>0.26</v>
      </c>
      <c r="S291" s="214">
        <v>0.61</v>
      </c>
      <c r="T291" s="214" t="s">
        <v>1460</v>
      </c>
      <c r="U291" s="53" t="s">
        <v>621</v>
      </c>
      <c r="V291" s="25">
        <v>0</v>
      </c>
      <c r="W291" s="24" t="s">
        <v>618</v>
      </c>
      <c r="X291" s="24"/>
      <c r="Y291" s="23" t="s">
        <v>2588</v>
      </c>
      <c r="Z291" s="28" t="s">
        <v>2536</v>
      </c>
      <c r="AA291" s="240">
        <v>0</v>
      </c>
      <c r="AB291" s="252">
        <v>0</v>
      </c>
      <c r="AC291" s="278">
        <f>+(Tabla1[[#This Row],[Avance PDI]]*100%)/Tabla1[[#This Row],[ponderacion_meta]]</f>
        <v>0</v>
      </c>
      <c r="AD291" s="279">
        <v>3.2470000000000003E-4</v>
      </c>
      <c r="AE291" s="279">
        <v>5.1951999999999999E-4</v>
      </c>
      <c r="AF291" s="279">
        <v>1.68844E-3</v>
      </c>
      <c r="AG291" s="279">
        <v>3.9613399999999998E-3</v>
      </c>
      <c r="AH291" s="396">
        <f t="shared" si="44"/>
        <v>2.6596669999999999E-2</v>
      </c>
      <c r="AI291" s="396">
        <f t="shared" si="45"/>
        <v>8.2625000000000032E-2</v>
      </c>
      <c r="AJ291" s="317">
        <f t="shared" si="46"/>
        <v>8.2625000000000032E-2</v>
      </c>
      <c r="AK291" s="385">
        <v>3.8964000000000004E-3</v>
      </c>
      <c r="AL291" s="402">
        <f t="shared" si="47"/>
        <v>6.666666666666668E-2</v>
      </c>
      <c r="AM291" s="327">
        <v>0</v>
      </c>
      <c r="AN291" s="410">
        <f t="shared" si="48"/>
        <v>7.1428571428571438E-2</v>
      </c>
      <c r="AO291" s="345" t="e">
        <f>+([1]!Tabla1[[#This Row],[ponderacion_accion]]/3)*AQ291</f>
        <v>#REF!</v>
      </c>
      <c r="AP291" s="345" t="e">
        <f>Tabla1[[#This Row],[ponderacion_meta]]*AO291</f>
        <v>#REF!</v>
      </c>
      <c r="AQ291" s="357"/>
      <c r="AR291" s="379">
        <v>0</v>
      </c>
      <c r="AS291" s="9"/>
      <c r="AT291" s="521">
        <v>0</v>
      </c>
    </row>
    <row r="292" spans="1:46" ht="15" customHeight="1" x14ac:dyDescent="0.35">
      <c r="A292" s="236" t="s">
        <v>1151</v>
      </c>
      <c r="B292" s="400" t="s">
        <v>567</v>
      </c>
      <c r="C292" s="399" t="s">
        <v>1720</v>
      </c>
      <c r="D292" s="237" t="s">
        <v>1163</v>
      </c>
      <c r="E292" s="172" t="s">
        <v>568</v>
      </c>
      <c r="F292" s="176" t="s">
        <v>2608</v>
      </c>
      <c r="G292" s="160" t="s">
        <v>569</v>
      </c>
      <c r="H292" s="160" t="s">
        <v>1742</v>
      </c>
      <c r="I292" s="14" t="s">
        <v>622</v>
      </c>
      <c r="J292" s="265">
        <v>6.4939999999999998E-3</v>
      </c>
      <c r="K292" s="26" t="s">
        <v>623</v>
      </c>
      <c r="L292" s="127">
        <v>80955061794</v>
      </c>
      <c r="M292" s="127">
        <v>0</v>
      </c>
      <c r="N292" s="435"/>
      <c r="O292" s="435" t="s">
        <v>1753</v>
      </c>
      <c r="P292" s="185">
        <v>0.3</v>
      </c>
      <c r="Q292" s="186">
        <v>0.2</v>
      </c>
      <c r="R292" s="186">
        <v>0.4</v>
      </c>
      <c r="S292" s="186">
        <v>0.1</v>
      </c>
      <c r="T292" s="186" t="s">
        <v>1461</v>
      </c>
      <c r="U292" s="52" t="s">
        <v>572</v>
      </c>
      <c r="V292" s="15">
        <v>0.1</v>
      </c>
      <c r="W292" s="26" t="s">
        <v>573</v>
      </c>
      <c r="X292" s="26"/>
      <c r="Y292" s="14" t="s">
        <v>2587</v>
      </c>
      <c r="Z292" s="500" t="s">
        <v>2569</v>
      </c>
      <c r="AA292" s="239">
        <f t="shared" ref="AA292:AA355" si="49">+J292*V292</f>
        <v>6.4940000000000006E-4</v>
      </c>
      <c r="AB292" s="252">
        <v>0</v>
      </c>
      <c r="AC292" s="262">
        <f>+(Tabla1[[#This Row],[Avance PDI]]*100%)/Tabla1[[#This Row],[ponderacion_meta]]</f>
        <v>0</v>
      </c>
      <c r="AD292" s="257">
        <f>+Tabla1[[#This Row],[ponderacion_meta]]*Tabla1[[#This Row],[proyeccion_año1]]</f>
        <v>1.9481999999999998E-3</v>
      </c>
      <c r="AE292" s="257">
        <f>+Tabla1[[#This Row],[ponderacion_meta]]*Tabla1[[#This Row],[proyeccion_año2]]</f>
        <v>1.2988000000000001E-3</v>
      </c>
      <c r="AF292" s="257">
        <f>+Tabla1[[#This Row],[ponderacion_meta]]*Tabla1[[#This Row],[proyeccion_año3]]</f>
        <v>2.5976000000000003E-3</v>
      </c>
      <c r="AG292" s="257">
        <f>+Tabla1[[#This Row],[ponderacion_meta]]*Tabla1[[#This Row],[proyeccion_año4]]</f>
        <v>6.4940000000000006E-4</v>
      </c>
      <c r="AH292" s="396">
        <f t="shared" si="44"/>
        <v>2.6596669999999999E-2</v>
      </c>
      <c r="AI292" s="396">
        <f t="shared" si="45"/>
        <v>8.2625000000000032E-2</v>
      </c>
      <c r="AJ292" s="317">
        <f t="shared" si="46"/>
        <v>8.2625000000000032E-2</v>
      </c>
      <c r="AK292" s="385">
        <v>3.8964000000000004E-3</v>
      </c>
      <c r="AL292" s="402">
        <f t="shared" si="47"/>
        <v>6.666666666666668E-2</v>
      </c>
      <c r="AM292" s="327">
        <v>0</v>
      </c>
      <c r="AN292" s="410">
        <f t="shared" si="48"/>
        <v>7.1428571428571438E-2</v>
      </c>
      <c r="AO292" s="358" t="e">
        <f>+([1]!Tabla1[[#This Row],[ponderacion_accion]]/10%)*AQ292</f>
        <v>#REF!</v>
      </c>
      <c r="AP292" s="358" t="e">
        <f>Tabla1[[#This Row],[ponderacion_meta]]*AO292</f>
        <v>#REF!</v>
      </c>
      <c r="AQ292" s="361"/>
      <c r="AR292" s="380">
        <v>0</v>
      </c>
      <c r="AS292" s="7" t="e">
        <f>+((SUM(AO292:AO297)*100)/50)</f>
        <v>#REF!</v>
      </c>
      <c r="AT292" s="521">
        <v>0</v>
      </c>
    </row>
    <row r="293" spans="1:46" ht="15" customHeight="1" x14ac:dyDescent="0.35">
      <c r="A293" s="236" t="s">
        <v>1151</v>
      </c>
      <c r="B293" s="400" t="s">
        <v>567</v>
      </c>
      <c r="C293" s="399" t="s">
        <v>1720</v>
      </c>
      <c r="D293" s="237" t="s">
        <v>1163</v>
      </c>
      <c r="E293" s="172" t="s">
        <v>568</v>
      </c>
      <c r="F293" s="176" t="s">
        <v>2608</v>
      </c>
      <c r="G293" s="160" t="s">
        <v>569</v>
      </c>
      <c r="H293" s="160" t="s">
        <v>1742</v>
      </c>
      <c r="I293" s="19" t="s">
        <v>622</v>
      </c>
      <c r="J293" s="267">
        <v>6.4939999999999998E-3</v>
      </c>
      <c r="K293" s="98" t="s">
        <v>623</v>
      </c>
      <c r="L293" s="134">
        <v>80955061794</v>
      </c>
      <c r="M293" s="134">
        <v>0</v>
      </c>
      <c r="N293" s="442"/>
      <c r="O293" s="442" t="s">
        <v>1753</v>
      </c>
      <c r="P293" s="204">
        <v>0.3</v>
      </c>
      <c r="Q293" s="205">
        <v>0.2</v>
      </c>
      <c r="R293" s="205">
        <v>0.4</v>
      </c>
      <c r="S293" s="205">
        <v>0.1</v>
      </c>
      <c r="T293" s="205" t="s">
        <v>1462</v>
      </c>
      <c r="U293" s="52" t="s">
        <v>624</v>
      </c>
      <c r="V293" s="15">
        <v>0.1</v>
      </c>
      <c r="W293" s="26" t="s">
        <v>575</v>
      </c>
      <c r="X293" s="26"/>
      <c r="Y293" s="14" t="s">
        <v>2587</v>
      </c>
      <c r="Z293" s="501" t="s">
        <v>2569</v>
      </c>
      <c r="AA293" s="239">
        <f t="shared" si="49"/>
        <v>6.4940000000000006E-4</v>
      </c>
      <c r="AB293" s="252">
        <v>0</v>
      </c>
      <c r="AC293" s="262">
        <f>+(Tabla1[[#This Row],[Avance PDI]]*100%)/Tabla1[[#This Row],[ponderacion_meta]]</f>
        <v>0</v>
      </c>
      <c r="AD293" s="257">
        <v>1.9481999999999998E-3</v>
      </c>
      <c r="AE293" s="257">
        <v>1.2988000000000001E-3</v>
      </c>
      <c r="AF293" s="257">
        <v>2.5976000000000003E-3</v>
      </c>
      <c r="AG293" s="257">
        <v>6.4940000000000006E-4</v>
      </c>
      <c r="AH293" s="396">
        <f t="shared" si="44"/>
        <v>2.6596669999999999E-2</v>
      </c>
      <c r="AI293" s="396">
        <f t="shared" si="45"/>
        <v>8.2625000000000032E-2</v>
      </c>
      <c r="AJ293" s="317">
        <f t="shared" si="46"/>
        <v>8.2625000000000032E-2</v>
      </c>
      <c r="AK293" s="385">
        <v>3.8964000000000004E-3</v>
      </c>
      <c r="AL293" s="402">
        <f t="shared" si="47"/>
        <v>6.666666666666668E-2</v>
      </c>
      <c r="AM293" s="327">
        <v>0</v>
      </c>
      <c r="AN293" s="410">
        <f t="shared" si="48"/>
        <v>7.1428571428571438E-2</v>
      </c>
      <c r="AO293" s="359" t="e">
        <f>+([1]!Tabla1[[#This Row],[ponderacion_accion]]/10%)*AQ293</f>
        <v>#REF!</v>
      </c>
      <c r="AP293" s="359" t="e">
        <f>Tabla1[[#This Row],[ponderacion_meta]]*AO293</f>
        <v>#REF!</v>
      </c>
      <c r="AQ293" s="351"/>
      <c r="AR293" s="380">
        <v>0</v>
      </c>
      <c r="AS293" s="9"/>
      <c r="AT293" s="521">
        <v>0</v>
      </c>
    </row>
    <row r="294" spans="1:46" ht="15" customHeight="1" x14ac:dyDescent="0.35">
      <c r="A294" s="236" t="s">
        <v>1151</v>
      </c>
      <c r="B294" s="400" t="s">
        <v>567</v>
      </c>
      <c r="C294" s="399" t="s">
        <v>1720</v>
      </c>
      <c r="D294" s="237" t="s">
        <v>1163</v>
      </c>
      <c r="E294" s="172" t="s">
        <v>568</v>
      </c>
      <c r="F294" s="176" t="s">
        <v>2608</v>
      </c>
      <c r="G294" s="160" t="s">
        <v>569</v>
      </c>
      <c r="H294" s="160" t="s">
        <v>1742</v>
      </c>
      <c r="I294" s="19" t="s">
        <v>622</v>
      </c>
      <c r="J294" s="267">
        <v>6.4939999999999998E-3</v>
      </c>
      <c r="K294" s="98" t="s">
        <v>623</v>
      </c>
      <c r="L294" s="134">
        <v>80955061794</v>
      </c>
      <c r="M294" s="134">
        <v>0</v>
      </c>
      <c r="N294" s="442"/>
      <c r="O294" s="442" t="s">
        <v>1753</v>
      </c>
      <c r="P294" s="204">
        <v>0.3</v>
      </c>
      <c r="Q294" s="205">
        <v>0.2</v>
      </c>
      <c r="R294" s="205">
        <v>0.4</v>
      </c>
      <c r="S294" s="205">
        <v>0.1</v>
      </c>
      <c r="T294" s="205" t="s">
        <v>1463</v>
      </c>
      <c r="U294" s="52" t="s">
        <v>576</v>
      </c>
      <c r="V294" s="15">
        <v>0.1</v>
      </c>
      <c r="W294" s="26" t="s">
        <v>577</v>
      </c>
      <c r="X294" s="26"/>
      <c r="Y294" s="14" t="s">
        <v>2587</v>
      </c>
      <c r="Z294" s="501" t="s">
        <v>2569</v>
      </c>
      <c r="AA294" s="239">
        <f t="shared" si="49"/>
        <v>6.4940000000000006E-4</v>
      </c>
      <c r="AB294" s="252">
        <v>0</v>
      </c>
      <c r="AC294" s="262">
        <f>+(Tabla1[[#This Row],[Avance PDI]]*100%)/Tabla1[[#This Row],[ponderacion_meta]]</f>
        <v>0</v>
      </c>
      <c r="AD294" s="257">
        <v>1.9481999999999998E-3</v>
      </c>
      <c r="AE294" s="257">
        <v>1.2988000000000001E-3</v>
      </c>
      <c r="AF294" s="257">
        <v>2.5976000000000003E-3</v>
      </c>
      <c r="AG294" s="257">
        <v>6.4940000000000006E-4</v>
      </c>
      <c r="AH294" s="396">
        <f t="shared" si="44"/>
        <v>2.6596669999999999E-2</v>
      </c>
      <c r="AI294" s="396">
        <f t="shared" si="45"/>
        <v>8.2625000000000032E-2</v>
      </c>
      <c r="AJ294" s="317">
        <f t="shared" si="46"/>
        <v>8.2625000000000032E-2</v>
      </c>
      <c r="AK294" s="385">
        <v>3.8964000000000004E-3</v>
      </c>
      <c r="AL294" s="402">
        <f t="shared" si="47"/>
        <v>6.666666666666668E-2</v>
      </c>
      <c r="AM294" s="327">
        <v>0</v>
      </c>
      <c r="AN294" s="410">
        <f t="shared" si="48"/>
        <v>7.1428571428571438E-2</v>
      </c>
      <c r="AO294" s="359" t="e">
        <f>+([1]!Tabla1[[#This Row],[ponderacion_accion]]/10%)*AQ294</f>
        <v>#REF!</v>
      </c>
      <c r="AP294" s="359" t="e">
        <f>Tabla1[[#This Row],[ponderacion_meta]]*AO294</f>
        <v>#REF!</v>
      </c>
      <c r="AQ294" s="351"/>
      <c r="AR294" s="380">
        <v>0</v>
      </c>
      <c r="AS294" s="9"/>
      <c r="AT294" s="521">
        <v>0</v>
      </c>
    </row>
    <row r="295" spans="1:46" ht="15" customHeight="1" x14ac:dyDescent="0.35">
      <c r="A295" s="236" t="s">
        <v>1151</v>
      </c>
      <c r="B295" s="400" t="s">
        <v>567</v>
      </c>
      <c r="C295" s="399" t="s">
        <v>1720</v>
      </c>
      <c r="D295" s="237" t="s">
        <v>1163</v>
      </c>
      <c r="E295" s="172" t="s">
        <v>568</v>
      </c>
      <c r="F295" s="176" t="s">
        <v>2608</v>
      </c>
      <c r="G295" s="160" t="s">
        <v>569</v>
      </c>
      <c r="H295" s="160" t="s">
        <v>1742</v>
      </c>
      <c r="I295" s="19" t="s">
        <v>622</v>
      </c>
      <c r="J295" s="267">
        <v>6.4939999999999998E-3</v>
      </c>
      <c r="K295" s="98" t="s">
        <v>623</v>
      </c>
      <c r="L295" s="134">
        <v>80955061794</v>
      </c>
      <c r="M295" s="134">
        <v>0</v>
      </c>
      <c r="N295" s="442"/>
      <c r="O295" s="442" t="s">
        <v>1753</v>
      </c>
      <c r="P295" s="204">
        <v>0.3</v>
      </c>
      <c r="Q295" s="205">
        <v>0.2</v>
      </c>
      <c r="R295" s="205">
        <v>0.4</v>
      </c>
      <c r="S295" s="205">
        <v>0.1</v>
      </c>
      <c r="T295" s="205" t="s">
        <v>1464</v>
      </c>
      <c r="U295" s="52" t="s">
        <v>578</v>
      </c>
      <c r="V295" s="15">
        <v>0.1</v>
      </c>
      <c r="W295" s="26" t="s">
        <v>579</v>
      </c>
      <c r="X295" s="26"/>
      <c r="Y295" s="14" t="s">
        <v>2587</v>
      </c>
      <c r="Z295" s="501" t="s">
        <v>2569</v>
      </c>
      <c r="AA295" s="239">
        <f t="shared" si="49"/>
        <v>6.4940000000000006E-4</v>
      </c>
      <c r="AB295" s="252">
        <v>0</v>
      </c>
      <c r="AC295" s="262">
        <f>+(Tabla1[[#This Row],[Avance PDI]]*100%)/Tabla1[[#This Row],[ponderacion_meta]]</f>
        <v>0</v>
      </c>
      <c r="AD295" s="257">
        <v>1.9481999999999998E-3</v>
      </c>
      <c r="AE295" s="257">
        <v>1.2988000000000001E-3</v>
      </c>
      <c r="AF295" s="257">
        <v>2.5976000000000003E-3</v>
      </c>
      <c r="AG295" s="257">
        <v>6.4940000000000006E-4</v>
      </c>
      <c r="AH295" s="396">
        <f t="shared" si="44"/>
        <v>2.6596669999999999E-2</v>
      </c>
      <c r="AI295" s="396">
        <f t="shared" si="45"/>
        <v>8.2625000000000032E-2</v>
      </c>
      <c r="AJ295" s="317">
        <f t="shared" si="46"/>
        <v>8.2625000000000032E-2</v>
      </c>
      <c r="AK295" s="385">
        <v>3.8964000000000004E-3</v>
      </c>
      <c r="AL295" s="402">
        <f t="shared" si="47"/>
        <v>6.666666666666668E-2</v>
      </c>
      <c r="AM295" s="327">
        <v>0</v>
      </c>
      <c r="AN295" s="410">
        <f t="shared" si="48"/>
        <v>7.1428571428571438E-2</v>
      </c>
      <c r="AO295" s="359" t="e">
        <f>+([1]!Tabla1[[#This Row],[ponderacion_accion]]/10%)*AQ295</f>
        <v>#REF!</v>
      </c>
      <c r="AP295" s="359" t="e">
        <f>Tabla1[[#This Row],[ponderacion_meta]]*AO295</f>
        <v>#REF!</v>
      </c>
      <c r="AQ295" s="351"/>
      <c r="AR295" s="380">
        <v>0</v>
      </c>
      <c r="AS295" s="9"/>
      <c r="AT295" s="521">
        <v>0</v>
      </c>
    </row>
    <row r="296" spans="1:46" ht="15" customHeight="1" x14ac:dyDescent="0.35">
      <c r="A296" s="236" t="s">
        <v>1151</v>
      </c>
      <c r="B296" s="400" t="s">
        <v>567</v>
      </c>
      <c r="C296" s="399" t="s">
        <v>1720</v>
      </c>
      <c r="D296" s="237" t="s">
        <v>1163</v>
      </c>
      <c r="E296" s="172" t="s">
        <v>568</v>
      </c>
      <c r="F296" s="176" t="s">
        <v>2608</v>
      </c>
      <c r="G296" s="160" t="s">
        <v>569</v>
      </c>
      <c r="H296" s="160" t="s">
        <v>1742</v>
      </c>
      <c r="I296" s="19" t="s">
        <v>622</v>
      </c>
      <c r="J296" s="267">
        <v>6.4939999999999998E-3</v>
      </c>
      <c r="K296" s="98" t="s">
        <v>623</v>
      </c>
      <c r="L296" s="134">
        <v>80955061794</v>
      </c>
      <c r="M296" s="134">
        <v>0</v>
      </c>
      <c r="N296" s="442"/>
      <c r="O296" s="442" t="s">
        <v>1753</v>
      </c>
      <c r="P296" s="204">
        <v>0.3</v>
      </c>
      <c r="Q296" s="205">
        <v>0.2</v>
      </c>
      <c r="R296" s="205">
        <v>0.4</v>
      </c>
      <c r="S296" s="205">
        <v>0.1</v>
      </c>
      <c r="T296" s="205" t="s">
        <v>1465</v>
      </c>
      <c r="U296" s="52" t="s">
        <v>625</v>
      </c>
      <c r="V296" s="15">
        <v>0.1</v>
      </c>
      <c r="W296" s="26" t="s">
        <v>626</v>
      </c>
      <c r="X296" s="26"/>
      <c r="Y296" s="14" t="s">
        <v>2587</v>
      </c>
      <c r="Z296" s="501" t="s">
        <v>2569</v>
      </c>
      <c r="AA296" s="239">
        <f t="shared" si="49"/>
        <v>6.4940000000000006E-4</v>
      </c>
      <c r="AB296" s="252">
        <v>0</v>
      </c>
      <c r="AC296" s="262">
        <f>+(Tabla1[[#This Row],[Avance PDI]]*100%)/Tabla1[[#This Row],[ponderacion_meta]]</f>
        <v>0</v>
      </c>
      <c r="AD296" s="257">
        <v>1.9481999999999998E-3</v>
      </c>
      <c r="AE296" s="257">
        <v>1.2988000000000001E-3</v>
      </c>
      <c r="AF296" s="257">
        <v>2.5976000000000003E-3</v>
      </c>
      <c r="AG296" s="257">
        <v>6.4940000000000006E-4</v>
      </c>
      <c r="AH296" s="396">
        <f t="shared" si="44"/>
        <v>2.6596669999999999E-2</v>
      </c>
      <c r="AI296" s="396">
        <f t="shared" si="45"/>
        <v>8.2625000000000032E-2</v>
      </c>
      <c r="AJ296" s="317">
        <f t="shared" si="46"/>
        <v>8.2625000000000032E-2</v>
      </c>
      <c r="AK296" s="385">
        <v>3.8964000000000004E-3</v>
      </c>
      <c r="AL296" s="402">
        <f t="shared" si="47"/>
        <v>6.666666666666668E-2</v>
      </c>
      <c r="AM296" s="327">
        <v>0</v>
      </c>
      <c r="AN296" s="410">
        <f t="shared" si="48"/>
        <v>7.1428571428571438E-2</v>
      </c>
      <c r="AO296" s="359" t="e">
        <f>+([1]!Tabla1[[#This Row],[ponderacion_accion]]/10%)*AQ296</f>
        <v>#REF!</v>
      </c>
      <c r="AP296" s="359" t="e">
        <f>Tabla1[[#This Row],[ponderacion_meta]]*AO296</f>
        <v>#REF!</v>
      </c>
      <c r="AQ296" s="351"/>
      <c r="AR296" s="380">
        <v>0</v>
      </c>
      <c r="AS296" s="9"/>
      <c r="AT296" s="521">
        <v>0</v>
      </c>
    </row>
    <row r="297" spans="1:46" ht="15" customHeight="1" x14ac:dyDescent="0.35">
      <c r="A297" s="236" t="s">
        <v>1151</v>
      </c>
      <c r="B297" s="400" t="s">
        <v>567</v>
      </c>
      <c r="C297" s="399" t="s">
        <v>1720</v>
      </c>
      <c r="D297" s="237" t="s">
        <v>1163</v>
      </c>
      <c r="E297" s="172" t="s">
        <v>568</v>
      </c>
      <c r="F297" s="176" t="s">
        <v>2608</v>
      </c>
      <c r="G297" s="160" t="s">
        <v>569</v>
      </c>
      <c r="H297" s="160" t="s">
        <v>1742</v>
      </c>
      <c r="I297" s="19" t="s">
        <v>622</v>
      </c>
      <c r="J297" s="267">
        <v>6.4939999999999998E-3</v>
      </c>
      <c r="K297" s="98" t="s">
        <v>623</v>
      </c>
      <c r="L297" s="134">
        <v>80955061794</v>
      </c>
      <c r="M297" s="134">
        <v>0</v>
      </c>
      <c r="N297" s="442"/>
      <c r="O297" s="442" t="s">
        <v>1753</v>
      </c>
      <c r="P297" s="204">
        <v>0.3</v>
      </c>
      <c r="Q297" s="205">
        <v>0.2</v>
      </c>
      <c r="R297" s="205">
        <v>0.4</v>
      </c>
      <c r="S297" s="205">
        <v>0.1</v>
      </c>
      <c r="T297" s="205" t="s">
        <v>1466</v>
      </c>
      <c r="U297" s="52" t="s">
        <v>627</v>
      </c>
      <c r="V297" s="15">
        <v>0.5</v>
      </c>
      <c r="W297" s="26" t="s">
        <v>628</v>
      </c>
      <c r="X297" s="26"/>
      <c r="Y297" s="14" t="s">
        <v>2588</v>
      </c>
      <c r="Z297" s="501" t="s">
        <v>2569</v>
      </c>
      <c r="AA297" s="239">
        <f t="shared" si="49"/>
        <v>3.2469999999999999E-3</v>
      </c>
      <c r="AB297" s="252">
        <v>0</v>
      </c>
      <c r="AC297" s="262">
        <f>+(Tabla1[[#This Row],[Avance PDI]]*100%)/Tabla1[[#This Row],[ponderacion_meta]]</f>
        <v>0</v>
      </c>
      <c r="AD297" s="257">
        <v>1.9481999999999998E-3</v>
      </c>
      <c r="AE297" s="257">
        <v>1.2988000000000001E-3</v>
      </c>
      <c r="AF297" s="257">
        <v>2.5976000000000003E-3</v>
      </c>
      <c r="AG297" s="257">
        <v>6.4940000000000006E-4</v>
      </c>
      <c r="AH297" s="396">
        <f t="shared" si="44"/>
        <v>2.6596669999999999E-2</v>
      </c>
      <c r="AI297" s="396">
        <f t="shared" si="45"/>
        <v>8.2625000000000032E-2</v>
      </c>
      <c r="AJ297" s="317">
        <f t="shared" si="46"/>
        <v>8.2625000000000032E-2</v>
      </c>
      <c r="AK297" s="385">
        <v>3.8964000000000004E-3</v>
      </c>
      <c r="AL297" s="402">
        <f t="shared" si="47"/>
        <v>6.666666666666668E-2</v>
      </c>
      <c r="AM297" s="327">
        <v>0</v>
      </c>
      <c r="AN297" s="410">
        <f t="shared" si="48"/>
        <v>7.1428571428571438E-2</v>
      </c>
      <c r="AO297" s="360" t="e">
        <f>+([1]!Tabla1[[#This Row],[ponderacion_accion]]/50%)*AQ297</f>
        <v>#REF!</v>
      </c>
      <c r="AP297" s="360" t="e">
        <f>Tabla1[[#This Row],[ponderacion_meta]]*AO297</f>
        <v>#REF!</v>
      </c>
      <c r="AQ297" s="356"/>
      <c r="AR297" s="380">
        <v>0</v>
      </c>
      <c r="AS297" s="9"/>
      <c r="AT297" s="521">
        <v>0</v>
      </c>
    </row>
    <row r="298" spans="1:46" ht="15" customHeight="1" x14ac:dyDescent="0.35">
      <c r="A298" s="236" t="s">
        <v>1151</v>
      </c>
      <c r="B298" s="400" t="s">
        <v>567</v>
      </c>
      <c r="C298" s="399" t="s">
        <v>1720</v>
      </c>
      <c r="D298" s="237" t="s">
        <v>1163</v>
      </c>
      <c r="E298" s="172" t="s">
        <v>568</v>
      </c>
      <c r="F298" s="156" t="s">
        <v>2609</v>
      </c>
      <c r="G298" s="163" t="s">
        <v>629</v>
      </c>
      <c r="H298" s="422" t="s">
        <v>1743</v>
      </c>
      <c r="I298" s="111" t="s">
        <v>630</v>
      </c>
      <c r="J298" s="272">
        <v>6.4939999999999998E-3</v>
      </c>
      <c r="K298" s="57" t="s">
        <v>631</v>
      </c>
      <c r="L298" s="135">
        <v>3087885730.9400001</v>
      </c>
      <c r="M298" s="135">
        <v>0</v>
      </c>
      <c r="N298" s="443"/>
      <c r="O298" s="443" t="s">
        <v>1753</v>
      </c>
      <c r="P298" s="218">
        <v>0.25</v>
      </c>
      <c r="Q298" s="219">
        <v>0.25</v>
      </c>
      <c r="R298" s="219">
        <v>0.25</v>
      </c>
      <c r="S298" s="219">
        <v>0.25</v>
      </c>
      <c r="T298" s="219" t="s">
        <v>1467</v>
      </c>
      <c r="U298" s="56" t="s">
        <v>632</v>
      </c>
      <c r="V298" s="55">
        <v>0.1</v>
      </c>
      <c r="W298" s="57" t="s">
        <v>633</v>
      </c>
      <c r="X298" s="57"/>
      <c r="Y298" s="111" t="s">
        <v>2587</v>
      </c>
      <c r="Z298" s="492" t="s">
        <v>2569</v>
      </c>
      <c r="AA298" s="238">
        <f t="shared" si="49"/>
        <v>6.4940000000000006E-4</v>
      </c>
      <c r="AB298" s="254">
        <f>+Tabla1[[#This Row],[ponderacion_meta]]*Tabla1[[#This Row],[ponderacion_accion]]</f>
        <v>6.4940000000000006E-4</v>
      </c>
      <c r="AC298" s="278">
        <f>+(Tabla1[[#This Row],[Avance PDI]]*100%)/Tabla1[[#This Row],[ponderacion_meta]]</f>
        <v>0.10000000000000002</v>
      </c>
      <c r="AD298" s="279">
        <f>+Tabla1[[#This Row],[ponderacion_meta]]*Tabla1[[#This Row],[proyeccion_año1]]</f>
        <v>1.6234999999999999E-3</v>
      </c>
      <c r="AE298" s="279">
        <f>+Tabla1[[#This Row],[ponderacion_meta]]*Tabla1[[#This Row],[proyeccion_año2]]</f>
        <v>1.6234999999999999E-3</v>
      </c>
      <c r="AF298" s="279">
        <f>+Tabla1[[#This Row],[ponderacion_meta]]*Tabla1[[#This Row],[proyeccion_año3]]</f>
        <v>1.6234999999999999E-3</v>
      </c>
      <c r="AG298" s="279">
        <f>+Tabla1[[#This Row],[ponderacion_meta]]*Tabla1[[#This Row],[proyeccion_año4]]</f>
        <v>1.6234999999999999E-3</v>
      </c>
      <c r="AH298" s="396">
        <f t="shared" si="44"/>
        <v>2.6596669999999999E-2</v>
      </c>
      <c r="AI298" s="396">
        <f t="shared" si="45"/>
        <v>8.2625000000000032E-2</v>
      </c>
      <c r="AJ298" s="317">
        <f t="shared" si="46"/>
        <v>8.2625000000000032E-2</v>
      </c>
      <c r="AK298" s="385">
        <v>3.8964000000000004E-3</v>
      </c>
      <c r="AL298" s="402">
        <f t="shared" si="47"/>
        <v>6.666666666666668E-2</v>
      </c>
      <c r="AM298" s="324">
        <f>+SUM(AB298:AB305)</f>
        <v>6.4940000000000006E-4</v>
      </c>
      <c r="AN298" s="411">
        <f>+SUM(AC298:AC305)/2</f>
        <v>5.000000000000001E-2</v>
      </c>
      <c r="AO298" s="343" t="e">
        <f>+([1]!Tabla1[[#This Row],[ponderacion_accion]]/4)*AQ298</f>
        <v>#REF!</v>
      </c>
      <c r="AP298" s="343" t="e">
        <f>Tabla1[[#This Row],[ponderacion_meta]]*AO298</f>
        <v>#REF!</v>
      </c>
      <c r="AQ298" s="353">
        <v>4</v>
      </c>
      <c r="AR298" s="377">
        <v>156722032.93000001</v>
      </c>
      <c r="AS298" s="7" t="e">
        <f>+((SUM(AO298:AO301)*100)/50)</f>
        <v>#REF!</v>
      </c>
      <c r="AT298" s="521">
        <v>0</v>
      </c>
    </row>
    <row r="299" spans="1:46" ht="15" customHeight="1" x14ac:dyDescent="0.35">
      <c r="A299" s="236" t="s">
        <v>1151</v>
      </c>
      <c r="B299" s="400" t="s">
        <v>567</v>
      </c>
      <c r="C299" s="399" t="s">
        <v>1720</v>
      </c>
      <c r="D299" s="237" t="s">
        <v>1163</v>
      </c>
      <c r="E299" s="172" t="s">
        <v>568</v>
      </c>
      <c r="F299" s="156" t="s">
        <v>2609</v>
      </c>
      <c r="G299" s="164" t="s">
        <v>629</v>
      </c>
      <c r="H299" s="164" t="s">
        <v>1743</v>
      </c>
      <c r="I299" s="30" t="s">
        <v>630</v>
      </c>
      <c r="J299" s="266">
        <v>6.4939999999999998E-3</v>
      </c>
      <c r="K299" s="28" t="s">
        <v>631</v>
      </c>
      <c r="L299" s="126">
        <v>3087885730.9400001</v>
      </c>
      <c r="M299" s="126">
        <v>0</v>
      </c>
      <c r="N299" s="434"/>
      <c r="O299" s="434" t="s">
        <v>1753</v>
      </c>
      <c r="P299" s="189">
        <v>0.25</v>
      </c>
      <c r="Q299" s="190">
        <v>0.25</v>
      </c>
      <c r="R299" s="190">
        <v>0.25</v>
      </c>
      <c r="S299" s="190">
        <v>0.25</v>
      </c>
      <c r="T299" s="190" t="s">
        <v>1468</v>
      </c>
      <c r="U299" s="56" t="s">
        <v>634</v>
      </c>
      <c r="V299" s="55">
        <v>0.2</v>
      </c>
      <c r="W299" s="57" t="s">
        <v>635</v>
      </c>
      <c r="X299" s="57"/>
      <c r="Y299" s="111" t="s">
        <v>2587</v>
      </c>
      <c r="Z299" s="491" t="s">
        <v>2569</v>
      </c>
      <c r="AA299" s="238">
        <f t="shared" si="49"/>
        <v>1.2988000000000001E-3</v>
      </c>
      <c r="AB299" s="252">
        <v>0</v>
      </c>
      <c r="AC299" s="278">
        <f>+(Tabla1[[#This Row],[Avance PDI]]*100%)/Tabla1[[#This Row],[ponderacion_meta]]</f>
        <v>0</v>
      </c>
      <c r="AD299" s="279">
        <v>1.6234999999999999E-3</v>
      </c>
      <c r="AE299" s="279">
        <v>1.6234999999999999E-3</v>
      </c>
      <c r="AF299" s="279">
        <v>1.6234999999999999E-3</v>
      </c>
      <c r="AG299" s="279">
        <v>1.6234999999999999E-3</v>
      </c>
      <c r="AH299" s="396">
        <f t="shared" si="44"/>
        <v>2.6596669999999999E-2</v>
      </c>
      <c r="AI299" s="396">
        <f t="shared" si="45"/>
        <v>8.2625000000000032E-2</v>
      </c>
      <c r="AJ299" s="317">
        <f t="shared" si="46"/>
        <v>8.2625000000000032E-2</v>
      </c>
      <c r="AK299" s="385">
        <v>3.8964000000000004E-3</v>
      </c>
      <c r="AL299" s="402">
        <f t="shared" si="47"/>
        <v>6.666666666666668E-2</v>
      </c>
      <c r="AM299" s="325">
        <v>0</v>
      </c>
      <c r="AN299" s="411">
        <f>$AN$298</f>
        <v>5.000000000000001E-2</v>
      </c>
      <c r="AO299" s="344" t="e">
        <f>+([1]!Tabla1[[#This Row],[ponderacion_accion]]/4)*AQ299</f>
        <v>#REF!</v>
      </c>
      <c r="AP299" s="344" t="e">
        <f>Tabla1[[#This Row],[ponderacion_meta]]*AO299</f>
        <v>#REF!</v>
      </c>
      <c r="AQ299" s="354"/>
      <c r="AR299" s="378">
        <v>0</v>
      </c>
      <c r="AS299" s="9"/>
      <c r="AT299" s="521">
        <v>0</v>
      </c>
    </row>
    <row r="300" spans="1:46" ht="15" customHeight="1" x14ac:dyDescent="0.35">
      <c r="A300" s="236" t="s">
        <v>1151</v>
      </c>
      <c r="B300" s="400" t="s">
        <v>567</v>
      </c>
      <c r="C300" s="399" t="s">
        <v>1720</v>
      </c>
      <c r="D300" s="237" t="s">
        <v>1163</v>
      </c>
      <c r="E300" s="172" t="s">
        <v>568</v>
      </c>
      <c r="F300" s="156" t="s">
        <v>2609</v>
      </c>
      <c r="G300" s="164" t="s">
        <v>629</v>
      </c>
      <c r="H300" s="164" t="s">
        <v>1743</v>
      </c>
      <c r="I300" s="30" t="s">
        <v>630</v>
      </c>
      <c r="J300" s="266">
        <v>6.4939999999999998E-3</v>
      </c>
      <c r="K300" s="28" t="s">
        <v>631</v>
      </c>
      <c r="L300" s="126">
        <v>3087885730.9400001</v>
      </c>
      <c r="M300" s="126">
        <v>0</v>
      </c>
      <c r="N300" s="434"/>
      <c r="O300" s="434" t="s">
        <v>1753</v>
      </c>
      <c r="P300" s="189">
        <v>0.25</v>
      </c>
      <c r="Q300" s="190">
        <v>0.25</v>
      </c>
      <c r="R300" s="190">
        <v>0.25</v>
      </c>
      <c r="S300" s="190">
        <v>0.25</v>
      </c>
      <c r="T300" s="190" t="s">
        <v>1469</v>
      </c>
      <c r="U300" s="56" t="s">
        <v>636</v>
      </c>
      <c r="V300" s="55">
        <v>0.1</v>
      </c>
      <c r="W300" s="57" t="s">
        <v>637</v>
      </c>
      <c r="X300" s="57"/>
      <c r="Y300" s="111" t="s">
        <v>2587</v>
      </c>
      <c r="Z300" s="491" t="s">
        <v>2569</v>
      </c>
      <c r="AA300" s="238">
        <f t="shared" si="49"/>
        <v>6.4940000000000006E-4</v>
      </c>
      <c r="AB300" s="252">
        <v>0</v>
      </c>
      <c r="AC300" s="278">
        <f>+(Tabla1[[#This Row],[Avance PDI]]*100%)/Tabla1[[#This Row],[ponderacion_meta]]</f>
        <v>0</v>
      </c>
      <c r="AD300" s="279">
        <v>1.6234999999999999E-3</v>
      </c>
      <c r="AE300" s="279">
        <v>1.6234999999999999E-3</v>
      </c>
      <c r="AF300" s="279">
        <v>1.6234999999999999E-3</v>
      </c>
      <c r="AG300" s="279">
        <v>1.6234999999999999E-3</v>
      </c>
      <c r="AH300" s="396">
        <f t="shared" si="44"/>
        <v>2.6596669999999999E-2</v>
      </c>
      <c r="AI300" s="396">
        <f t="shared" si="45"/>
        <v>8.2625000000000032E-2</v>
      </c>
      <c r="AJ300" s="317">
        <f t="shared" si="46"/>
        <v>8.2625000000000032E-2</v>
      </c>
      <c r="AK300" s="385">
        <v>3.8964000000000004E-3</v>
      </c>
      <c r="AL300" s="402">
        <f t="shared" si="47"/>
        <v>6.666666666666668E-2</v>
      </c>
      <c r="AM300" s="325">
        <v>0</v>
      </c>
      <c r="AN300" s="411">
        <f t="shared" ref="AN300:AN305" si="50">$AN$298</f>
        <v>5.000000000000001E-2</v>
      </c>
      <c r="AO300" s="344" t="e">
        <f>+([1]!Tabla1[[#This Row],[ponderacion_accion]]/4)*AQ300</f>
        <v>#REF!</v>
      </c>
      <c r="AP300" s="344" t="e">
        <f>Tabla1[[#This Row],[ponderacion_meta]]*AO300</f>
        <v>#REF!</v>
      </c>
      <c r="AQ300" s="354"/>
      <c r="AR300" s="378">
        <v>0</v>
      </c>
      <c r="AS300" s="9"/>
      <c r="AT300" s="521">
        <v>0</v>
      </c>
    </row>
    <row r="301" spans="1:46" ht="15" customHeight="1" x14ac:dyDescent="0.35">
      <c r="A301" s="236" t="s">
        <v>1151</v>
      </c>
      <c r="B301" s="400" t="s">
        <v>567</v>
      </c>
      <c r="C301" s="399" t="s">
        <v>1720</v>
      </c>
      <c r="D301" s="237" t="s">
        <v>1163</v>
      </c>
      <c r="E301" s="172" t="s">
        <v>568</v>
      </c>
      <c r="F301" s="156" t="s">
        <v>2609</v>
      </c>
      <c r="G301" s="164" t="s">
        <v>629</v>
      </c>
      <c r="H301" s="164" t="s">
        <v>1743</v>
      </c>
      <c r="I301" s="30" t="s">
        <v>630</v>
      </c>
      <c r="J301" s="266">
        <v>6.4939999999999998E-3</v>
      </c>
      <c r="K301" s="28" t="s">
        <v>631</v>
      </c>
      <c r="L301" s="126">
        <v>3087885730.9400001</v>
      </c>
      <c r="M301" s="126">
        <v>0</v>
      </c>
      <c r="N301" s="434"/>
      <c r="O301" s="434" t="s">
        <v>1753</v>
      </c>
      <c r="P301" s="189">
        <v>0.25</v>
      </c>
      <c r="Q301" s="190">
        <v>0.25</v>
      </c>
      <c r="R301" s="190">
        <v>0.25</v>
      </c>
      <c r="S301" s="190">
        <v>0.25</v>
      </c>
      <c r="T301" s="190" t="s">
        <v>1470</v>
      </c>
      <c r="U301" s="56" t="s">
        <v>638</v>
      </c>
      <c r="V301" s="55">
        <v>0.6</v>
      </c>
      <c r="W301" s="57" t="s">
        <v>88</v>
      </c>
      <c r="X301" s="57"/>
      <c r="Y301" s="111" t="s">
        <v>2587</v>
      </c>
      <c r="Z301" s="491" t="s">
        <v>2569</v>
      </c>
      <c r="AA301" s="238">
        <f t="shared" si="49"/>
        <v>3.8963999999999995E-3</v>
      </c>
      <c r="AB301" s="252">
        <v>0</v>
      </c>
      <c r="AC301" s="278">
        <f>+(Tabla1[[#This Row],[Avance PDI]]*100%)/Tabla1[[#This Row],[ponderacion_meta]]</f>
        <v>0</v>
      </c>
      <c r="AD301" s="279">
        <v>1.6234999999999999E-3</v>
      </c>
      <c r="AE301" s="279">
        <v>1.6234999999999999E-3</v>
      </c>
      <c r="AF301" s="279">
        <v>1.6234999999999999E-3</v>
      </c>
      <c r="AG301" s="279">
        <v>1.6234999999999999E-3</v>
      </c>
      <c r="AH301" s="396">
        <f t="shared" si="44"/>
        <v>2.6596669999999999E-2</v>
      </c>
      <c r="AI301" s="396">
        <f t="shared" si="45"/>
        <v>8.2625000000000032E-2</v>
      </c>
      <c r="AJ301" s="317">
        <f t="shared" si="46"/>
        <v>8.2625000000000032E-2</v>
      </c>
      <c r="AK301" s="385">
        <v>3.8964000000000004E-3</v>
      </c>
      <c r="AL301" s="402">
        <f t="shared" si="47"/>
        <v>6.666666666666668E-2</v>
      </c>
      <c r="AM301" s="325">
        <v>0</v>
      </c>
      <c r="AN301" s="411">
        <f t="shared" si="50"/>
        <v>5.000000000000001E-2</v>
      </c>
      <c r="AO301" s="345" t="e">
        <f>+([1]!Tabla1[[#This Row],[ponderacion_accion]]/4)*AQ301</f>
        <v>#REF!</v>
      </c>
      <c r="AP301" s="345" t="e">
        <f>Tabla1[[#This Row],[ponderacion_meta]]*AO301</f>
        <v>#REF!</v>
      </c>
      <c r="AQ301" s="357"/>
      <c r="AR301" s="379">
        <v>0</v>
      </c>
      <c r="AS301" s="9"/>
      <c r="AT301" s="521">
        <v>0</v>
      </c>
    </row>
    <row r="302" spans="1:46" ht="15" customHeight="1" x14ac:dyDescent="0.35">
      <c r="A302" s="236" t="s">
        <v>1151</v>
      </c>
      <c r="B302" s="400" t="s">
        <v>567</v>
      </c>
      <c r="C302" s="399" t="s">
        <v>1720</v>
      </c>
      <c r="D302" s="237" t="s">
        <v>1163</v>
      </c>
      <c r="E302" s="172" t="s">
        <v>568</v>
      </c>
      <c r="F302" s="156" t="s">
        <v>2609</v>
      </c>
      <c r="G302" s="164" t="s">
        <v>629</v>
      </c>
      <c r="H302" s="164" t="s">
        <v>1743</v>
      </c>
      <c r="I302" s="112" t="s">
        <v>639</v>
      </c>
      <c r="J302" s="273">
        <v>6.4939999999999998E-3</v>
      </c>
      <c r="K302" s="103" t="s">
        <v>640</v>
      </c>
      <c r="L302" s="136">
        <v>1505000000</v>
      </c>
      <c r="M302" s="136">
        <v>0</v>
      </c>
      <c r="N302" s="444"/>
      <c r="O302" s="444" t="s">
        <v>1753</v>
      </c>
      <c r="P302" s="220">
        <v>0.25</v>
      </c>
      <c r="Q302" s="221">
        <v>0.25</v>
      </c>
      <c r="R302" s="221">
        <v>0.25</v>
      </c>
      <c r="S302" s="221">
        <v>0.25</v>
      </c>
      <c r="T302" s="221" t="s">
        <v>1471</v>
      </c>
      <c r="U302" s="59" t="s">
        <v>641</v>
      </c>
      <c r="V302" s="58">
        <v>0.15</v>
      </c>
      <c r="W302" s="60" t="s">
        <v>642</v>
      </c>
      <c r="X302" s="60"/>
      <c r="Y302" s="112" t="s">
        <v>2587</v>
      </c>
      <c r="Z302" s="104" t="s">
        <v>2536</v>
      </c>
      <c r="AA302" s="239">
        <f t="shared" si="49"/>
        <v>9.7409999999999988E-4</v>
      </c>
      <c r="AB302" s="252">
        <v>0</v>
      </c>
      <c r="AC302" s="262">
        <f>+(Tabla1[[#This Row],[Avance PDI]]*100%)/Tabla1[[#This Row],[ponderacion_meta]]</f>
        <v>0</v>
      </c>
      <c r="AD302" s="257">
        <f>+Tabla1[[#This Row],[ponderacion_meta]]*Tabla1[[#This Row],[proyeccion_año1]]</f>
        <v>1.6234999999999999E-3</v>
      </c>
      <c r="AE302" s="257">
        <f>+Tabla1[[#This Row],[ponderacion_meta]]*Tabla1[[#This Row],[proyeccion_año2]]</f>
        <v>1.6234999999999999E-3</v>
      </c>
      <c r="AF302" s="257">
        <f>+Tabla1[[#This Row],[ponderacion_meta]]*Tabla1[[#This Row],[proyeccion_año3]]</f>
        <v>1.6234999999999999E-3</v>
      </c>
      <c r="AG302" s="257">
        <f>+Tabla1[[#This Row],[ponderacion_meta]]*Tabla1[[#This Row],[proyeccion_año4]]</f>
        <v>1.6234999999999999E-3</v>
      </c>
      <c r="AH302" s="396">
        <f t="shared" si="44"/>
        <v>2.6596669999999999E-2</v>
      </c>
      <c r="AI302" s="396">
        <f t="shared" si="45"/>
        <v>8.2625000000000032E-2</v>
      </c>
      <c r="AJ302" s="317">
        <f t="shared" si="46"/>
        <v>8.2625000000000032E-2</v>
      </c>
      <c r="AK302" s="385">
        <v>3.8964000000000004E-3</v>
      </c>
      <c r="AL302" s="402">
        <f t="shared" si="47"/>
        <v>6.666666666666668E-2</v>
      </c>
      <c r="AM302" s="325">
        <v>0</v>
      </c>
      <c r="AN302" s="411">
        <f t="shared" si="50"/>
        <v>5.000000000000001E-2</v>
      </c>
      <c r="AO302" s="358" t="e">
        <f>+([1]!Tabla1[[#This Row],[ponderacion_accion]]/4)*AQ302</f>
        <v>#REF!</v>
      </c>
      <c r="AP302" s="358" t="e">
        <f>Tabla1[[#This Row],[ponderacion_meta]]*AO302</f>
        <v>#REF!</v>
      </c>
      <c r="AQ302" s="361"/>
      <c r="AR302" s="380">
        <v>0</v>
      </c>
      <c r="AS302" s="7" t="e">
        <f>+((SUM(AO302:AO305)*100)/100)</f>
        <v>#REF!</v>
      </c>
      <c r="AT302" s="521">
        <v>0</v>
      </c>
    </row>
    <row r="303" spans="1:46" ht="15" customHeight="1" x14ac:dyDescent="0.35">
      <c r="A303" s="236" t="s">
        <v>1151</v>
      </c>
      <c r="B303" s="400" t="s">
        <v>567</v>
      </c>
      <c r="C303" s="399" t="s">
        <v>1720</v>
      </c>
      <c r="D303" s="237" t="s">
        <v>1163</v>
      </c>
      <c r="E303" s="172" t="s">
        <v>568</v>
      </c>
      <c r="F303" s="156" t="s">
        <v>2609</v>
      </c>
      <c r="G303" s="164" t="s">
        <v>629</v>
      </c>
      <c r="H303" s="164" t="s">
        <v>1743</v>
      </c>
      <c r="I303" s="19" t="s">
        <v>639</v>
      </c>
      <c r="J303" s="267">
        <v>6.4939999999999998E-3</v>
      </c>
      <c r="K303" s="98" t="s">
        <v>643</v>
      </c>
      <c r="L303" s="134">
        <v>1505000000</v>
      </c>
      <c r="M303" s="134">
        <v>0</v>
      </c>
      <c r="N303" s="442"/>
      <c r="O303" s="442" t="s">
        <v>1753</v>
      </c>
      <c r="P303" s="336">
        <v>0.25</v>
      </c>
      <c r="Q303" s="337">
        <v>0.25</v>
      </c>
      <c r="R303" s="337">
        <v>0.25</v>
      </c>
      <c r="S303" s="337">
        <v>0.25</v>
      </c>
      <c r="T303" s="188" t="s">
        <v>1472</v>
      </c>
      <c r="U303" s="59" t="s">
        <v>644</v>
      </c>
      <c r="V303" s="58">
        <v>0.2</v>
      </c>
      <c r="W303" s="60" t="s">
        <v>645</v>
      </c>
      <c r="X303" s="60"/>
      <c r="Y303" s="112" t="s">
        <v>2587</v>
      </c>
      <c r="Z303" s="104" t="s">
        <v>2536</v>
      </c>
      <c r="AA303" s="239">
        <f t="shared" si="49"/>
        <v>1.2988000000000001E-3</v>
      </c>
      <c r="AB303" s="252">
        <v>0</v>
      </c>
      <c r="AC303" s="262">
        <f>+(Tabla1[[#This Row],[Avance PDI]]*100%)/Tabla1[[#This Row],[ponderacion_meta]]</f>
        <v>0</v>
      </c>
      <c r="AD303" s="257">
        <v>1.6234999999999999E-3</v>
      </c>
      <c r="AE303" s="257">
        <v>1.6234999999999999E-3</v>
      </c>
      <c r="AF303" s="257">
        <v>1.6234999999999999E-3</v>
      </c>
      <c r="AG303" s="257">
        <v>1.6234999999999999E-3</v>
      </c>
      <c r="AH303" s="396">
        <f t="shared" si="44"/>
        <v>2.6596669999999999E-2</v>
      </c>
      <c r="AI303" s="396">
        <f t="shared" si="45"/>
        <v>8.2625000000000032E-2</v>
      </c>
      <c r="AJ303" s="317">
        <f t="shared" si="46"/>
        <v>8.2625000000000032E-2</v>
      </c>
      <c r="AK303" s="385">
        <v>3.8964000000000004E-3</v>
      </c>
      <c r="AL303" s="402">
        <f t="shared" si="47"/>
        <v>6.666666666666668E-2</v>
      </c>
      <c r="AM303" s="325">
        <v>0</v>
      </c>
      <c r="AN303" s="411">
        <f t="shared" si="50"/>
        <v>5.000000000000001E-2</v>
      </c>
      <c r="AO303" s="359" t="e">
        <f>+([1]!Tabla1[[#This Row],[ponderacion_accion]]/4)*AQ303</f>
        <v>#REF!</v>
      </c>
      <c r="AP303" s="359" t="e">
        <f>Tabla1[[#This Row],[ponderacion_meta]]*AO303</f>
        <v>#REF!</v>
      </c>
      <c r="AQ303" s="351"/>
      <c r="AR303" s="380">
        <v>0</v>
      </c>
      <c r="AS303" s="9"/>
      <c r="AT303" s="521">
        <v>0</v>
      </c>
    </row>
    <row r="304" spans="1:46" ht="15" customHeight="1" x14ac:dyDescent="0.35">
      <c r="A304" s="236" t="s">
        <v>1151</v>
      </c>
      <c r="B304" s="400" t="s">
        <v>567</v>
      </c>
      <c r="C304" s="399" t="s">
        <v>1720</v>
      </c>
      <c r="D304" s="237" t="s">
        <v>1163</v>
      </c>
      <c r="E304" s="172" t="s">
        <v>568</v>
      </c>
      <c r="F304" s="156" t="s">
        <v>2609</v>
      </c>
      <c r="G304" s="164" t="s">
        <v>629</v>
      </c>
      <c r="H304" s="164" t="s">
        <v>1743</v>
      </c>
      <c r="I304" s="19" t="s">
        <v>639</v>
      </c>
      <c r="J304" s="267">
        <v>6.4939999999999998E-3</v>
      </c>
      <c r="K304" s="98" t="s">
        <v>643</v>
      </c>
      <c r="L304" s="134">
        <v>1505000000</v>
      </c>
      <c r="M304" s="134">
        <v>0</v>
      </c>
      <c r="N304" s="442"/>
      <c r="O304" s="442" t="s">
        <v>1753</v>
      </c>
      <c r="P304" s="336">
        <v>0.25</v>
      </c>
      <c r="Q304" s="337">
        <v>0.25</v>
      </c>
      <c r="R304" s="337">
        <v>0.25</v>
      </c>
      <c r="S304" s="337">
        <v>0.25</v>
      </c>
      <c r="T304" s="188" t="s">
        <v>1473</v>
      </c>
      <c r="U304" s="59" t="s">
        <v>646</v>
      </c>
      <c r="V304" s="58">
        <v>0.15</v>
      </c>
      <c r="W304" s="60" t="s">
        <v>647</v>
      </c>
      <c r="X304" s="60"/>
      <c r="Y304" s="112" t="s">
        <v>2587</v>
      </c>
      <c r="Z304" s="104" t="s">
        <v>2536</v>
      </c>
      <c r="AA304" s="239">
        <f t="shared" si="49"/>
        <v>9.7409999999999988E-4</v>
      </c>
      <c r="AB304" s="252">
        <v>0</v>
      </c>
      <c r="AC304" s="262">
        <f>+(Tabla1[[#This Row],[Avance PDI]]*100%)/Tabla1[[#This Row],[ponderacion_meta]]</f>
        <v>0</v>
      </c>
      <c r="AD304" s="257">
        <v>1.6234999999999999E-3</v>
      </c>
      <c r="AE304" s="257">
        <v>1.6234999999999999E-3</v>
      </c>
      <c r="AF304" s="257">
        <v>1.6234999999999999E-3</v>
      </c>
      <c r="AG304" s="257">
        <v>1.6234999999999999E-3</v>
      </c>
      <c r="AH304" s="396">
        <f t="shared" si="44"/>
        <v>2.6596669999999999E-2</v>
      </c>
      <c r="AI304" s="396">
        <f t="shared" si="45"/>
        <v>8.2625000000000032E-2</v>
      </c>
      <c r="AJ304" s="317">
        <f t="shared" si="46"/>
        <v>8.2625000000000032E-2</v>
      </c>
      <c r="AK304" s="385">
        <v>3.8964000000000004E-3</v>
      </c>
      <c r="AL304" s="402">
        <f t="shared" si="47"/>
        <v>6.666666666666668E-2</v>
      </c>
      <c r="AM304" s="325">
        <v>0</v>
      </c>
      <c r="AN304" s="411">
        <f t="shared" si="50"/>
        <v>5.000000000000001E-2</v>
      </c>
      <c r="AO304" s="359" t="e">
        <f>+([1]!Tabla1[[#This Row],[ponderacion_accion]]/4)*AQ304</f>
        <v>#REF!</v>
      </c>
      <c r="AP304" s="359" t="e">
        <f>Tabla1[[#This Row],[ponderacion_meta]]*AO304</f>
        <v>#REF!</v>
      </c>
      <c r="AQ304" s="351"/>
      <c r="AR304" s="380">
        <v>0</v>
      </c>
      <c r="AS304" s="9"/>
      <c r="AT304" s="521">
        <v>0</v>
      </c>
    </row>
    <row r="305" spans="1:46" ht="15" customHeight="1" x14ac:dyDescent="0.35">
      <c r="A305" s="236" t="s">
        <v>1151</v>
      </c>
      <c r="B305" s="400" t="s">
        <v>567</v>
      </c>
      <c r="C305" s="399" t="s">
        <v>1720</v>
      </c>
      <c r="D305" s="237" t="s">
        <v>1163</v>
      </c>
      <c r="E305" s="172" t="s">
        <v>568</v>
      </c>
      <c r="F305" s="156" t="s">
        <v>2609</v>
      </c>
      <c r="G305" s="164" t="s">
        <v>629</v>
      </c>
      <c r="H305" s="164" t="s">
        <v>1743</v>
      </c>
      <c r="I305" s="19" t="s">
        <v>639</v>
      </c>
      <c r="J305" s="267">
        <v>6.4939999999999998E-3</v>
      </c>
      <c r="K305" s="98" t="s">
        <v>643</v>
      </c>
      <c r="L305" s="134">
        <v>1505000000</v>
      </c>
      <c r="M305" s="134">
        <v>0</v>
      </c>
      <c r="N305" s="442"/>
      <c r="O305" s="442" t="s">
        <v>1753</v>
      </c>
      <c r="P305" s="336">
        <v>0.25</v>
      </c>
      <c r="Q305" s="337">
        <v>0.25</v>
      </c>
      <c r="R305" s="337">
        <v>0.25</v>
      </c>
      <c r="S305" s="337">
        <v>0.25</v>
      </c>
      <c r="T305" s="188" t="s">
        <v>1474</v>
      </c>
      <c r="U305" s="59" t="s">
        <v>648</v>
      </c>
      <c r="V305" s="58">
        <v>0.5</v>
      </c>
      <c r="W305" s="60" t="s">
        <v>649</v>
      </c>
      <c r="X305" s="60"/>
      <c r="Y305" s="112" t="s">
        <v>2587</v>
      </c>
      <c r="Z305" s="104" t="s">
        <v>2536</v>
      </c>
      <c r="AA305" s="239">
        <f t="shared" si="49"/>
        <v>3.2469999999999999E-3</v>
      </c>
      <c r="AB305" s="252">
        <v>0</v>
      </c>
      <c r="AC305" s="262">
        <f>+(Tabla1[[#This Row],[Avance PDI]]*100%)/Tabla1[[#This Row],[ponderacion_meta]]</f>
        <v>0</v>
      </c>
      <c r="AD305" s="257">
        <v>1.6234999999999999E-3</v>
      </c>
      <c r="AE305" s="257">
        <v>1.6234999999999999E-3</v>
      </c>
      <c r="AF305" s="257">
        <v>1.6234999999999999E-3</v>
      </c>
      <c r="AG305" s="257">
        <v>1.6234999999999999E-3</v>
      </c>
      <c r="AH305" s="396">
        <f t="shared" si="44"/>
        <v>2.6596669999999999E-2</v>
      </c>
      <c r="AI305" s="396">
        <f t="shared" si="45"/>
        <v>8.2625000000000032E-2</v>
      </c>
      <c r="AJ305" s="317">
        <f t="shared" si="46"/>
        <v>8.2625000000000032E-2</v>
      </c>
      <c r="AK305" s="385">
        <v>3.8964000000000004E-3</v>
      </c>
      <c r="AL305" s="402">
        <f t="shared" si="47"/>
        <v>6.666666666666668E-2</v>
      </c>
      <c r="AM305" s="325">
        <v>0</v>
      </c>
      <c r="AN305" s="411">
        <f t="shared" si="50"/>
        <v>5.000000000000001E-2</v>
      </c>
      <c r="AO305" s="360" t="e">
        <f>+([1]!Tabla1[[#This Row],[ponderacion_accion]]/4)*AQ305</f>
        <v>#REF!</v>
      </c>
      <c r="AP305" s="360" t="e">
        <f>Tabla1[[#This Row],[ponderacion_meta]]*AO305</f>
        <v>#REF!</v>
      </c>
      <c r="AQ305" s="356"/>
      <c r="AR305" s="380">
        <v>0</v>
      </c>
      <c r="AS305" s="9"/>
      <c r="AT305" s="521">
        <v>0</v>
      </c>
    </row>
    <row r="306" spans="1:46" ht="15" customHeight="1" x14ac:dyDescent="0.35">
      <c r="A306" s="236" t="s">
        <v>1151</v>
      </c>
      <c r="B306" s="400" t="s">
        <v>567</v>
      </c>
      <c r="C306" s="399" t="s">
        <v>1720</v>
      </c>
      <c r="D306" s="237" t="s">
        <v>1164</v>
      </c>
      <c r="E306" s="179" t="s">
        <v>650</v>
      </c>
      <c r="F306" s="176" t="s">
        <v>2610</v>
      </c>
      <c r="G306" s="160" t="s">
        <v>651</v>
      </c>
      <c r="H306" s="418" t="s">
        <v>1744</v>
      </c>
      <c r="I306" s="30" t="s">
        <v>652</v>
      </c>
      <c r="J306" s="266">
        <v>6.4939999999999998E-3</v>
      </c>
      <c r="K306" s="28" t="s">
        <v>653</v>
      </c>
      <c r="L306" s="128">
        <v>38545130</v>
      </c>
      <c r="M306" s="128">
        <v>0</v>
      </c>
      <c r="N306" s="436"/>
      <c r="O306" s="436" t="s">
        <v>1753</v>
      </c>
      <c r="P306" s="183">
        <v>0</v>
      </c>
      <c r="Q306" s="184">
        <v>0.5</v>
      </c>
      <c r="R306" s="184">
        <v>0.5</v>
      </c>
      <c r="S306" s="184">
        <v>0</v>
      </c>
      <c r="T306" s="184" t="s">
        <v>1475</v>
      </c>
      <c r="U306" s="24" t="s">
        <v>654</v>
      </c>
      <c r="V306" s="25">
        <v>0.1</v>
      </c>
      <c r="W306" s="24" t="s">
        <v>655</v>
      </c>
      <c r="X306" s="24"/>
      <c r="Y306" s="23" t="s">
        <v>2587</v>
      </c>
      <c r="Z306" s="490" t="s">
        <v>2571</v>
      </c>
      <c r="AA306" s="238">
        <f t="shared" si="49"/>
        <v>6.4940000000000006E-4</v>
      </c>
      <c r="AB306" s="280">
        <v>0</v>
      </c>
      <c r="AC306" s="278">
        <f>+(Tabla1[[#This Row],[Avance PDI]]*100%)/Tabla1[[#This Row],[ponderacion_meta]]</f>
        <v>0</v>
      </c>
      <c r="AD306" s="279">
        <f>+Tabla1[[#This Row],[ponderacion_meta]]*Tabla1[[#This Row],[proyeccion_año1]]</f>
        <v>0</v>
      </c>
      <c r="AE306" s="279">
        <f>+Tabla1[[#This Row],[ponderacion_meta]]*Tabla1[[#This Row],[proyeccion_año2]]</f>
        <v>3.2469999999999999E-3</v>
      </c>
      <c r="AF306" s="279">
        <f>+Tabla1[[#This Row],[ponderacion_meta]]*Tabla1[[#This Row],[proyeccion_año3]]</f>
        <v>3.2469999999999999E-3</v>
      </c>
      <c r="AG306" s="279">
        <f>+Tabla1[[#This Row],[ponderacion_meta]]*Tabla1[[#This Row],[proyeccion_año4]]</f>
        <v>0</v>
      </c>
      <c r="AH306" s="396">
        <f t="shared" si="44"/>
        <v>2.6596669999999999E-2</v>
      </c>
      <c r="AI306" s="396">
        <f t="shared" si="45"/>
        <v>8.2625000000000032E-2</v>
      </c>
      <c r="AJ306" s="317">
        <f t="shared" si="46"/>
        <v>8.2625000000000032E-2</v>
      </c>
      <c r="AK306" s="386">
        <f>+SUM(AB306:AB379)</f>
        <v>9.7257000000000003E-3</v>
      </c>
      <c r="AL306" s="320">
        <f>+SUM(AC306:AC379)/16</f>
        <v>8.1250000000000003E-2</v>
      </c>
      <c r="AM306" s="326">
        <f>+SUM(AB306:AB363)</f>
        <v>9.7257000000000003E-3</v>
      </c>
      <c r="AN306" s="410">
        <f>+SUM(AC306:AC363)/12</f>
        <v>0.10833333333333334</v>
      </c>
      <c r="AO306" s="343" t="e">
        <f>+([1]!Tabla1[[#This Row],[ponderacion_accion]]/10%)*AQ306</f>
        <v>#REF!</v>
      </c>
      <c r="AP306" s="343" t="e">
        <f>Tabla1[[#This Row],[ponderacion_meta]]*AO306</f>
        <v>#REF!</v>
      </c>
      <c r="AQ306" s="353"/>
      <c r="AR306" s="377">
        <v>40855150</v>
      </c>
      <c r="AS306" s="7" t="e">
        <f>+((SUM(AO306:AO311)*100)/100)</f>
        <v>#REF!</v>
      </c>
      <c r="AT306" s="521">
        <v>0</v>
      </c>
    </row>
    <row r="307" spans="1:46" ht="15" customHeight="1" x14ac:dyDescent="0.35">
      <c r="A307" s="236" t="s">
        <v>1151</v>
      </c>
      <c r="B307" s="400" t="s">
        <v>567</v>
      </c>
      <c r="C307" s="399" t="s">
        <v>1720</v>
      </c>
      <c r="D307" s="237" t="s">
        <v>1164</v>
      </c>
      <c r="E307" s="179" t="s">
        <v>650</v>
      </c>
      <c r="F307" s="176" t="s">
        <v>2610</v>
      </c>
      <c r="G307" s="160" t="s">
        <v>651</v>
      </c>
      <c r="H307" s="160" t="s">
        <v>1744</v>
      </c>
      <c r="I307" s="30" t="s">
        <v>652</v>
      </c>
      <c r="J307" s="266">
        <v>6.4939999999999998E-3</v>
      </c>
      <c r="K307" s="28" t="s">
        <v>653</v>
      </c>
      <c r="L307" s="126">
        <v>38545130</v>
      </c>
      <c r="M307" s="126">
        <v>0</v>
      </c>
      <c r="N307" s="434"/>
      <c r="O307" s="434" t="s">
        <v>1753</v>
      </c>
      <c r="P307" s="213">
        <v>0</v>
      </c>
      <c r="Q307" s="214">
        <v>0.5</v>
      </c>
      <c r="R307" s="214">
        <v>0.5</v>
      </c>
      <c r="S307" s="214">
        <v>0</v>
      </c>
      <c r="T307" s="214" t="s">
        <v>1476</v>
      </c>
      <c r="U307" s="24" t="s">
        <v>656</v>
      </c>
      <c r="V307" s="25">
        <v>0.1</v>
      </c>
      <c r="W307" s="24" t="s">
        <v>657</v>
      </c>
      <c r="X307" s="24"/>
      <c r="Y307" s="23" t="s">
        <v>2587</v>
      </c>
      <c r="Z307" s="490" t="s">
        <v>2571</v>
      </c>
      <c r="AA307" s="238">
        <f t="shared" si="49"/>
        <v>6.4940000000000006E-4</v>
      </c>
      <c r="AB307" s="252">
        <v>0</v>
      </c>
      <c r="AC307" s="278">
        <f>+(Tabla1[[#This Row],[Avance PDI]]*100%)/Tabla1[[#This Row],[ponderacion_meta]]</f>
        <v>0</v>
      </c>
      <c r="AD307" s="279">
        <v>0</v>
      </c>
      <c r="AE307" s="279">
        <v>3.2469999999999999E-3</v>
      </c>
      <c r="AF307" s="279">
        <v>3.2469999999999999E-3</v>
      </c>
      <c r="AG307" s="279">
        <v>0</v>
      </c>
      <c r="AH307" s="396">
        <f t="shared" si="44"/>
        <v>2.6596669999999999E-2</v>
      </c>
      <c r="AI307" s="396">
        <f t="shared" si="45"/>
        <v>8.2625000000000032E-2</v>
      </c>
      <c r="AJ307" s="317">
        <f t="shared" si="46"/>
        <v>8.2625000000000032E-2</v>
      </c>
      <c r="AK307" s="387">
        <v>9.7257000000000003E-3</v>
      </c>
      <c r="AL307" s="406">
        <f>$AL$306</f>
        <v>8.1250000000000003E-2</v>
      </c>
      <c r="AM307" s="327">
        <v>0</v>
      </c>
      <c r="AN307" s="410">
        <f>$AN$306</f>
        <v>0.10833333333333334</v>
      </c>
      <c r="AO307" s="344" t="e">
        <f>+([1]!Tabla1[[#This Row],[ponderacion_accion]]/10%)*AQ307</f>
        <v>#REF!</v>
      </c>
      <c r="AP307" s="344" t="e">
        <f>Tabla1[[#This Row],[ponderacion_meta]]*AO307</f>
        <v>#REF!</v>
      </c>
      <c r="AQ307" s="354"/>
      <c r="AR307" s="378">
        <v>0</v>
      </c>
      <c r="AS307" s="9"/>
      <c r="AT307" s="521">
        <v>0</v>
      </c>
    </row>
    <row r="308" spans="1:46" ht="15" customHeight="1" x14ac:dyDescent="0.35">
      <c r="A308" s="236" t="s">
        <v>1151</v>
      </c>
      <c r="B308" s="400" t="s">
        <v>567</v>
      </c>
      <c r="C308" s="399" t="s">
        <v>1720</v>
      </c>
      <c r="D308" s="237" t="s">
        <v>1164</v>
      </c>
      <c r="E308" s="179" t="s">
        <v>650</v>
      </c>
      <c r="F308" s="176" t="s">
        <v>2610</v>
      </c>
      <c r="G308" s="160" t="s">
        <v>651</v>
      </c>
      <c r="H308" s="160" t="s">
        <v>1744</v>
      </c>
      <c r="I308" s="30" t="s">
        <v>652</v>
      </c>
      <c r="J308" s="266">
        <v>6.4939999999999998E-3</v>
      </c>
      <c r="K308" s="28" t="s">
        <v>653</v>
      </c>
      <c r="L308" s="126">
        <v>38545130</v>
      </c>
      <c r="M308" s="126">
        <v>0</v>
      </c>
      <c r="N308" s="434"/>
      <c r="O308" s="434" t="s">
        <v>1753</v>
      </c>
      <c r="P308" s="213">
        <v>0</v>
      </c>
      <c r="Q308" s="214">
        <v>0.5</v>
      </c>
      <c r="R308" s="214">
        <v>0.5</v>
      </c>
      <c r="S308" s="214">
        <v>0</v>
      </c>
      <c r="T308" s="214" t="s">
        <v>1477</v>
      </c>
      <c r="U308" s="24" t="s">
        <v>658</v>
      </c>
      <c r="V308" s="25">
        <v>0.2</v>
      </c>
      <c r="W308" s="24" t="s">
        <v>132</v>
      </c>
      <c r="X308" s="24"/>
      <c r="Y308" s="23" t="s">
        <v>2587</v>
      </c>
      <c r="Z308" s="491" t="s">
        <v>2571</v>
      </c>
      <c r="AA308" s="238">
        <f t="shared" si="49"/>
        <v>1.2988000000000001E-3</v>
      </c>
      <c r="AB308" s="252">
        <v>0</v>
      </c>
      <c r="AC308" s="278">
        <f>+(Tabla1[[#This Row],[Avance PDI]]*100%)/Tabla1[[#This Row],[ponderacion_meta]]</f>
        <v>0</v>
      </c>
      <c r="AD308" s="279">
        <v>0</v>
      </c>
      <c r="AE308" s="279">
        <v>3.2469999999999999E-3</v>
      </c>
      <c r="AF308" s="279">
        <v>3.2469999999999999E-3</v>
      </c>
      <c r="AG308" s="279">
        <v>0</v>
      </c>
      <c r="AH308" s="396">
        <f t="shared" si="44"/>
        <v>2.6596669999999999E-2</v>
      </c>
      <c r="AI308" s="396">
        <f t="shared" si="45"/>
        <v>8.2625000000000032E-2</v>
      </c>
      <c r="AJ308" s="317">
        <f t="shared" si="46"/>
        <v>8.2625000000000032E-2</v>
      </c>
      <c r="AK308" s="387">
        <v>9.7257000000000003E-3</v>
      </c>
      <c r="AL308" s="406">
        <f t="shared" ref="AL308:AL371" si="51">$AL$306</f>
        <v>8.1250000000000003E-2</v>
      </c>
      <c r="AM308" s="327">
        <v>0</v>
      </c>
      <c r="AN308" s="410">
        <f t="shared" ref="AN308:AN363" si="52">$AN$306</f>
        <v>0.10833333333333334</v>
      </c>
      <c r="AO308" s="344" t="e">
        <f>+([1]!Tabla1[[#This Row],[ponderacion_accion]]/20%)*AQ308</f>
        <v>#REF!</v>
      </c>
      <c r="AP308" s="344" t="e">
        <f>Tabla1[[#This Row],[ponderacion_meta]]*AO308</f>
        <v>#REF!</v>
      </c>
      <c r="AQ308" s="354"/>
      <c r="AR308" s="378">
        <v>0</v>
      </c>
      <c r="AS308" s="9"/>
      <c r="AT308" s="521">
        <v>0</v>
      </c>
    </row>
    <row r="309" spans="1:46" ht="15" customHeight="1" x14ac:dyDescent="0.35">
      <c r="A309" s="236" t="s">
        <v>1151</v>
      </c>
      <c r="B309" s="400" t="s">
        <v>567</v>
      </c>
      <c r="C309" s="399" t="s">
        <v>1720</v>
      </c>
      <c r="D309" s="237" t="s">
        <v>1164</v>
      </c>
      <c r="E309" s="179" t="s">
        <v>650</v>
      </c>
      <c r="F309" s="176" t="s">
        <v>2610</v>
      </c>
      <c r="G309" s="160" t="s">
        <v>651</v>
      </c>
      <c r="H309" s="160" t="s">
        <v>1744</v>
      </c>
      <c r="I309" s="30" t="s">
        <v>652</v>
      </c>
      <c r="J309" s="266">
        <v>6.4939999999999998E-3</v>
      </c>
      <c r="K309" s="28" t="s">
        <v>653</v>
      </c>
      <c r="L309" s="126">
        <v>38545130</v>
      </c>
      <c r="M309" s="126">
        <v>0</v>
      </c>
      <c r="N309" s="434"/>
      <c r="O309" s="434" t="s">
        <v>1753</v>
      </c>
      <c r="P309" s="213">
        <v>0</v>
      </c>
      <c r="Q309" s="214">
        <v>0.5</v>
      </c>
      <c r="R309" s="214">
        <v>0.5</v>
      </c>
      <c r="S309" s="214">
        <v>0</v>
      </c>
      <c r="T309" s="214" t="s">
        <v>1478</v>
      </c>
      <c r="U309" s="24" t="s">
        <v>659</v>
      </c>
      <c r="V309" s="25">
        <v>0.1</v>
      </c>
      <c r="W309" s="24" t="s">
        <v>660</v>
      </c>
      <c r="X309" s="24"/>
      <c r="Y309" s="23" t="s">
        <v>2587</v>
      </c>
      <c r="Z309" s="491" t="s">
        <v>2571</v>
      </c>
      <c r="AA309" s="238">
        <f t="shared" si="49"/>
        <v>6.4940000000000006E-4</v>
      </c>
      <c r="AB309" s="252">
        <v>0</v>
      </c>
      <c r="AC309" s="278">
        <f>+(Tabla1[[#This Row],[Avance PDI]]*100%)/Tabla1[[#This Row],[ponderacion_meta]]</f>
        <v>0</v>
      </c>
      <c r="AD309" s="279">
        <v>0</v>
      </c>
      <c r="AE309" s="279">
        <v>3.2469999999999999E-3</v>
      </c>
      <c r="AF309" s="279">
        <v>3.2469999999999999E-3</v>
      </c>
      <c r="AG309" s="279">
        <v>0</v>
      </c>
      <c r="AH309" s="396">
        <f t="shared" si="44"/>
        <v>2.6596669999999999E-2</v>
      </c>
      <c r="AI309" s="396">
        <f t="shared" si="45"/>
        <v>8.2625000000000032E-2</v>
      </c>
      <c r="AJ309" s="317">
        <f t="shared" si="46"/>
        <v>8.2625000000000032E-2</v>
      </c>
      <c r="AK309" s="387">
        <v>9.7257000000000003E-3</v>
      </c>
      <c r="AL309" s="406">
        <f t="shared" si="51"/>
        <v>8.1250000000000003E-2</v>
      </c>
      <c r="AM309" s="327">
        <v>0</v>
      </c>
      <c r="AN309" s="410">
        <f t="shared" si="52"/>
        <v>0.10833333333333334</v>
      </c>
      <c r="AO309" s="344" t="e">
        <f>+([1]!Tabla1[[#This Row],[ponderacion_accion]]/10%)*AQ309</f>
        <v>#REF!</v>
      </c>
      <c r="AP309" s="344" t="e">
        <f>Tabla1[[#This Row],[ponderacion_meta]]*AO309</f>
        <v>#REF!</v>
      </c>
      <c r="AQ309" s="354"/>
      <c r="AR309" s="378">
        <v>0</v>
      </c>
      <c r="AS309" s="9"/>
      <c r="AT309" s="521">
        <v>0</v>
      </c>
    </row>
    <row r="310" spans="1:46" ht="15" customHeight="1" x14ac:dyDescent="0.35">
      <c r="A310" s="236" t="s">
        <v>1151</v>
      </c>
      <c r="B310" s="400" t="s">
        <v>567</v>
      </c>
      <c r="C310" s="399" t="s">
        <v>1720</v>
      </c>
      <c r="D310" s="237" t="s">
        <v>1164</v>
      </c>
      <c r="E310" s="179" t="s">
        <v>650</v>
      </c>
      <c r="F310" s="176" t="s">
        <v>2610</v>
      </c>
      <c r="G310" s="160" t="s">
        <v>651</v>
      </c>
      <c r="H310" s="160" t="s">
        <v>1744</v>
      </c>
      <c r="I310" s="30" t="s">
        <v>652</v>
      </c>
      <c r="J310" s="266">
        <v>6.4939999999999998E-3</v>
      </c>
      <c r="K310" s="28" t="s">
        <v>653</v>
      </c>
      <c r="L310" s="126">
        <v>38545130</v>
      </c>
      <c r="M310" s="126">
        <v>0</v>
      </c>
      <c r="N310" s="434"/>
      <c r="O310" s="434" t="s">
        <v>1753</v>
      </c>
      <c r="P310" s="213">
        <v>0</v>
      </c>
      <c r="Q310" s="214">
        <v>0.5</v>
      </c>
      <c r="R310" s="214">
        <v>0.5</v>
      </c>
      <c r="S310" s="214">
        <v>0</v>
      </c>
      <c r="T310" s="214" t="s">
        <v>1479</v>
      </c>
      <c r="U310" s="24" t="s">
        <v>661</v>
      </c>
      <c r="V310" s="25">
        <v>0.1</v>
      </c>
      <c r="W310" s="24" t="s">
        <v>662</v>
      </c>
      <c r="X310" s="24"/>
      <c r="Y310" s="23" t="s">
        <v>2587</v>
      </c>
      <c r="Z310" s="491" t="s">
        <v>2571</v>
      </c>
      <c r="AA310" s="238">
        <f t="shared" si="49"/>
        <v>6.4940000000000006E-4</v>
      </c>
      <c r="AB310" s="252">
        <v>0</v>
      </c>
      <c r="AC310" s="278">
        <f>+(Tabla1[[#This Row],[Avance PDI]]*100%)/Tabla1[[#This Row],[ponderacion_meta]]</f>
        <v>0</v>
      </c>
      <c r="AD310" s="279">
        <v>0</v>
      </c>
      <c r="AE310" s="279">
        <v>3.2469999999999999E-3</v>
      </c>
      <c r="AF310" s="279">
        <v>3.2469999999999999E-3</v>
      </c>
      <c r="AG310" s="279">
        <v>0</v>
      </c>
      <c r="AH310" s="396">
        <f t="shared" si="44"/>
        <v>2.6596669999999999E-2</v>
      </c>
      <c r="AI310" s="396">
        <f t="shared" si="45"/>
        <v>8.2625000000000032E-2</v>
      </c>
      <c r="AJ310" s="317">
        <f t="shared" si="46"/>
        <v>8.2625000000000032E-2</v>
      </c>
      <c r="AK310" s="387">
        <v>9.7257000000000003E-3</v>
      </c>
      <c r="AL310" s="406">
        <f t="shared" si="51"/>
        <v>8.1250000000000003E-2</v>
      </c>
      <c r="AM310" s="327">
        <v>0</v>
      </c>
      <c r="AN310" s="410">
        <f t="shared" si="52"/>
        <v>0.10833333333333334</v>
      </c>
      <c r="AO310" s="344" t="e">
        <f>+([1]!Tabla1[[#This Row],[ponderacion_accion]]/10%)*AQ310</f>
        <v>#REF!</v>
      </c>
      <c r="AP310" s="344" t="e">
        <f>Tabla1[[#This Row],[ponderacion_meta]]*AO310</f>
        <v>#REF!</v>
      </c>
      <c r="AQ310" s="354"/>
      <c r="AR310" s="378">
        <v>0</v>
      </c>
      <c r="AS310" s="9"/>
      <c r="AT310" s="521">
        <v>0</v>
      </c>
    </row>
    <row r="311" spans="1:46" ht="15" customHeight="1" x14ac:dyDescent="0.35">
      <c r="A311" s="236" t="s">
        <v>1151</v>
      </c>
      <c r="B311" s="400" t="s">
        <v>567</v>
      </c>
      <c r="C311" s="399" t="s">
        <v>1720</v>
      </c>
      <c r="D311" s="237" t="s">
        <v>1164</v>
      </c>
      <c r="E311" s="179" t="s">
        <v>650</v>
      </c>
      <c r="F311" s="176" t="s">
        <v>2610</v>
      </c>
      <c r="G311" s="160" t="s">
        <v>651</v>
      </c>
      <c r="H311" s="160" t="s">
        <v>1744</v>
      </c>
      <c r="I311" s="30" t="s">
        <v>652</v>
      </c>
      <c r="J311" s="266">
        <v>6.4939999999999998E-3</v>
      </c>
      <c r="K311" s="28" t="s">
        <v>653</v>
      </c>
      <c r="L311" s="126">
        <v>38545130</v>
      </c>
      <c r="M311" s="126">
        <v>0</v>
      </c>
      <c r="N311" s="434"/>
      <c r="O311" s="434" t="s">
        <v>1753</v>
      </c>
      <c r="P311" s="213">
        <v>0</v>
      </c>
      <c r="Q311" s="214">
        <v>0.5</v>
      </c>
      <c r="R311" s="214">
        <v>0.5</v>
      </c>
      <c r="S311" s="214">
        <v>0</v>
      </c>
      <c r="T311" s="214" t="s">
        <v>1480</v>
      </c>
      <c r="U311" s="24" t="s">
        <v>663</v>
      </c>
      <c r="V311" s="25">
        <v>0.4</v>
      </c>
      <c r="W311" s="24" t="s">
        <v>664</v>
      </c>
      <c r="X311" s="24"/>
      <c r="Y311" s="23" t="s">
        <v>2587</v>
      </c>
      <c r="Z311" s="491" t="s">
        <v>2571</v>
      </c>
      <c r="AA311" s="238">
        <f t="shared" si="49"/>
        <v>2.5976000000000003E-3</v>
      </c>
      <c r="AB311" s="252">
        <v>0</v>
      </c>
      <c r="AC311" s="278">
        <f>+(Tabla1[[#This Row],[Avance PDI]]*100%)/Tabla1[[#This Row],[ponderacion_meta]]</f>
        <v>0</v>
      </c>
      <c r="AD311" s="279">
        <v>0</v>
      </c>
      <c r="AE311" s="279">
        <v>3.2469999999999999E-3</v>
      </c>
      <c r="AF311" s="279">
        <v>3.2469999999999999E-3</v>
      </c>
      <c r="AG311" s="279">
        <v>0</v>
      </c>
      <c r="AH311" s="396">
        <f t="shared" si="44"/>
        <v>2.6596669999999999E-2</v>
      </c>
      <c r="AI311" s="396">
        <f t="shared" si="45"/>
        <v>8.2625000000000032E-2</v>
      </c>
      <c r="AJ311" s="317">
        <f t="shared" si="46"/>
        <v>8.2625000000000032E-2</v>
      </c>
      <c r="AK311" s="387">
        <v>9.7257000000000003E-3</v>
      </c>
      <c r="AL311" s="406">
        <f t="shared" si="51"/>
        <v>8.1250000000000003E-2</v>
      </c>
      <c r="AM311" s="327">
        <v>0</v>
      </c>
      <c r="AN311" s="410">
        <f t="shared" si="52"/>
        <v>0.10833333333333334</v>
      </c>
      <c r="AO311" s="345" t="e">
        <f>+([1]!Tabla1[[#This Row],[ponderacion_accion]]/40%)*AQ311</f>
        <v>#REF!</v>
      </c>
      <c r="AP311" s="345" t="e">
        <f>Tabla1[[#This Row],[ponderacion_meta]]*AO311</f>
        <v>#REF!</v>
      </c>
      <c r="AQ311" s="357"/>
      <c r="AR311" s="379">
        <v>0</v>
      </c>
      <c r="AS311" s="9"/>
      <c r="AT311" s="521">
        <v>0</v>
      </c>
    </row>
    <row r="312" spans="1:46" ht="15" customHeight="1" x14ac:dyDescent="0.35">
      <c r="A312" s="236" t="s">
        <v>1151</v>
      </c>
      <c r="B312" s="400" t="s">
        <v>567</v>
      </c>
      <c r="C312" s="399" t="s">
        <v>1720</v>
      </c>
      <c r="D312" s="237" t="s">
        <v>1164</v>
      </c>
      <c r="E312" s="179" t="s">
        <v>650</v>
      </c>
      <c r="F312" s="176" t="s">
        <v>2610</v>
      </c>
      <c r="G312" s="160" t="s">
        <v>651</v>
      </c>
      <c r="H312" s="160" t="s">
        <v>1744</v>
      </c>
      <c r="I312" s="14" t="s">
        <v>665</v>
      </c>
      <c r="J312" s="265">
        <v>6.4939999999999998E-3</v>
      </c>
      <c r="K312" s="26" t="s">
        <v>666</v>
      </c>
      <c r="L312" s="127">
        <v>1001875000</v>
      </c>
      <c r="M312" s="127">
        <v>0</v>
      </c>
      <c r="N312" s="435"/>
      <c r="O312" s="435" t="s">
        <v>1753</v>
      </c>
      <c r="P312" s="185">
        <v>0.25</v>
      </c>
      <c r="Q312" s="186">
        <v>0.25</v>
      </c>
      <c r="R312" s="186">
        <v>0.25</v>
      </c>
      <c r="S312" s="186">
        <v>0.25</v>
      </c>
      <c r="T312" s="186" t="s">
        <v>1481</v>
      </c>
      <c r="U312" s="52" t="s">
        <v>667</v>
      </c>
      <c r="V312" s="15">
        <v>0.1</v>
      </c>
      <c r="W312" s="26" t="s">
        <v>668</v>
      </c>
      <c r="X312" s="26"/>
      <c r="Y312" s="26" t="s">
        <v>2587</v>
      </c>
      <c r="Z312" s="26" t="s">
        <v>2091</v>
      </c>
      <c r="AA312" s="239">
        <f t="shared" si="49"/>
        <v>6.4940000000000006E-4</v>
      </c>
      <c r="AB312" s="254">
        <f>+Tabla1[[#This Row],[ponderacion_meta]]*Tabla1[[#This Row],[ponderacion_accion]]/4</f>
        <v>1.6235000000000002E-4</v>
      </c>
      <c r="AC312" s="262">
        <f>+(Tabla1[[#This Row],[Avance PDI]]*100%)/Tabla1[[#This Row],[ponderacion_meta]]</f>
        <v>2.5000000000000005E-2</v>
      </c>
      <c r="AD312" s="257">
        <f>+Tabla1[[#This Row],[ponderacion_meta]]*Tabla1[[#This Row],[proyeccion_año1]]</f>
        <v>1.6234999999999999E-3</v>
      </c>
      <c r="AE312" s="257">
        <f>+Tabla1[[#This Row],[ponderacion_meta]]*Tabla1[[#This Row],[proyeccion_año2]]</f>
        <v>1.6234999999999999E-3</v>
      </c>
      <c r="AF312" s="257">
        <f>+Tabla1[[#This Row],[ponderacion_meta]]*Tabla1[[#This Row],[proyeccion_año3]]</f>
        <v>1.6234999999999999E-3</v>
      </c>
      <c r="AG312" s="257">
        <f>+Tabla1[[#This Row],[ponderacion_meta]]*Tabla1[[#This Row],[proyeccion_año4]]</f>
        <v>1.6234999999999999E-3</v>
      </c>
      <c r="AH312" s="396">
        <f t="shared" si="44"/>
        <v>2.6596669999999999E-2</v>
      </c>
      <c r="AI312" s="396">
        <f t="shared" si="45"/>
        <v>8.2625000000000032E-2</v>
      </c>
      <c r="AJ312" s="317">
        <f t="shared" si="46"/>
        <v>8.2625000000000032E-2</v>
      </c>
      <c r="AK312" s="387">
        <v>9.7257000000000003E-3</v>
      </c>
      <c r="AL312" s="406">
        <f t="shared" si="51"/>
        <v>8.1250000000000003E-2</v>
      </c>
      <c r="AM312" s="327">
        <v>0</v>
      </c>
      <c r="AN312" s="410">
        <f t="shared" si="52"/>
        <v>0.10833333333333334</v>
      </c>
      <c r="AO312" s="358" t="e">
        <f>+([1]!Tabla1[[#This Row],[ponderacion_accion]]/4)*AQ312</f>
        <v>#REF!</v>
      </c>
      <c r="AP312" s="358" t="e">
        <f>Tabla1[[#This Row],[ponderacion_meta]]*AO312</f>
        <v>#REF!</v>
      </c>
      <c r="AQ312" s="361">
        <v>1</v>
      </c>
      <c r="AR312" s="380">
        <v>0</v>
      </c>
      <c r="AS312" s="7" t="e">
        <f>+((SUM(AO312:AO317)*100)/100)</f>
        <v>#REF!</v>
      </c>
      <c r="AT312" s="521">
        <v>0</v>
      </c>
    </row>
    <row r="313" spans="1:46" ht="15" customHeight="1" x14ac:dyDescent="0.35">
      <c r="A313" s="236" t="s">
        <v>1151</v>
      </c>
      <c r="B313" s="400" t="s">
        <v>567</v>
      </c>
      <c r="C313" s="399" t="s">
        <v>1720</v>
      </c>
      <c r="D313" s="237" t="s">
        <v>1164</v>
      </c>
      <c r="E313" s="179" t="s">
        <v>650</v>
      </c>
      <c r="F313" s="176" t="s">
        <v>2610</v>
      </c>
      <c r="G313" s="160" t="s">
        <v>651</v>
      </c>
      <c r="H313" s="160" t="s">
        <v>1744</v>
      </c>
      <c r="I313" s="19" t="s">
        <v>665</v>
      </c>
      <c r="J313" s="267">
        <v>6.4939999999999998E-3</v>
      </c>
      <c r="K313" s="98" t="s">
        <v>666</v>
      </c>
      <c r="L313" s="134">
        <v>1001875000</v>
      </c>
      <c r="M313" s="134">
        <v>0</v>
      </c>
      <c r="N313" s="442"/>
      <c r="O313" s="442" t="s">
        <v>1753</v>
      </c>
      <c r="P313" s="204">
        <v>0.25</v>
      </c>
      <c r="Q313" s="205">
        <v>0.25</v>
      </c>
      <c r="R313" s="205">
        <v>0.25</v>
      </c>
      <c r="S313" s="205">
        <v>0.25</v>
      </c>
      <c r="T313" s="205" t="s">
        <v>1482</v>
      </c>
      <c r="U313" s="52" t="s">
        <v>669</v>
      </c>
      <c r="V313" s="15">
        <v>0.1</v>
      </c>
      <c r="W313" s="26" t="s">
        <v>24</v>
      </c>
      <c r="X313" s="26"/>
      <c r="Y313" s="26" t="s">
        <v>2587</v>
      </c>
      <c r="Z313" s="98" t="s">
        <v>2091</v>
      </c>
      <c r="AA313" s="239">
        <f t="shared" si="49"/>
        <v>6.4940000000000006E-4</v>
      </c>
      <c r="AB313" s="254">
        <f>+Tabla1[[#This Row],[ponderacion_meta]]*Tabla1[[#This Row],[ponderacion_accion]]/4</f>
        <v>1.6235000000000002E-4</v>
      </c>
      <c r="AC313" s="262">
        <f>+(Tabla1[[#This Row],[Avance PDI]]*100%)/Tabla1[[#This Row],[ponderacion_meta]]</f>
        <v>2.5000000000000005E-2</v>
      </c>
      <c r="AD313" s="257">
        <v>1.6234999999999999E-3</v>
      </c>
      <c r="AE313" s="257">
        <v>1.6234999999999999E-3</v>
      </c>
      <c r="AF313" s="257">
        <v>1.6234999999999999E-3</v>
      </c>
      <c r="AG313" s="257">
        <v>1.6234999999999999E-3</v>
      </c>
      <c r="AH313" s="396">
        <f t="shared" si="44"/>
        <v>2.6596669999999999E-2</v>
      </c>
      <c r="AI313" s="396">
        <f t="shared" si="45"/>
        <v>8.2625000000000032E-2</v>
      </c>
      <c r="AJ313" s="317">
        <f t="shared" si="46"/>
        <v>8.2625000000000032E-2</v>
      </c>
      <c r="AK313" s="387">
        <v>9.7257000000000003E-3</v>
      </c>
      <c r="AL313" s="406">
        <f t="shared" si="51"/>
        <v>8.1250000000000003E-2</v>
      </c>
      <c r="AM313" s="327">
        <v>0</v>
      </c>
      <c r="AN313" s="410">
        <f t="shared" si="52"/>
        <v>0.10833333333333334</v>
      </c>
      <c r="AO313" s="359" t="e">
        <f>+([1]!Tabla1[[#This Row],[ponderacion_accion]]/4)*AQ313</f>
        <v>#REF!</v>
      </c>
      <c r="AP313" s="359" t="e">
        <f>Tabla1[[#This Row],[ponderacion_meta]]*AO313</f>
        <v>#REF!</v>
      </c>
      <c r="AQ313" s="351">
        <v>1</v>
      </c>
      <c r="AR313" s="380">
        <v>0</v>
      </c>
      <c r="AS313" s="9"/>
      <c r="AT313" s="521">
        <v>0</v>
      </c>
    </row>
    <row r="314" spans="1:46" ht="15" customHeight="1" x14ac:dyDescent="0.35">
      <c r="A314" s="236" t="s">
        <v>1151</v>
      </c>
      <c r="B314" s="400" t="s">
        <v>567</v>
      </c>
      <c r="C314" s="399" t="s">
        <v>1720</v>
      </c>
      <c r="D314" s="237" t="s">
        <v>1164</v>
      </c>
      <c r="E314" s="179" t="s">
        <v>650</v>
      </c>
      <c r="F314" s="176" t="s">
        <v>2610</v>
      </c>
      <c r="G314" s="160" t="s">
        <v>651</v>
      </c>
      <c r="H314" s="160" t="s">
        <v>1744</v>
      </c>
      <c r="I314" s="19" t="s">
        <v>665</v>
      </c>
      <c r="J314" s="267">
        <v>6.4939999999999998E-3</v>
      </c>
      <c r="K314" s="98" t="s">
        <v>666</v>
      </c>
      <c r="L314" s="134">
        <v>1001875000</v>
      </c>
      <c r="M314" s="134">
        <v>0</v>
      </c>
      <c r="N314" s="442"/>
      <c r="O314" s="442" t="s">
        <v>1753</v>
      </c>
      <c r="P314" s="204">
        <v>0.25</v>
      </c>
      <c r="Q314" s="205">
        <v>0.25</v>
      </c>
      <c r="R314" s="205">
        <v>0.25</v>
      </c>
      <c r="S314" s="205">
        <v>0.25</v>
      </c>
      <c r="T314" s="205" t="s">
        <v>1483</v>
      </c>
      <c r="U314" s="52" t="s">
        <v>670</v>
      </c>
      <c r="V314" s="15">
        <v>0.05</v>
      </c>
      <c r="W314" s="26" t="s">
        <v>671</v>
      </c>
      <c r="X314" s="26"/>
      <c r="Y314" s="26" t="s">
        <v>2587</v>
      </c>
      <c r="Z314" s="98" t="s">
        <v>2091</v>
      </c>
      <c r="AA314" s="239">
        <f t="shared" si="49"/>
        <v>3.2470000000000003E-4</v>
      </c>
      <c r="AB314" s="254">
        <f>+Tabla1[[#This Row],[ponderacion_meta]]*Tabla1[[#This Row],[ponderacion_accion]]/4</f>
        <v>8.1175000000000008E-5</v>
      </c>
      <c r="AC314" s="262">
        <f>+(Tabla1[[#This Row],[Avance PDI]]*100%)/Tabla1[[#This Row],[ponderacion_meta]]</f>
        <v>1.2500000000000002E-2</v>
      </c>
      <c r="AD314" s="257">
        <v>1.6234999999999999E-3</v>
      </c>
      <c r="AE314" s="257">
        <v>1.6234999999999999E-3</v>
      </c>
      <c r="AF314" s="257">
        <v>1.6234999999999999E-3</v>
      </c>
      <c r="AG314" s="257">
        <v>1.6234999999999999E-3</v>
      </c>
      <c r="AH314" s="396">
        <f t="shared" si="44"/>
        <v>2.6596669999999999E-2</v>
      </c>
      <c r="AI314" s="396">
        <f t="shared" si="45"/>
        <v>8.2625000000000032E-2</v>
      </c>
      <c r="AJ314" s="317">
        <f t="shared" si="46"/>
        <v>8.2625000000000032E-2</v>
      </c>
      <c r="AK314" s="387">
        <v>9.7257000000000003E-3</v>
      </c>
      <c r="AL314" s="406">
        <f t="shared" si="51"/>
        <v>8.1250000000000003E-2</v>
      </c>
      <c r="AM314" s="327">
        <v>0</v>
      </c>
      <c r="AN314" s="410">
        <f t="shared" si="52"/>
        <v>0.10833333333333334</v>
      </c>
      <c r="AO314" s="359" t="e">
        <f>+([1]!Tabla1[[#This Row],[ponderacion_accion]]/4)*AQ314</f>
        <v>#REF!</v>
      </c>
      <c r="AP314" s="359" t="e">
        <f>Tabla1[[#This Row],[ponderacion_meta]]*AO314</f>
        <v>#REF!</v>
      </c>
      <c r="AQ314" s="351">
        <v>1</v>
      </c>
      <c r="AR314" s="380">
        <v>0</v>
      </c>
      <c r="AS314" s="9"/>
      <c r="AT314" s="521">
        <v>0</v>
      </c>
    </row>
    <row r="315" spans="1:46" ht="15" customHeight="1" x14ac:dyDescent="0.35">
      <c r="A315" s="236" t="s">
        <v>1151</v>
      </c>
      <c r="B315" s="400" t="s">
        <v>567</v>
      </c>
      <c r="C315" s="399" t="s">
        <v>1720</v>
      </c>
      <c r="D315" s="237" t="s">
        <v>1164</v>
      </c>
      <c r="E315" s="179" t="s">
        <v>650</v>
      </c>
      <c r="F315" s="176" t="s">
        <v>2610</v>
      </c>
      <c r="G315" s="160" t="s">
        <v>651</v>
      </c>
      <c r="H315" s="160" t="s">
        <v>1744</v>
      </c>
      <c r="I315" s="19" t="s">
        <v>665</v>
      </c>
      <c r="J315" s="267">
        <v>6.4939999999999998E-3</v>
      </c>
      <c r="K315" s="98" t="s">
        <v>666</v>
      </c>
      <c r="L315" s="134">
        <v>1001875000</v>
      </c>
      <c r="M315" s="134">
        <v>0</v>
      </c>
      <c r="N315" s="442"/>
      <c r="O315" s="442" t="s">
        <v>1753</v>
      </c>
      <c r="P315" s="204">
        <v>0.25</v>
      </c>
      <c r="Q315" s="205">
        <v>0.25</v>
      </c>
      <c r="R315" s="205">
        <v>0.25</v>
      </c>
      <c r="S315" s="205">
        <v>0.25</v>
      </c>
      <c r="T315" s="205" t="s">
        <v>1484</v>
      </c>
      <c r="U315" s="52" t="s">
        <v>672</v>
      </c>
      <c r="V315" s="15">
        <v>0.5</v>
      </c>
      <c r="W315" s="26" t="s">
        <v>28</v>
      </c>
      <c r="X315" s="26"/>
      <c r="Y315" s="26" t="s">
        <v>2587</v>
      </c>
      <c r="Z315" s="98" t="s">
        <v>2091</v>
      </c>
      <c r="AA315" s="239">
        <f t="shared" si="49"/>
        <v>3.2469999999999999E-3</v>
      </c>
      <c r="AB315" s="254">
        <f>+Tabla1[[#This Row],[ponderacion_meta]]*Tabla1[[#This Row],[ponderacion_accion]]/4</f>
        <v>8.1174999999999997E-4</v>
      </c>
      <c r="AC315" s="262">
        <f>+(Tabla1[[#This Row],[Avance PDI]]*100%)/Tabla1[[#This Row],[ponderacion_meta]]</f>
        <v>0.125</v>
      </c>
      <c r="AD315" s="257">
        <v>1.6234999999999999E-3</v>
      </c>
      <c r="AE315" s="257">
        <v>1.6234999999999999E-3</v>
      </c>
      <c r="AF315" s="257">
        <v>1.6234999999999999E-3</v>
      </c>
      <c r="AG315" s="257">
        <v>1.6234999999999999E-3</v>
      </c>
      <c r="AH315" s="396">
        <f t="shared" si="44"/>
        <v>2.6596669999999999E-2</v>
      </c>
      <c r="AI315" s="396">
        <f t="shared" si="45"/>
        <v>8.2625000000000032E-2</v>
      </c>
      <c r="AJ315" s="317">
        <f t="shared" si="46"/>
        <v>8.2625000000000032E-2</v>
      </c>
      <c r="AK315" s="387">
        <v>9.7257000000000003E-3</v>
      </c>
      <c r="AL315" s="406">
        <f t="shared" si="51"/>
        <v>8.1250000000000003E-2</v>
      </c>
      <c r="AM315" s="327">
        <v>0</v>
      </c>
      <c r="AN315" s="410">
        <f t="shared" si="52"/>
        <v>0.10833333333333334</v>
      </c>
      <c r="AO315" s="359" t="e">
        <f>+([1]!Tabla1[[#This Row],[ponderacion_accion]]/4)*AQ315</f>
        <v>#REF!</v>
      </c>
      <c r="AP315" s="359" t="e">
        <f>Tabla1[[#This Row],[ponderacion_meta]]*AO315</f>
        <v>#REF!</v>
      </c>
      <c r="AQ315" s="351">
        <v>1</v>
      </c>
      <c r="AR315" s="380">
        <v>0</v>
      </c>
      <c r="AS315" s="9"/>
      <c r="AT315" s="521">
        <v>0</v>
      </c>
    </row>
    <row r="316" spans="1:46" ht="15" customHeight="1" x14ac:dyDescent="0.35">
      <c r="A316" s="236" t="s">
        <v>1151</v>
      </c>
      <c r="B316" s="400" t="s">
        <v>567</v>
      </c>
      <c r="C316" s="399" t="s">
        <v>1720</v>
      </c>
      <c r="D316" s="237" t="s">
        <v>1164</v>
      </c>
      <c r="E316" s="179" t="s">
        <v>650</v>
      </c>
      <c r="F316" s="176" t="s">
        <v>2610</v>
      </c>
      <c r="G316" s="160" t="s">
        <v>651</v>
      </c>
      <c r="H316" s="160" t="s">
        <v>1744</v>
      </c>
      <c r="I316" s="19" t="s">
        <v>665</v>
      </c>
      <c r="J316" s="267">
        <v>6.4939999999999998E-3</v>
      </c>
      <c r="K316" s="98" t="s">
        <v>666</v>
      </c>
      <c r="L316" s="134">
        <v>1001875000</v>
      </c>
      <c r="M316" s="134">
        <v>0</v>
      </c>
      <c r="N316" s="442"/>
      <c r="O316" s="442" t="s">
        <v>1753</v>
      </c>
      <c r="P316" s="204">
        <v>0.25</v>
      </c>
      <c r="Q316" s="205">
        <v>0.25</v>
      </c>
      <c r="R316" s="205">
        <v>0.25</v>
      </c>
      <c r="S316" s="205">
        <v>0.25</v>
      </c>
      <c r="T316" s="205" t="s">
        <v>1485</v>
      </c>
      <c r="U316" s="52" t="s">
        <v>673</v>
      </c>
      <c r="V316" s="15">
        <v>0.2</v>
      </c>
      <c r="W316" s="26" t="s">
        <v>53</v>
      </c>
      <c r="X316" s="26"/>
      <c r="Y316" s="26" t="s">
        <v>2587</v>
      </c>
      <c r="Z316" s="98" t="s">
        <v>2091</v>
      </c>
      <c r="AA316" s="239">
        <f t="shared" si="49"/>
        <v>1.2988000000000001E-3</v>
      </c>
      <c r="AB316" s="254">
        <f>+Tabla1[[#This Row],[ponderacion_meta]]*Tabla1[[#This Row],[ponderacion_accion]]/4</f>
        <v>3.2470000000000003E-4</v>
      </c>
      <c r="AC316" s="262">
        <f>+(Tabla1[[#This Row],[Avance PDI]]*100%)/Tabla1[[#This Row],[ponderacion_meta]]</f>
        <v>5.000000000000001E-2</v>
      </c>
      <c r="AD316" s="257">
        <v>1.6234999999999999E-3</v>
      </c>
      <c r="AE316" s="257">
        <v>1.6234999999999999E-3</v>
      </c>
      <c r="AF316" s="257">
        <v>1.6234999999999999E-3</v>
      </c>
      <c r="AG316" s="257">
        <v>1.6234999999999999E-3</v>
      </c>
      <c r="AH316" s="396">
        <f t="shared" si="44"/>
        <v>2.6596669999999999E-2</v>
      </c>
      <c r="AI316" s="396">
        <f t="shared" si="45"/>
        <v>8.2625000000000032E-2</v>
      </c>
      <c r="AJ316" s="317">
        <f t="shared" si="46"/>
        <v>8.2625000000000032E-2</v>
      </c>
      <c r="AK316" s="387">
        <v>9.7257000000000003E-3</v>
      </c>
      <c r="AL316" s="406">
        <f t="shared" si="51"/>
        <v>8.1250000000000003E-2</v>
      </c>
      <c r="AM316" s="327">
        <v>0</v>
      </c>
      <c r="AN316" s="410">
        <f t="shared" si="52"/>
        <v>0.10833333333333334</v>
      </c>
      <c r="AO316" s="359" t="e">
        <f>+([1]!Tabla1[[#This Row],[ponderacion_accion]]/4)*AQ316</f>
        <v>#REF!</v>
      </c>
      <c r="AP316" s="359" t="e">
        <f>Tabla1[[#This Row],[ponderacion_meta]]*AO316</f>
        <v>#REF!</v>
      </c>
      <c r="AQ316" s="351">
        <v>1</v>
      </c>
      <c r="AR316" s="380">
        <v>0</v>
      </c>
      <c r="AS316" s="9"/>
      <c r="AT316" s="521">
        <v>0</v>
      </c>
    </row>
    <row r="317" spans="1:46" ht="15" customHeight="1" x14ac:dyDescent="0.35">
      <c r="A317" s="236" t="s">
        <v>1151</v>
      </c>
      <c r="B317" s="400" t="s">
        <v>567</v>
      </c>
      <c r="C317" s="399" t="s">
        <v>1720</v>
      </c>
      <c r="D317" s="237" t="s">
        <v>1164</v>
      </c>
      <c r="E317" s="179" t="s">
        <v>650</v>
      </c>
      <c r="F317" s="176" t="s">
        <v>2610</v>
      </c>
      <c r="G317" s="160" t="s">
        <v>651</v>
      </c>
      <c r="H317" s="160" t="s">
        <v>1744</v>
      </c>
      <c r="I317" s="19" t="s">
        <v>665</v>
      </c>
      <c r="J317" s="267">
        <v>6.4939999999999998E-3</v>
      </c>
      <c r="K317" s="98" t="s">
        <v>666</v>
      </c>
      <c r="L317" s="134">
        <v>1001875000</v>
      </c>
      <c r="M317" s="134">
        <v>0</v>
      </c>
      <c r="N317" s="442"/>
      <c r="O317" s="442" t="s">
        <v>1753</v>
      </c>
      <c r="P317" s="204">
        <v>0.25</v>
      </c>
      <c r="Q317" s="205">
        <v>0.25</v>
      </c>
      <c r="R317" s="205">
        <v>0.25</v>
      </c>
      <c r="S317" s="205">
        <v>0.25</v>
      </c>
      <c r="T317" s="205" t="s">
        <v>1486</v>
      </c>
      <c r="U317" s="52" t="s">
        <v>674</v>
      </c>
      <c r="V317" s="15">
        <v>0.05</v>
      </c>
      <c r="W317" s="26" t="s">
        <v>675</v>
      </c>
      <c r="X317" s="26"/>
      <c r="Y317" s="26" t="s">
        <v>2587</v>
      </c>
      <c r="Z317" s="98" t="s">
        <v>2091</v>
      </c>
      <c r="AA317" s="239">
        <f t="shared" si="49"/>
        <v>3.2470000000000003E-4</v>
      </c>
      <c r="AB317" s="254">
        <f>+Tabla1[[#This Row],[ponderacion_meta]]*Tabla1[[#This Row],[ponderacion_accion]]/4</f>
        <v>8.1175000000000008E-5</v>
      </c>
      <c r="AC317" s="262">
        <f>+(Tabla1[[#This Row],[Avance PDI]]*100%)/Tabla1[[#This Row],[ponderacion_meta]]</f>
        <v>1.2500000000000002E-2</v>
      </c>
      <c r="AD317" s="257">
        <v>1.6234999999999999E-3</v>
      </c>
      <c r="AE317" s="257">
        <v>1.6234999999999999E-3</v>
      </c>
      <c r="AF317" s="257">
        <v>1.6234999999999999E-3</v>
      </c>
      <c r="AG317" s="257">
        <v>1.6234999999999999E-3</v>
      </c>
      <c r="AH317" s="396">
        <f t="shared" si="44"/>
        <v>2.6596669999999999E-2</v>
      </c>
      <c r="AI317" s="396">
        <f t="shared" si="45"/>
        <v>8.2625000000000032E-2</v>
      </c>
      <c r="AJ317" s="317">
        <f t="shared" si="46"/>
        <v>8.2625000000000032E-2</v>
      </c>
      <c r="AK317" s="387">
        <v>9.7257000000000003E-3</v>
      </c>
      <c r="AL317" s="406">
        <f t="shared" si="51"/>
        <v>8.1250000000000003E-2</v>
      </c>
      <c r="AM317" s="327">
        <v>0</v>
      </c>
      <c r="AN317" s="410">
        <f t="shared" si="52"/>
        <v>0.10833333333333334</v>
      </c>
      <c r="AO317" s="360" t="e">
        <f>+([1]!Tabla1[[#This Row],[ponderacion_accion]]/4)*AQ317</f>
        <v>#REF!</v>
      </c>
      <c r="AP317" s="360" t="e">
        <f>Tabla1[[#This Row],[ponderacion_meta]]*AO317</f>
        <v>#REF!</v>
      </c>
      <c r="AQ317" s="356">
        <v>1</v>
      </c>
      <c r="AR317" s="380">
        <v>0</v>
      </c>
      <c r="AS317" s="9"/>
      <c r="AT317" s="521">
        <v>0</v>
      </c>
    </row>
    <row r="318" spans="1:46" ht="15" customHeight="1" x14ac:dyDescent="0.35">
      <c r="A318" s="236" t="s">
        <v>1151</v>
      </c>
      <c r="B318" s="400" t="s">
        <v>567</v>
      </c>
      <c r="C318" s="399" t="s">
        <v>1720</v>
      </c>
      <c r="D318" s="237" t="s">
        <v>1164</v>
      </c>
      <c r="E318" s="179" t="s">
        <v>650</v>
      </c>
      <c r="F318" s="176" t="s">
        <v>2610</v>
      </c>
      <c r="G318" s="160" t="s">
        <v>651</v>
      </c>
      <c r="H318" s="160" t="s">
        <v>1744</v>
      </c>
      <c r="I318" s="263" t="s">
        <v>676</v>
      </c>
      <c r="J318" s="264">
        <v>6.4939999999999998E-3</v>
      </c>
      <c r="K318" s="24" t="s">
        <v>677</v>
      </c>
      <c r="L318" s="128">
        <v>1510750000</v>
      </c>
      <c r="M318" s="128">
        <v>0</v>
      </c>
      <c r="N318" s="436"/>
      <c r="O318" s="436" t="s">
        <v>1753</v>
      </c>
      <c r="P318" s="183">
        <v>0.1</v>
      </c>
      <c r="Q318" s="184">
        <v>0.1</v>
      </c>
      <c r="R318" s="184">
        <v>0.1</v>
      </c>
      <c r="S318" s="184">
        <v>0.1</v>
      </c>
      <c r="T318" s="184" t="s">
        <v>1487</v>
      </c>
      <c r="U318" s="53" t="s">
        <v>667</v>
      </c>
      <c r="V318" s="25">
        <v>0.15</v>
      </c>
      <c r="W318" s="24" t="s">
        <v>655</v>
      </c>
      <c r="X318" s="24"/>
      <c r="Y318" s="24" t="s">
        <v>2587</v>
      </c>
      <c r="Z318" s="24" t="s">
        <v>2091</v>
      </c>
      <c r="AA318" s="238">
        <f t="shared" si="49"/>
        <v>9.7409999999999988E-4</v>
      </c>
      <c r="AB318" s="254">
        <f>+Tabla1[[#This Row],[ponderacion_meta]]*Tabla1[[#This Row],[ponderacion_accion]]/4</f>
        <v>2.4352499999999997E-4</v>
      </c>
      <c r="AC318" s="278">
        <f>+(Tabla1[[#This Row],[Avance PDI]]*100%)/Tabla1[[#This Row],[ponderacion_meta]]</f>
        <v>3.7499999999999999E-2</v>
      </c>
      <c r="AD318" s="279">
        <f>+Tabla1[[#This Row],[ponderacion_meta]]/40%*Tabla1[[#This Row],[proyeccion_año1]]</f>
        <v>1.6234999999999999E-3</v>
      </c>
      <c r="AE318" s="279">
        <f>+Tabla1[[#This Row],[ponderacion_meta]]/40%*Tabla1[[#This Row],[proyeccion_año2]]</f>
        <v>1.6234999999999999E-3</v>
      </c>
      <c r="AF318" s="279">
        <f>+Tabla1[[#This Row],[ponderacion_meta]]/40%*Tabla1[[#This Row],[proyeccion_año3]]</f>
        <v>1.6234999999999999E-3</v>
      </c>
      <c r="AG318" s="279">
        <f>+Tabla1[[#This Row],[ponderacion_meta]]/40%*Tabla1[[#This Row],[proyeccion_año4]]</f>
        <v>1.6234999999999999E-3</v>
      </c>
      <c r="AH318" s="396">
        <f t="shared" si="44"/>
        <v>2.6596669999999999E-2</v>
      </c>
      <c r="AI318" s="396">
        <f t="shared" si="45"/>
        <v>8.2625000000000032E-2</v>
      </c>
      <c r="AJ318" s="317">
        <f t="shared" si="46"/>
        <v>8.2625000000000032E-2</v>
      </c>
      <c r="AK318" s="387">
        <v>9.7257000000000003E-3</v>
      </c>
      <c r="AL318" s="406">
        <f t="shared" si="51"/>
        <v>8.1250000000000003E-2</v>
      </c>
      <c r="AM318" s="327">
        <v>0</v>
      </c>
      <c r="AN318" s="410">
        <f t="shared" si="52"/>
        <v>0.10833333333333334</v>
      </c>
      <c r="AO318" s="343" t="e">
        <f>+([1]!Tabla1[[#This Row],[ponderacion_accion]]/4)*AQ318</f>
        <v>#REF!</v>
      </c>
      <c r="AP318" s="343" t="e">
        <f>Tabla1[[#This Row],[ponderacion_meta]]*AO318</f>
        <v>#REF!</v>
      </c>
      <c r="AQ318" s="353">
        <v>1</v>
      </c>
      <c r="AR318" s="377">
        <v>0</v>
      </c>
      <c r="AS318" s="7" t="e">
        <f>+((SUM(AO318:AO322)*100)/100)</f>
        <v>#REF!</v>
      </c>
      <c r="AT318" s="521">
        <v>0</v>
      </c>
    </row>
    <row r="319" spans="1:46" ht="15" customHeight="1" x14ac:dyDescent="0.35">
      <c r="A319" s="236" t="s">
        <v>1151</v>
      </c>
      <c r="B319" s="400" t="s">
        <v>567</v>
      </c>
      <c r="C319" s="399" t="s">
        <v>1720</v>
      </c>
      <c r="D319" s="237" t="s">
        <v>1164</v>
      </c>
      <c r="E319" s="179" t="s">
        <v>650</v>
      </c>
      <c r="F319" s="176" t="s">
        <v>2610</v>
      </c>
      <c r="G319" s="160" t="s">
        <v>651</v>
      </c>
      <c r="H319" s="160" t="s">
        <v>1744</v>
      </c>
      <c r="I319" s="30" t="s">
        <v>676</v>
      </c>
      <c r="J319" s="266">
        <v>6.4939999999999998E-3</v>
      </c>
      <c r="K319" s="28" t="s">
        <v>677</v>
      </c>
      <c r="L319" s="126">
        <v>1510750000</v>
      </c>
      <c r="M319" s="126">
        <v>0</v>
      </c>
      <c r="N319" s="434"/>
      <c r="O319" s="434" t="s">
        <v>1753</v>
      </c>
      <c r="P319" s="213">
        <v>0.1</v>
      </c>
      <c r="Q319" s="214">
        <v>0.1</v>
      </c>
      <c r="R319" s="214">
        <v>0.1</v>
      </c>
      <c r="S319" s="214">
        <v>0.1</v>
      </c>
      <c r="T319" s="214" t="s">
        <v>1488</v>
      </c>
      <c r="U319" s="53" t="s">
        <v>669</v>
      </c>
      <c r="V319" s="25">
        <v>0.1</v>
      </c>
      <c r="W319" s="24" t="s">
        <v>678</v>
      </c>
      <c r="X319" s="24"/>
      <c r="Y319" s="24" t="s">
        <v>2587</v>
      </c>
      <c r="Z319" s="28" t="s">
        <v>2091</v>
      </c>
      <c r="AA319" s="238">
        <f t="shared" si="49"/>
        <v>6.4940000000000006E-4</v>
      </c>
      <c r="AB319" s="254">
        <f>+Tabla1[[#This Row],[ponderacion_meta]]*Tabla1[[#This Row],[ponderacion_accion]]/4</f>
        <v>1.6235000000000002E-4</v>
      </c>
      <c r="AC319" s="278">
        <f>+(Tabla1[[#This Row],[Avance PDI]]*100%)/Tabla1[[#This Row],[ponderacion_meta]]</f>
        <v>2.5000000000000005E-2</v>
      </c>
      <c r="AD319" s="279">
        <v>1.6234999999999999E-3</v>
      </c>
      <c r="AE319" s="279">
        <v>1.6234999999999999E-3</v>
      </c>
      <c r="AF319" s="279">
        <v>1.6234999999999999E-3</v>
      </c>
      <c r="AG319" s="279">
        <v>1.6234999999999999E-3</v>
      </c>
      <c r="AH319" s="396">
        <f t="shared" si="44"/>
        <v>2.6596669999999999E-2</v>
      </c>
      <c r="AI319" s="396">
        <f t="shared" si="45"/>
        <v>8.2625000000000032E-2</v>
      </c>
      <c r="AJ319" s="317">
        <f t="shared" si="46"/>
        <v>8.2625000000000032E-2</v>
      </c>
      <c r="AK319" s="387">
        <v>9.7257000000000003E-3</v>
      </c>
      <c r="AL319" s="406">
        <f t="shared" si="51"/>
        <v>8.1250000000000003E-2</v>
      </c>
      <c r="AM319" s="327">
        <v>0</v>
      </c>
      <c r="AN319" s="410">
        <f t="shared" si="52"/>
        <v>0.10833333333333334</v>
      </c>
      <c r="AO319" s="344" t="e">
        <f>+([1]!Tabla1[[#This Row],[ponderacion_accion]]/4)*AQ319</f>
        <v>#REF!</v>
      </c>
      <c r="AP319" s="344" t="e">
        <f>Tabla1[[#This Row],[ponderacion_meta]]*AO319</f>
        <v>#REF!</v>
      </c>
      <c r="AQ319" s="354">
        <v>1</v>
      </c>
      <c r="AR319" s="378">
        <v>0</v>
      </c>
      <c r="AS319" s="9"/>
      <c r="AT319" s="521">
        <v>0</v>
      </c>
    </row>
    <row r="320" spans="1:46" ht="15" customHeight="1" x14ac:dyDescent="0.35">
      <c r="A320" s="236" t="s">
        <v>1151</v>
      </c>
      <c r="B320" s="400" t="s">
        <v>567</v>
      </c>
      <c r="C320" s="399" t="s">
        <v>1720</v>
      </c>
      <c r="D320" s="237" t="s">
        <v>1164</v>
      </c>
      <c r="E320" s="179" t="s">
        <v>650</v>
      </c>
      <c r="F320" s="176" t="s">
        <v>2610</v>
      </c>
      <c r="G320" s="160" t="s">
        <v>651</v>
      </c>
      <c r="H320" s="160" t="s">
        <v>1744</v>
      </c>
      <c r="I320" s="30" t="s">
        <v>676</v>
      </c>
      <c r="J320" s="266">
        <v>6.4939999999999998E-3</v>
      </c>
      <c r="K320" s="28" t="s">
        <v>677</v>
      </c>
      <c r="L320" s="126">
        <v>1510750000</v>
      </c>
      <c r="M320" s="126">
        <v>0</v>
      </c>
      <c r="N320" s="434"/>
      <c r="O320" s="434" t="s">
        <v>1753</v>
      </c>
      <c r="P320" s="213">
        <v>0.1</v>
      </c>
      <c r="Q320" s="214">
        <v>0.1</v>
      </c>
      <c r="R320" s="214">
        <v>0.1</v>
      </c>
      <c r="S320" s="214">
        <v>0.1</v>
      </c>
      <c r="T320" s="214" t="s">
        <v>1489</v>
      </c>
      <c r="U320" s="53" t="s">
        <v>670</v>
      </c>
      <c r="V320" s="25">
        <v>0.15</v>
      </c>
      <c r="W320" s="24" t="s">
        <v>671</v>
      </c>
      <c r="X320" s="24"/>
      <c r="Y320" s="24" t="s">
        <v>2587</v>
      </c>
      <c r="Z320" s="28" t="s">
        <v>2091</v>
      </c>
      <c r="AA320" s="238">
        <f t="shared" si="49"/>
        <v>9.7409999999999988E-4</v>
      </c>
      <c r="AB320" s="254">
        <f>+Tabla1[[#This Row],[ponderacion_meta]]*Tabla1[[#This Row],[ponderacion_accion]]/4</f>
        <v>2.4352499999999997E-4</v>
      </c>
      <c r="AC320" s="278">
        <f>+(Tabla1[[#This Row],[Avance PDI]]*100%)/Tabla1[[#This Row],[ponderacion_meta]]</f>
        <v>3.7499999999999999E-2</v>
      </c>
      <c r="AD320" s="279">
        <v>1.6234999999999999E-3</v>
      </c>
      <c r="AE320" s="279">
        <v>1.6234999999999999E-3</v>
      </c>
      <c r="AF320" s="279">
        <v>1.6234999999999999E-3</v>
      </c>
      <c r="AG320" s="279">
        <v>1.6234999999999999E-3</v>
      </c>
      <c r="AH320" s="396">
        <f t="shared" si="44"/>
        <v>2.6596669999999999E-2</v>
      </c>
      <c r="AI320" s="396">
        <f t="shared" si="45"/>
        <v>8.2625000000000032E-2</v>
      </c>
      <c r="AJ320" s="317">
        <f t="shared" si="46"/>
        <v>8.2625000000000032E-2</v>
      </c>
      <c r="AK320" s="387">
        <v>9.7257000000000003E-3</v>
      </c>
      <c r="AL320" s="406">
        <f t="shared" si="51"/>
        <v>8.1250000000000003E-2</v>
      </c>
      <c r="AM320" s="327">
        <v>0</v>
      </c>
      <c r="AN320" s="410">
        <f t="shared" si="52"/>
        <v>0.10833333333333334</v>
      </c>
      <c r="AO320" s="344" t="e">
        <f>+([1]!Tabla1[[#This Row],[ponderacion_accion]]/4)*AQ320</f>
        <v>#REF!</v>
      </c>
      <c r="AP320" s="344" t="e">
        <f>Tabla1[[#This Row],[ponderacion_meta]]*AO320</f>
        <v>#REF!</v>
      </c>
      <c r="AQ320" s="354">
        <v>1</v>
      </c>
      <c r="AR320" s="378">
        <v>0</v>
      </c>
      <c r="AS320" s="9"/>
      <c r="AT320" s="521">
        <v>0</v>
      </c>
    </row>
    <row r="321" spans="1:46" ht="15" customHeight="1" x14ac:dyDescent="0.35">
      <c r="A321" s="236" t="s">
        <v>1151</v>
      </c>
      <c r="B321" s="400" t="s">
        <v>567</v>
      </c>
      <c r="C321" s="399" t="s">
        <v>1720</v>
      </c>
      <c r="D321" s="237" t="s">
        <v>1164</v>
      </c>
      <c r="E321" s="179" t="s">
        <v>650</v>
      </c>
      <c r="F321" s="176" t="s">
        <v>2610</v>
      </c>
      <c r="G321" s="160" t="s">
        <v>651</v>
      </c>
      <c r="H321" s="160" t="s">
        <v>1744</v>
      </c>
      <c r="I321" s="30" t="s">
        <v>676</v>
      </c>
      <c r="J321" s="266">
        <v>6.4939999999999998E-3</v>
      </c>
      <c r="K321" s="28" t="s">
        <v>677</v>
      </c>
      <c r="L321" s="126">
        <v>1510750000</v>
      </c>
      <c r="M321" s="126">
        <v>0</v>
      </c>
      <c r="N321" s="434"/>
      <c r="O321" s="434" t="s">
        <v>1753</v>
      </c>
      <c r="P321" s="213">
        <v>0.1</v>
      </c>
      <c r="Q321" s="214">
        <v>0.1</v>
      </c>
      <c r="R321" s="214">
        <v>0.1</v>
      </c>
      <c r="S321" s="214">
        <v>0.1</v>
      </c>
      <c r="T321" s="214" t="s">
        <v>1490</v>
      </c>
      <c r="U321" s="24" t="s">
        <v>679</v>
      </c>
      <c r="V321" s="25">
        <v>0.5</v>
      </c>
      <c r="W321" s="24" t="s">
        <v>680</v>
      </c>
      <c r="X321" s="24"/>
      <c r="Y321" s="24" t="s">
        <v>2587</v>
      </c>
      <c r="Z321" s="28" t="s">
        <v>2091</v>
      </c>
      <c r="AA321" s="238">
        <f t="shared" si="49"/>
        <v>3.2469999999999999E-3</v>
      </c>
      <c r="AB321" s="254">
        <f>+Tabla1[[#This Row],[ponderacion_meta]]*Tabla1[[#This Row],[ponderacion_accion]]/4</f>
        <v>8.1174999999999997E-4</v>
      </c>
      <c r="AC321" s="278">
        <f>+(Tabla1[[#This Row],[Avance PDI]]*100%)/Tabla1[[#This Row],[ponderacion_meta]]</f>
        <v>0.125</v>
      </c>
      <c r="AD321" s="279">
        <v>1.6234999999999999E-3</v>
      </c>
      <c r="AE321" s="279">
        <v>1.6234999999999999E-3</v>
      </c>
      <c r="AF321" s="279">
        <v>1.6234999999999999E-3</v>
      </c>
      <c r="AG321" s="279">
        <v>1.6234999999999999E-3</v>
      </c>
      <c r="AH321" s="396">
        <f t="shared" si="44"/>
        <v>2.6596669999999999E-2</v>
      </c>
      <c r="AI321" s="396">
        <f t="shared" si="45"/>
        <v>8.2625000000000032E-2</v>
      </c>
      <c r="AJ321" s="317">
        <f t="shared" si="46"/>
        <v>8.2625000000000032E-2</v>
      </c>
      <c r="AK321" s="387">
        <v>9.7257000000000003E-3</v>
      </c>
      <c r="AL321" s="406">
        <f t="shared" si="51"/>
        <v>8.1250000000000003E-2</v>
      </c>
      <c r="AM321" s="327">
        <v>0</v>
      </c>
      <c r="AN321" s="410">
        <f t="shared" si="52"/>
        <v>0.10833333333333334</v>
      </c>
      <c r="AO321" s="344" t="e">
        <f>+([1]!Tabla1[[#This Row],[ponderacion_accion]]/4)*AQ321</f>
        <v>#REF!</v>
      </c>
      <c r="AP321" s="344" t="e">
        <f>Tabla1[[#This Row],[ponderacion_meta]]*AO321</f>
        <v>#REF!</v>
      </c>
      <c r="AQ321" s="354">
        <v>1</v>
      </c>
      <c r="AR321" s="378">
        <v>0</v>
      </c>
      <c r="AS321" s="9"/>
      <c r="AT321" s="521">
        <v>0</v>
      </c>
    </row>
    <row r="322" spans="1:46" ht="15" customHeight="1" x14ac:dyDescent="0.35">
      <c r="A322" s="236" t="s">
        <v>1151</v>
      </c>
      <c r="B322" s="400" t="s">
        <v>567</v>
      </c>
      <c r="C322" s="399" t="s">
        <v>1720</v>
      </c>
      <c r="D322" s="237" t="s">
        <v>1164</v>
      </c>
      <c r="E322" s="179" t="s">
        <v>650</v>
      </c>
      <c r="F322" s="176" t="s">
        <v>2610</v>
      </c>
      <c r="G322" s="160" t="s">
        <v>651</v>
      </c>
      <c r="H322" s="160" t="s">
        <v>1744</v>
      </c>
      <c r="I322" s="30" t="s">
        <v>676</v>
      </c>
      <c r="J322" s="266">
        <v>6.4939999999999998E-3</v>
      </c>
      <c r="K322" s="28" t="s">
        <v>677</v>
      </c>
      <c r="L322" s="126">
        <v>1510750000</v>
      </c>
      <c r="M322" s="126">
        <v>0</v>
      </c>
      <c r="N322" s="434"/>
      <c r="O322" s="434" t="s">
        <v>1753</v>
      </c>
      <c r="P322" s="213">
        <v>0.1</v>
      </c>
      <c r="Q322" s="214">
        <v>0.1</v>
      </c>
      <c r="R322" s="214">
        <v>0.1</v>
      </c>
      <c r="S322" s="214">
        <v>0.1</v>
      </c>
      <c r="T322" s="214" t="s">
        <v>1491</v>
      </c>
      <c r="U322" s="24" t="s">
        <v>681</v>
      </c>
      <c r="V322" s="25">
        <v>0.1</v>
      </c>
      <c r="W322" s="24" t="s">
        <v>682</v>
      </c>
      <c r="X322" s="24"/>
      <c r="Y322" s="24" t="s">
        <v>2587</v>
      </c>
      <c r="Z322" s="28" t="s">
        <v>2091</v>
      </c>
      <c r="AA322" s="238">
        <f t="shared" si="49"/>
        <v>6.4940000000000006E-4</v>
      </c>
      <c r="AB322" s="254">
        <f>+Tabla1[[#This Row],[ponderacion_meta]]*Tabla1[[#This Row],[ponderacion_accion]]/4</f>
        <v>1.6235000000000002E-4</v>
      </c>
      <c r="AC322" s="278">
        <f>+(Tabla1[[#This Row],[Avance PDI]]*100%)/Tabla1[[#This Row],[ponderacion_meta]]</f>
        <v>2.5000000000000005E-2</v>
      </c>
      <c r="AD322" s="279">
        <v>1.6234999999999999E-3</v>
      </c>
      <c r="AE322" s="279">
        <v>1.6234999999999999E-3</v>
      </c>
      <c r="AF322" s="279">
        <v>1.6234999999999999E-3</v>
      </c>
      <c r="AG322" s="279">
        <v>1.6234999999999999E-3</v>
      </c>
      <c r="AH322" s="396">
        <f t="shared" si="44"/>
        <v>2.6596669999999999E-2</v>
      </c>
      <c r="AI322" s="396">
        <f t="shared" si="45"/>
        <v>8.2625000000000032E-2</v>
      </c>
      <c r="AJ322" s="317">
        <f t="shared" si="46"/>
        <v>8.2625000000000032E-2</v>
      </c>
      <c r="AK322" s="387">
        <v>9.7257000000000003E-3</v>
      </c>
      <c r="AL322" s="406">
        <f t="shared" si="51"/>
        <v>8.1250000000000003E-2</v>
      </c>
      <c r="AM322" s="327">
        <v>0</v>
      </c>
      <c r="AN322" s="410">
        <f t="shared" si="52"/>
        <v>0.10833333333333334</v>
      </c>
      <c r="AO322" s="345" t="e">
        <f>+([1]!Tabla1[[#This Row],[ponderacion_accion]]/4)*AQ322</f>
        <v>#REF!</v>
      </c>
      <c r="AP322" s="345" t="e">
        <f>Tabla1[[#This Row],[ponderacion_meta]]*AO322</f>
        <v>#REF!</v>
      </c>
      <c r="AQ322" s="357">
        <v>1</v>
      </c>
      <c r="AR322" s="379">
        <v>0</v>
      </c>
      <c r="AS322" s="9"/>
      <c r="AT322" s="521">
        <v>0</v>
      </c>
    </row>
    <row r="323" spans="1:46" ht="15" customHeight="1" x14ac:dyDescent="0.35">
      <c r="A323" s="236" t="s">
        <v>1151</v>
      </c>
      <c r="B323" s="400" t="s">
        <v>567</v>
      </c>
      <c r="C323" s="399" t="s">
        <v>1720</v>
      </c>
      <c r="D323" s="237" t="s">
        <v>1164</v>
      </c>
      <c r="E323" s="179" t="s">
        <v>650</v>
      </c>
      <c r="F323" s="176" t="s">
        <v>2610</v>
      </c>
      <c r="G323" s="160" t="s">
        <v>651</v>
      </c>
      <c r="H323" s="160" t="s">
        <v>1744</v>
      </c>
      <c r="I323" s="14" t="s">
        <v>683</v>
      </c>
      <c r="J323" s="265">
        <v>6.4939999999999998E-3</v>
      </c>
      <c r="K323" s="26" t="s">
        <v>684</v>
      </c>
      <c r="L323" s="127">
        <v>1509750000</v>
      </c>
      <c r="M323" s="127">
        <v>0</v>
      </c>
      <c r="N323" s="435"/>
      <c r="O323" s="435" t="s">
        <v>1753</v>
      </c>
      <c r="P323" s="185">
        <v>0.1</v>
      </c>
      <c r="Q323" s="186">
        <v>0.1</v>
      </c>
      <c r="R323" s="186">
        <v>0.1</v>
      </c>
      <c r="S323" s="186">
        <v>0.1</v>
      </c>
      <c r="T323" s="186" t="s">
        <v>1492</v>
      </c>
      <c r="U323" s="52" t="s">
        <v>667</v>
      </c>
      <c r="V323" s="15">
        <v>0.15</v>
      </c>
      <c r="W323" s="26" t="s">
        <v>655</v>
      </c>
      <c r="X323" s="26"/>
      <c r="Y323" s="26" t="s">
        <v>2587</v>
      </c>
      <c r="Z323" s="26" t="s">
        <v>2091</v>
      </c>
      <c r="AA323" s="239">
        <f t="shared" si="49"/>
        <v>9.7409999999999988E-4</v>
      </c>
      <c r="AB323" s="254">
        <f>+Tabla1[[#This Row],[ponderacion_meta]]*Tabla1[[#This Row],[ponderacion_accion]]/4</f>
        <v>2.4352499999999997E-4</v>
      </c>
      <c r="AC323" s="262">
        <f>+(Tabla1[[#This Row],[Avance PDI]]*100%)/Tabla1[[#This Row],[ponderacion_meta]]</f>
        <v>3.7499999999999999E-2</v>
      </c>
      <c r="AD323" s="257">
        <f>+Tabla1[[#This Row],[ponderacion_meta]]/40%*Tabla1[[#This Row],[proyeccion_año1]]</f>
        <v>1.6234999999999999E-3</v>
      </c>
      <c r="AE323" s="257">
        <f>+Tabla1[[#This Row],[ponderacion_meta]]/40%*Tabla1[[#This Row],[proyeccion_año2]]</f>
        <v>1.6234999999999999E-3</v>
      </c>
      <c r="AF323" s="257">
        <f>+Tabla1[[#This Row],[ponderacion_meta]]/40%*Tabla1[[#This Row],[proyeccion_año3]]</f>
        <v>1.6234999999999999E-3</v>
      </c>
      <c r="AG323" s="257">
        <f>+Tabla1[[#This Row],[ponderacion_meta]]/40%*Tabla1[[#This Row],[proyeccion_año4]]</f>
        <v>1.6234999999999999E-3</v>
      </c>
      <c r="AH323" s="396">
        <f t="shared" si="44"/>
        <v>2.6596669999999999E-2</v>
      </c>
      <c r="AI323" s="396">
        <f t="shared" si="45"/>
        <v>8.2625000000000032E-2</v>
      </c>
      <c r="AJ323" s="317">
        <f t="shared" ref="AJ323:AJ386" si="53">+SUM($AC$258:$AC$431)/40</f>
        <v>8.2625000000000032E-2</v>
      </c>
      <c r="AK323" s="387">
        <v>9.7257000000000003E-3</v>
      </c>
      <c r="AL323" s="406">
        <f t="shared" si="51"/>
        <v>8.1250000000000003E-2</v>
      </c>
      <c r="AM323" s="327">
        <v>0</v>
      </c>
      <c r="AN323" s="410">
        <f t="shared" si="52"/>
        <v>0.10833333333333334</v>
      </c>
      <c r="AO323" s="358" t="e">
        <f>+([1]!Tabla1[[#This Row],[ponderacion_accion]]/4)*AQ323</f>
        <v>#REF!</v>
      </c>
      <c r="AP323" s="358" t="e">
        <f>Tabla1[[#This Row],[ponderacion_meta]]*AO323</f>
        <v>#REF!</v>
      </c>
      <c r="AQ323" s="361">
        <v>1</v>
      </c>
      <c r="AR323" s="380">
        <v>0</v>
      </c>
      <c r="AS323" s="7" t="e">
        <f>+((SUM(AO323:AO327)*100)/100)</f>
        <v>#REF!</v>
      </c>
      <c r="AT323" s="521">
        <v>0</v>
      </c>
    </row>
    <row r="324" spans="1:46" ht="15" customHeight="1" x14ac:dyDescent="0.35">
      <c r="A324" s="236" t="s">
        <v>1151</v>
      </c>
      <c r="B324" s="400" t="s">
        <v>567</v>
      </c>
      <c r="C324" s="399" t="s">
        <v>1720</v>
      </c>
      <c r="D324" s="237" t="s">
        <v>1164</v>
      </c>
      <c r="E324" s="179" t="s">
        <v>650</v>
      </c>
      <c r="F324" s="176" t="s">
        <v>2610</v>
      </c>
      <c r="G324" s="160" t="s">
        <v>651</v>
      </c>
      <c r="H324" s="160" t="s">
        <v>1744</v>
      </c>
      <c r="I324" s="19" t="s">
        <v>683</v>
      </c>
      <c r="J324" s="267">
        <v>6.4939999999999998E-3</v>
      </c>
      <c r="K324" s="26" t="s">
        <v>684</v>
      </c>
      <c r="L324" s="134">
        <v>1509750000</v>
      </c>
      <c r="M324" s="134">
        <v>0</v>
      </c>
      <c r="N324" s="442"/>
      <c r="O324" s="442" t="s">
        <v>1753</v>
      </c>
      <c r="P324" s="204">
        <v>0.1</v>
      </c>
      <c r="Q324" s="205">
        <v>0.1</v>
      </c>
      <c r="R324" s="205">
        <v>0.1</v>
      </c>
      <c r="S324" s="205">
        <v>0.1</v>
      </c>
      <c r="T324" s="205" t="s">
        <v>1493</v>
      </c>
      <c r="U324" s="52" t="s">
        <v>669</v>
      </c>
      <c r="V324" s="15">
        <v>0.1</v>
      </c>
      <c r="W324" s="26" t="s">
        <v>678</v>
      </c>
      <c r="X324" s="26"/>
      <c r="Y324" s="26" t="s">
        <v>2587</v>
      </c>
      <c r="Z324" s="98" t="s">
        <v>2091</v>
      </c>
      <c r="AA324" s="239">
        <f t="shared" si="49"/>
        <v>6.4940000000000006E-4</v>
      </c>
      <c r="AB324" s="254">
        <f>+Tabla1[[#This Row],[ponderacion_meta]]*Tabla1[[#This Row],[ponderacion_accion]]/4</f>
        <v>1.6235000000000002E-4</v>
      </c>
      <c r="AC324" s="262">
        <f>+(Tabla1[[#This Row],[Avance PDI]]*100%)/Tabla1[[#This Row],[ponderacion_meta]]</f>
        <v>2.5000000000000005E-2</v>
      </c>
      <c r="AD324" s="257">
        <v>1.6234999999999999E-3</v>
      </c>
      <c r="AE324" s="257">
        <v>1.6234999999999999E-3</v>
      </c>
      <c r="AF324" s="257">
        <v>1.6234999999999999E-3</v>
      </c>
      <c r="AG324" s="257">
        <v>1.6234999999999999E-3</v>
      </c>
      <c r="AH324" s="396">
        <f t="shared" ref="AH324:AH387" si="54">$AH$258</f>
        <v>2.6596669999999999E-2</v>
      </c>
      <c r="AI324" s="396">
        <f t="shared" ref="AI324:AI387" si="55">$AI$258</f>
        <v>8.2625000000000032E-2</v>
      </c>
      <c r="AJ324" s="317">
        <f t="shared" si="53"/>
        <v>8.2625000000000032E-2</v>
      </c>
      <c r="AK324" s="387">
        <v>9.7257000000000003E-3</v>
      </c>
      <c r="AL324" s="406">
        <f t="shared" si="51"/>
        <v>8.1250000000000003E-2</v>
      </c>
      <c r="AM324" s="327">
        <v>0</v>
      </c>
      <c r="AN324" s="410">
        <f t="shared" si="52"/>
        <v>0.10833333333333334</v>
      </c>
      <c r="AO324" s="359" t="e">
        <f>+([1]!Tabla1[[#This Row],[ponderacion_accion]]/4)*AQ324</f>
        <v>#REF!</v>
      </c>
      <c r="AP324" s="359" t="e">
        <f>Tabla1[[#This Row],[ponderacion_meta]]*AO324</f>
        <v>#REF!</v>
      </c>
      <c r="AQ324" s="351">
        <v>1</v>
      </c>
      <c r="AR324" s="380">
        <v>0</v>
      </c>
      <c r="AS324" s="9"/>
      <c r="AT324" s="521">
        <v>0</v>
      </c>
    </row>
    <row r="325" spans="1:46" ht="15" customHeight="1" x14ac:dyDescent="0.35">
      <c r="A325" s="236" t="s">
        <v>1151</v>
      </c>
      <c r="B325" s="400" t="s">
        <v>567</v>
      </c>
      <c r="C325" s="399" t="s">
        <v>1720</v>
      </c>
      <c r="D325" s="237" t="s">
        <v>1164</v>
      </c>
      <c r="E325" s="179" t="s">
        <v>650</v>
      </c>
      <c r="F325" s="176" t="s">
        <v>2610</v>
      </c>
      <c r="G325" s="160" t="s">
        <v>651</v>
      </c>
      <c r="H325" s="160" t="s">
        <v>1744</v>
      </c>
      <c r="I325" s="19" t="s">
        <v>683</v>
      </c>
      <c r="J325" s="267">
        <v>6.4939999999999998E-3</v>
      </c>
      <c r="K325" s="26" t="s">
        <v>684</v>
      </c>
      <c r="L325" s="134">
        <v>1509750000</v>
      </c>
      <c r="M325" s="134">
        <v>0</v>
      </c>
      <c r="N325" s="442"/>
      <c r="O325" s="442" t="s">
        <v>1753</v>
      </c>
      <c r="P325" s="204">
        <v>0.1</v>
      </c>
      <c r="Q325" s="205">
        <v>0.1</v>
      </c>
      <c r="R325" s="205">
        <v>0.1</v>
      </c>
      <c r="S325" s="205">
        <v>0.1</v>
      </c>
      <c r="T325" s="205" t="s">
        <v>1494</v>
      </c>
      <c r="U325" s="52" t="s">
        <v>670</v>
      </c>
      <c r="V325" s="15">
        <v>0.15</v>
      </c>
      <c r="W325" s="26" t="s">
        <v>671</v>
      </c>
      <c r="X325" s="26"/>
      <c r="Y325" s="26" t="s">
        <v>2587</v>
      </c>
      <c r="Z325" s="98" t="s">
        <v>2091</v>
      </c>
      <c r="AA325" s="239">
        <f t="shared" si="49"/>
        <v>9.7409999999999988E-4</v>
      </c>
      <c r="AB325" s="254">
        <f>+Tabla1[[#This Row],[ponderacion_meta]]*Tabla1[[#This Row],[ponderacion_accion]]/4</f>
        <v>2.4352499999999997E-4</v>
      </c>
      <c r="AC325" s="262">
        <f>+(Tabla1[[#This Row],[Avance PDI]]*100%)/Tabla1[[#This Row],[ponderacion_meta]]</f>
        <v>3.7499999999999999E-2</v>
      </c>
      <c r="AD325" s="257">
        <v>1.6234999999999999E-3</v>
      </c>
      <c r="AE325" s="257">
        <v>1.6234999999999999E-3</v>
      </c>
      <c r="AF325" s="257">
        <v>1.6234999999999999E-3</v>
      </c>
      <c r="AG325" s="257">
        <v>1.6234999999999999E-3</v>
      </c>
      <c r="AH325" s="396">
        <f t="shared" si="54"/>
        <v>2.6596669999999999E-2</v>
      </c>
      <c r="AI325" s="396">
        <f t="shared" si="55"/>
        <v>8.2625000000000032E-2</v>
      </c>
      <c r="AJ325" s="317">
        <f t="shared" si="53"/>
        <v>8.2625000000000032E-2</v>
      </c>
      <c r="AK325" s="387">
        <v>9.7257000000000003E-3</v>
      </c>
      <c r="AL325" s="406">
        <f t="shared" si="51"/>
        <v>8.1250000000000003E-2</v>
      </c>
      <c r="AM325" s="327">
        <v>0</v>
      </c>
      <c r="AN325" s="410">
        <f t="shared" si="52"/>
        <v>0.10833333333333334</v>
      </c>
      <c r="AO325" s="359" t="e">
        <f>+([1]!Tabla1[[#This Row],[ponderacion_accion]]/4)*AQ325</f>
        <v>#REF!</v>
      </c>
      <c r="AP325" s="359" t="e">
        <f>Tabla1[[#This Row],[ponderacion_meta]]*AO325</f>
        <v>#REF!</v>
      </c>
      <c r="AQ325" s="351">
        <v>1</v>
      </c>
      <c r="AR325" s="380">
        <v>0</v>
      </c>
      <c r="AS325" s="9"/>
      <c r="AT325" s="521">
        <v>0</v>
      </c>
    </row>
    <row r="326" spans="1:46" ht="15" customHeight="1" x14ac:dyDescent="0.35">
      <c r="A326" s="236" t="s">
        <v>1151</v>
      </c>
      <c r="B326" s="400" t="s">
        <v>567</v>
      </c>
      <c r="C326" s="399" t="s">
        <v>1720</v>
      </c>
      <c r="D326" s="237" t="s">
        <v>1164</v>
      </c>
      <c r="E326" s="179" t="s">
        <v>650</v>
      </c>
      <c r="F326" s="176" t="s">
        <v>2610</v>
      </c>
      <c r="G326" s="160" t="s">
        <v>651</v>
      </c>
      <c r="H326" s="160" t="s">
        <v>1744</v>
      </c>
      <c r="I326" s="19" t="s">
        <v>683</v>
      </c>
      <c r="J326" s="267">
        <v>6.4939999999999998E-3</v>
      </c>
      <c r="K326" s="26" t="s">
        <v>684</v>
      </c>
      <c r="L326" s="134">
        <v>1509750000</v>
      </c>
      <c r="M326" s="134">
        <v>0</v>
      </c>
      <c r="N326" s="442"/>
      <c r="O326" s="442" t="s">
        <v>1753</v>
      </c>
      <c r="P326" s="204">
        <v>0.1</v>
      </c>
      <c r="Q326" s="205">
        <v>0.1</v>
      </c>
      <c r="R326" s="205">
        <v>0.1</v>
      </c>
      <c r="S326" s="205">
        <v>0.1</v>
      </c>
      <c r="T326" s="205" t="s">
        <v>1495</v>
      </c>
      <c r="U326" s="26" t="s">
        <v>679</v>
      </c>
      <c r="V326" s="15">
        <v>0.5</v>
      </c>
      <c r="W326" s="26" t="s">
        <v>680</v>
      </c>
      <c r="X326" s="26"/>
      <c r="Y326" s="26" t="s">
        <v>2587</v>
      </c>
      <c r="Z326" s="98" t="s">
        <v>2091</v>
      </c>
      <c r="AA326" s="239">
        <f t="shared" si="49"/>
        <v>3.2469999999999999E-3</v>
      </c>
      <c r="AB326" s="254">
        <f>+Tabla1[[#This Row],[ponderacion_meta]]*Tabla1[[#This Row],[ponderacion_accion]]/4</f>
        <v>8.1174999999999997E-4</v>
      </c>
      <c r="AC326" s="262">
        <f>+(Tabla1[[#This Row],[Avance PDI]]*100%)/Tabla1[[#This Row],[ponderacion_meta]]</f>
        <v>0.125</v>
      </c>
      <c r="AD326" s="257">
        <v>1.6234999999999999E-3</v>
      </c>
      <c r="AE326" s="257">
        <v>1.6234999999999999E-3</v>
      </c>
      <c r="AF326" s="257">
        <v>1.6234999999999999E-3</v>
      </c>
      <c r="AG326" s="257">
        <v>1.6234999999999999E-3</v>
      </c>
      <c r="AH326" s="396">
        <f t="shared" si="54"/>
        <v>2.6596669999999999E-2</v>
      </c>
      <c r="AI326" s="396">
        <f t="shared" si="55"/>
        <v>8.2625000000000032E-2</v>
      </c>
      <c r="AJ326" s="317">
        <f t="shared" si="53"/>
        <v>8.2625000000000032E-2</v>
      </c>
      <c r="AK326" s="387">
        <v>9.7257000000000003E-3</v>
      </c>
      <c r="AL326" s="406">
        <f t="shared" si="51"/>
        <v>8.1250000000000003E-2</v>
      </c>
      <c r="AM326" s="327">
        <v>0</v>
      </c>
      <c r="AN326" s="410">
        <f t="shared" si="52"/>
        <v>0.10833333333333334</v>
      </c>
      <c r="AO326" s="359" t="e">
        <f>+([1]!Tabla1[[#This Row],[ponderacion_accion]]/4)*AQ326</f>
        <v>#REF!</v>
      </c>
      <c r="AP326" s="359" t="e">
        <f>Tabla1[[#This Row],[ponderacion_meta]]*AO326</f>
        <v>#REF!</v>
      </c>
      <c r="AQ326" s="351">
        <v>1</v>
      </c>
      <c r="AR326" s="380">
        <v>0</v>
      </c>
      <c r="AS326" s="9"/>
      <c r="AT326" s="521">
        <v>0</v>
      </c>
    </row>
    <row r="327" spans="1:46" ht="15" customHeight="1" x14ac:dyDescent="0.35">
      <c r="A327" s="236" t="s">
        <v>1151</v>
      </c>
      <c r="B327" s="400" t="s">
        <v>567</v>
      </c>
      <c r="C327" s="399" t="s">
        <v>1720</v>
      </c>
      <c r="D327" s="237" t="s">
        <v>1164</v>
      </c>
      <c r="E327" s="179" t="s">
        <v>650</v>
      </c>
      <c r="F327" s="176" t="s">
        <v>2610</v>
      </c>
      <c r="G327" s="160" t="s">
        <v>651</v>
      </c>
      <c r="H327" s="160" t="s">
        <v>1744</v>
      </c>
      <c r="I327" s="19" t="s">
        <v>683</v>
      </c>
      <c r="J327" s="267">
        <v>6.4939999999999998E-3</v>
      </c>
      <c r="K327" s="26" t="s">
        <v>684</v>
      </c>
      <c r="L327" s="134">
        <v>1509750000</v>
      </c>
      <c r="M327" s="134">
        <v>0</v>
      </c>
      <c r="N327" s="442"/>
      <c r="O327" s="442" t="s">
        <v>1753</v>
      </c>
      <c r="P327" s="204">
        <v>0.1</v>
      </c>
      <c r="Q327" s="205">
        <v>0.1</v>
      </c>
      <c r="R327" s="205">
        <v>0.1</v>
      </c>
      <c r="S327" s="205">
        <v>0.1</v>
      </c>
      <c r="T327" s="205" t="s">
        <v>1496</v>
      </c>
      <c r="U327" s="26" t="s">
        <v>681</v>
      </c>
      <c r="V327" s="15">
        <v>0.1</v>
      </c>
      <c r="W327" s="26" t="s">
        <v>682</v>
      </c>
      <c r="X327" s="26"/>
      <c r="Y327" s="26" t="s">
        <v>2587</v>
      </c>
      <c r="Z327" s="98" t="s">
        <v>2091</v>
      </c>
      <c r="AA327" s="239">
        <f t="shared" si="49"/>
        <v>6.4940000000000006E-4</v>
      </c>
      <c r="AB327" s="254">
        <f>+Tabla1[[#This Row],[ponderacion_meta]]*Tabla1[[#This Row],[ponderacion_accion]]/4</f>
        <v>1.6235000000000002E-4</v>
      </c>
      <c r="AC327" s="262">
        <f>+(Tabla1[[#This Row],[Avance PDI]]*100%)/Tabla1[[#This Row],[ponderacion_meta]]</f>
        <v>2.5000000000000005E-2</v>
      </c>
      <c r="AD327" s="257">
        <v>1.6234999999999999E-3</v>
      </c>
      <c r="AE327" s="257">
        <v>1.6234999999999999E-3</v>
      </c>
      <c r="AF327" s="257">
        <v>1.6234999999999999E-3</v>
      </c>
      <c r="AG327" s="257">
        <v>1.6234999999999999E-3</v>
      </c>
      <c r="AH327" s="396">
        <f t="shared" si="54"/>
        <v>2.6596669999999999E-2</v>
      </c>
      <c r="AI327" s="396">
        <f t="shared" si="55"/>
        <v>8.2625000000000032E-2</v>
      </c>
      <c r="AJ327" s="317">
        <f t="shared" si="53"/>
        <v>8.2625000000000032E-2</v>
      </c>
      <c r="AK327" s="387">
        <v>9.7257000000000003E-3</v>
      </c>
      <c r="AL327" s="406">
        <f t="shared" si="51"/>
        <v>8.1250000000000003E-2</v>
      </c>
      <c r="AM327" s="327">
        <v>0</v>
      </c>
      <c r="AN327" s="410">
        <f t="shared" si="52"/>
        <v>0.10833333333333334</v>
      </c>
      <c r="AO327" s="360" t="e">
        <f>+([1]!Tabla1[[#This Row],[ponderacion_accion]]/4)*AQ327</f>
        <v>#REF!</v>
      </c>
      <c r="AP327" s="360" t="e">
        <f>Tabla1[[#This Row],[ponderacion_meta]]*AO327</f>
        <v>#REF!</v>
      </c>
      <c r="AQ327" s="356">
        <v>1</v>
      </c>
      <c r="AR327" s="380">
        <v>0</v>
      </c>
      <c r="AS327" s="9"/>
      <c r="AT327" s="521">
        <v>0</v>
      </c>
    </row>
    <row r="328" spans="1:46" ht="15" customHeight="1" x14ac:dyDescent="0.35">
      <c r="A328" s="236" t="s">
        <v>1151</v>
      </c>
      <c r="B328" s="400" t="s">
        <v>567</v>
      </c>
      <c r="C328" s="399" t="s">
        <v>1720</v>
      </c>
      <c r="D328" s="237" t="s">
        <v>1164</v>
      </c>
      <c r="E328" s="179" t="s">
        <v>650</v>
      </c>
      <c r="F328" s="176" t="s">
        <v>2610</v>
      </c>
      <c r="G328" s="160" t="s">
        <v>651</v>
      </c>
      <c r="H328" s="160" t="s">
        <v>1744</v>
      </c>
      <c r="I328" s="23" t="s">
        <v>685</v>
      </c>
      <c r="J328" s="264">
        <v>1.1627999999999999E-2</v>
      </c>
      <c r="K328" s="28" t="s">
        <v>686</v>
      </c>
      <c r="L328" s="128">
        <v>1511250000</v>
      </c>
      <c r="M328" s="128">
        <v>0</v>
      </c>
      <c r="N328" s="436"/>
      <c r="O328" s="436" t="s">
        <v>1753</v>
      </c>
      <c r="P328" s="183">
        <v>0.1</v>
      </c>
      <c r="Q328" s="184">
        <v>0.1</v>
      </c>
      <c r="R328" s="184">
        <v>0.1</v>
      </c>
      <c r="S328" s="184">
        <v>0.1</v>
      </c>
      <c r="T328" s="184" t="s">
        <v>1497</v>
      </c>
      <c r="U328" s="53" t="s">
        <v>667</v>
      </c>
      <c r="V328" s="25">
        <v>0.15</v>
      </c>
      <c r="W328" s="24" t="s">
        <v>655</v>
      </c>
      <c r="X328" s="24"/>
      <c r="Y328" s="23" t="s">
        <v>2587</v>
      </c>
      <c r="Z328" s="24" t="s">
        <v>2091</v>
      </c>
      <c r="AA328" s="238">
        <f t="shared" si="49"/>
        <v>1.7441999999999998E-3</v>
      </c>
      <c r="AB328" s="254">
        <f>+Tabla1[[#This Row],[ponderacion_meta]]*Tabla1[[#This Row],[ponderacion_accion]]/3</f>
        <v>5.8139999999999993E-4</v>
      </c>
      <c r="AC328" s="292">
        <f>+(Tabla1[[#This Row],[Avance PDI]]*100%)/Tabla1[[#This Row],[ponderacion_meta]]</f>
        <v>4.9999999999999996E-2</v>
      </c>
      <c r="AD328" s="279">
        <f>+Tabla1[[#This Row],[ponderacion_meta]]/40%*Tabla1[[#This Row],[proyeccion_año1]]</f>
        <v>2.9069999999999999E-3</v>
      </c>
      <c r="AE328" s="279">
        <f>+Tabla1[[#This Row],[ponderacion_meta]]/40%*Tabla1[[#This Row],[proyeccion_año2]]</f>
        <v>2.9069999999999999E-3</v>
      </c>
      <c r="AF328" s="279">
        <f>+Tabla1[[#This Row],[ponderacion_meta]]/40%*Tabla1[[#This Row],[proyeccion_año3]]</f>
        <v>2.9069999999999999E-3</v>
      </c>
      <c r="AG328" s="279">
        <f>+Tabla1[[#This Row],[ponderacion_meta]]/40%*Tabla1[[#This Row],[proyeccion_año4]]</f>
        <v>2.9069999999999999E-3</v>
      </c>
      <c r="AH328" s="396">
        <f t="shared" si="54"/>
        <v>2.6596669999999999E-2</v>
      </c>
      <c r="AI328" s="396">
        <f t="shared" si="55"/>
        <v>8.2625000000000032E-2</v>
      </c>
      <c r="AJ328" s="317">
        <f t="shared" si="53"/>
        <v>8.2625000000000032E-2</v>
      </c>
      <c r="AK328" s="387">
        <v>9.7257000000000003E-3</v>
      </c>
      <c r="AL328" s="406">
        <f t="shared" si="51"/>
        <v>8.1250000000000003E-2</v>
      </c>
      <c r="AM328" s="327">
        <v>0</v>
      </c>
      <c r="AN328" s="410">
        <f t="shared" si="52"/>
        <v>0.10833333333333334</v>
      </c>
      <c r="AO328" s="343" t="e">
        <f>+([1]!Tabla1[[#This Row],[ponderacion_accion]]/4)*AQ328</f>
        <v>#REF!</v>
      </c>
      <c r="AP328" s="343" t="e">
        <f>Tabla1[[#This Row],[ponderacion_meta]]*AO328</f>
        <v>#REF!</v>
      </c>
      <c r="AQ328" s="353">
        <v>1.333</v>
      </c>
      <c r="AR328" s="377">
        <v>0</v>
      </c>
      <c r="AS328" s="515" t="e">
        <f>+((SUM(AO328:AO332)*100)/100)</f>
        <v>#REF!</v>
      </c>
      <c r="AT328" s="521">
        <v>0</v>
      </c>
    </row>
    <row r="329" spans="1:46" ht="15" customHeight="1" x14ac:dyDescent="0.35">
      <c r="A329" s="236" t="s">
        <v>1151</v>
      </c>
      <c r="B329" s="400" t="s">
        <v>567</v>
      </c>
      <c r="C329" s="399" t="s">
        <v>1720</v>
      </c>
      <c r="D329" s="237" t="s">
        <v>1164</v>
      </c>
      <c r="E329" s="179" t="s">
        <v>650</v>
      </c>
      <c r="F329" s="176" t="s">
        <v>2610</v>
      </c>
      <c r="G329" s="160" t="s">
        <v>651</v>
      </c>
      <c r="H329" s="160" t="s">
        <v>1744</v>
      </c>
      <c r="I329" s="30" t="s">
        <v>685</v>
      </c>
      <c r="J329" s="266">
        <v>1.1627999999999999E-2</v>
      </c>
      <c r="K329" s="28" t="s">
        <v>686</v>
      </c>
      <c r="L329" s="126">
        <v>1511250000</v>
      </c>
      <c r="M329" s="126">
        <v>0</v>
      </c>
      <c r="N329" s="434"/>
      <c r="O329" s="434" t="s">
        <v>1753</v>
      </c>
      <c r="P329" s="213">
        <v>0.1</v>
      </c>
      <c r="Q329" s="214">
        <v>0.1</v>
      </c>
      <c r="R329" s="214">
        <v>0.1</v>
      </c>
      <c r="S329" s="214">
        <v>0.1</v>
      </c>
      <c r="T329" s="214" t="s">
        <v>1498</v>
      </c>
      <c r="U329" s="53" t="s">
        <v>669</v>
      </c>
      <c r="V329" s="25">
        <v>0.1</v>
      </c>
      <c r="W329" s="24" t="s">
        <v>678</v>
      </c>
      <c r="X329" s="24"/>
      <c r="Y329" s="23" t="s">
        <v>2587</v>
      </c>
      <c r="Z329" s="28" t="s">
        <v>2091</v>
      </c>
      <c r="AA329" s="238">
        <f t="shared" si="49"/>
        <v>1.1628000000000001E-3</v>
      </c>
      <c r="AB329" s="252">
        <v>0</v>
      </c>
      <c r="AC329" s="278">
        <f>+(Tabla1[[#This Row],[Avance PDI]]*100%)/Tabla1[[#This Row],[ponderacion_meta]]</f>
        <v>0</v>
      </c>
      <c r="AD329" s="279">
        <v>2.9069999999999999E-3</v>
      </c>
      <c r="AE329" s="279">
        <v>2.9069999999999999E-3</v>
      </c>
      <c r="AF329" s="279">
        <v>2.9069999999999999E-3</v>
      </c>
      <c r="AG329" s="279">
        <v>2.9069999999999999E-3</v>
      </c>
      <c r="AH329" s="396">
        <f t="shared" si="54"/>
        <v>2.6596669999999999E-2</v>
      </c>
      <c r="AI329" s="396">
        <f t="shared" si="55"/>
        <v>8.2625000000000032E-2</v>
      </c>
      <c r="AJ329" s="317">
        <f t="shared" si="53"/>
        <v>8.2625000000000032E-2</v>
      </c>
      <c r="AK329" s="387">
        <v>9.7257000000000003E-3</v>
      </c>
      <c r="AL329" s="406">
        <f t="shared" si="51"/>
        <v>8.1250000000000003E-2</v>
      </c>
      <c r="AM329" s="327">
        <v>0</v>
      </c>
      <c r="AN329" s="410">
        <f t="shared" si="52"/>
        <v>0.10833333333333334</v>
      </c>
      <c r="AO329" s="344" t="e">
        <f>+([1]!Tabla1[[#This Row],[ponderacion_accion]]/4)*AQ329</f>
        <v>#REF!</v>
      </c>
      <c r="AP329" s="344" t="e">
        <f>Tabla1[[#This Row],[ponderacion_meta]]*AO329</f>
        <v>#REF!</v>
      </c>
      <c r="AQ329" s="354"/>
      <c r="AR329" s="378">
        <v>0</v>
      </c>
      <c r="AS329" s="9"/>
      <c r="AT329" s="521">
        <v>0</v>
      </c>
    </row>
    <row r="330" spans="1:46" ht="15" customHeight="1" x14ac:dyDescent="0.35">
      <c r="A330" s="236" t="s">
        <v>1151</v>
      </c>
      <c r="B330" s="400" t="s">
        <v>567</v>
      </c>
      <c r="C330" s="399" t="s">
        <v>1720</v>
      </c>
      <c r="D330" s="237" t="s">
        <v>1164</v>
      </c>
      <c r="E330" s="179" t="s">
        <v>650</v>
      </c>
      <c r="F330" s="176" t="s">
        <v>2610</v>
      </c>
      <c r="G330" s="160" t="s">
        <v>651</v>
      </c>
      <c r="H330" s="160" t="s">
        <v>1744</v>
      </c>
      <c r="I330" s="30" t="s">
        <v>685</v>
      </c>
      <c r="J330" s="266">
        <v>1.1627999999999999E-2</v>
      </c>
      <c r="K330" s="28" t="s">
        <v>686</v>
      </c>
      <c r="L330" s="126">
        <v>1511250000</v>
      </c>
      <c r="M330" s="126">
        <v>0</v>
      </c>
      <c r="N330" s="434"/>
      <c r="O330" s="434" t="s">
        <v>1753</v>
      </c>
      <c r="P330" s="213">
        <v>0.1</v>
      </c>
      <c r="Q330" s="214">
        <v>0.1</v>
      </c>
      <c r="R330" s="214">
        <v>0.1</v>
      </c>
      <c r="S330" s="214">
        <v>0.1</v>
      </c>
      <c r="T330" s="214" t="s">
        <v>1499</v>
      </c>
      <c r="U330" s="53" t="s">
        <v>670</v>
      </c>
      <c r="V330" s="25">
        <v>0.15</v>
      </c>
      <c r="W330" s="24" t="s">
        <v>671</v>
      </c>
      <c r="X330" s="24"/>
      <c r="Y330" s="23" t="s">
        <v>2587</v>
      </c>
      <c r="Z330" s="28" t="s">
        <v>2091</v>
      </c>
      <c r="AA330" s="238">
        <f t="shared" si="49"/>
        <v>1.7441999999999998E-3</v>
      </c>
      <c r="AB330" s="252">
        <v>0</v>
      </c>
      <c r="AC330" s="278">
        <f>+(Tabla1[[#This Row],[Avance PDI]]*100%)/Tabla1[[#This Row],[ponderacion_meta]]</f>
        <v>0</v>
      </c>
      <c r="AD330" s="279">
        <v>2.9069999999999999E-3</v>
      </c>
      <c r="AE330" s="279">
        <v>2.9069999999999999E-3</v>
      </c>
      <c r="AF330" s="279">
        <v>2.9069999999999999E-3</v>
      </c>
      <c r="AG330" s="279">
        <v>2.9069999999999999E-3</v>
      </c>
      <c r="AH330" s="396">
        <f t="shared" si="54"/>
        <v>2.6596669999999999E-2</v>
      </c>
      <c r="AI330" s="396">
        <f t="shared" si="55"/>
        <v>8.2625000000000032E-2</v>
      </c>
      <c r="AJ330" s="317">
        <f t="shared" si="53"/>
        <v>8.2625000000000032E-2</v>
      </c>
      <c r="AK330" s="387">
        <v>9.7257000000000003E-3</v>
      </c>
      <c r="AL330" s="406">
        <f t="shared" si="51"/>
        <v>8.1250000000000003E-2</v>
      </c>
      <c r="AM330" s="327">
        <v>0</v>
      </c>
      <c r="AN330" s="410">
        <f t="shared" si="52"/>
        <v>0.10833333333333334</v>
      </c>
      <c r="AO330" s="344" t="e">
        <f>+([1]!Tabla1[[#This Row],[ponderacion_accion]]/4)*AQ330</f>
        <v>#REF!</v>
      </c>
      <c r="AP330" s="344" t="e">
        <f>Tabla1[[#This Row],[ponderacion_meta]]*AO330</f>
        <v>#REF!</v>
      </c>
      <c r="AQ330" s="354"/>
      <c r="AR330" s="378">
        <v>0</v>
      </c>
      <c r="AS330" s="9"/>
      <c r="AT330" s="521">
        <v>0</v>
      </c>
    </row>
    <row r="331" spans="1:46" ht="15" customHeight="1" x14ac:dyDescent="0.35">
      <c r="A331" s="236" t="s">
        <v>1151</v>
      </c>
      <c r="B331" s="400" t="s">
        <v>567</v>
      </c>
      <c r="C331" s="399" t="s">
        <v>1720</v>
      </c>
      <c r="D331" s="237" t="s">
        <v>1164</v>
      </c>
      <c r="E331" s="179" t="s">
        <v>650</v>
      </c>
      <c r="F331" s="176" t="s">
        <v>2610</v>
      </c>
      <c r="G331" s="160" t="s">
        <v>651</v>
      </c>
      <c r="H331" s="160" t="s">
        <v>1744</v>
      </c>
      <c r="I331" s="30" t="s">
        <v>685</v>
      </c>
      <c r="J331" s="266">
        <v>1.1627999999999999E-2</v>
      </c>
      <c r="K331" s="28" t="s">
        <v>686</v>
      </c>
      <c r="L331" s="126">
        <v>1511250000</v>
      </c>
      <c r="M331" s="126">
        <v>0</v>
      </c>
      <c r="N331" s="434"/>
      <c r="O331" s="434" t="s">
        <v>1753</v>
      </c>
      <c r="P331" s="213">
        <v>0.1</v>
      </c>
      <c r="Q331" s="214">
        <v>0.1</v>
      </c>
      <c r="R331" s="214">
        <v>0.1</v>
      </c>
      <c r="S331" s="214">
        <v>0.1</v>
      </c>
      <c r="T331" s="214" t="s">
        <v>1500</v>
      </c>
      <c r="U331" s="24" t="s">
        <v>679</v>
      </c>
      <c r="V331" s="25">
        <v>0.5</v>
      </c>
      <c r="W331" s="24" t="s">
        <v>680</v>
      </c>
      <c r="X331" s="24"/>
      <c r="Y331" s="23" t="s">
        <v>2587</v>
      </c>
      <c r="Z331" s="28" t="s">
        <v>2091</v>
      </c>
      <c r="AA331" s="238">
        <f t="shared" si="49"/>
        <v>5.8139999999999997E-3</v>
      </c>
      <c r="AB331" s="252">
        <v>0</v>
      </c>
      <c r="AC331" s="278">
        <f>+(Tabla1[[#This Row],[Avance PDI]]*100%)/Tabla1[[#This Row],[ponderacion_meta]]</f>
        <v>0</v>
      </c>
      <c r="AD331" s="279">
        <v>2.9069999999999999E-3</v>
      </c>
      <c r="AE331" s="279">
        <v>2.9069999999999999E-3</v>
      </c>
      <c r="AF331" s="279">
        <v>2.9069999999999999E-3</v>
      </c>
      <c r="AG331" s="279">
        <v>2.9069999999999999E-3</v>
      </c>
      <c r="AH331" s="396">
        <f t="shared" si="54"/>
        <v>2.6596669999999999E-2</v>
      </c>
      <c r="AI331" s="396">
        <f t="shared" si="55"/>
        <v>8.2625000000000032E-2</v>
      </c>
      <c r="AJ331" s="317">
        <f t="shared" si="53"/>
        <v>8.2625000000000032E-2</v>
      </c>
      <c r="AK331" s="387">
        <v>9.7257000000000003E-3</v>
      </c>
      <c r="AL331" s="406">
        <f t="shared" si="51"/>
        <v>8.1250000000000003E-2</v>
      </c>
      <c r="AM331" s="327">
        <v>0</v>
      </c>
      <c r="AN331" s="410">
        <f t="shared" si="52"/>
        <v>0.10833333333333334</v>
      </c>
      <c r="AO331" s="344" t="e">
        <f>+([1]!Tabla1[[#This Row],[ponderacion_accion]]/4)*AQ331</f>
        <v>#REF!</v>
      </c>
      <c r="AP331" s="344" t="e">
        <f>Tabla1[[#This Row],[ponderacion_meta]]*AO331</f>
        <v>#REF!</v>
      </c>
      <c r="AQ331" s="354"/>
      <c r="AR331" s="378">
        <v>0</v>
      </c>
      <c r="AS331" s="9"/>
      <c r="AT331" s="521">
        <v>0</v>
      </c>
    </row>
    <row r="332" spans="1:46" ht="15" customHeight="1" x14ac:dyDescent="0.35">
      <c r="A332" s="236" t="s">
        <v>1151</v>
      </c>
      <c r="B332" s="400" t="s">
        <v>567</v>
      </c>
      <c r="C332" s="399" t="s">
        <v>1720</v>
      </c>
      <c r="D332" s="237" t="s">
        <v>1164</v>
      </c>
      <c r="E332" s="179" t="s">
        <v>650</v>
      </c>
      <c r="F332" s="176" t="s">
        <v>2610</v>
      </c>
      <c r="G332" s="160" t="s">
        <v>651</v>
      </c>
      <c r="H332" s="160" t="s">
        <v>1744</v>
      </c>
      <c r="I332" s="30" t="s">
        <v>685</v>
      </c>
      <c r="J332" s="266">
        <v>1.1627999999999999E-2</v>
      </c>
      <c r="K332" s="28" t="s">
        <v>686</v>
      </c>
      <c r="L332" s="126">
        <v>1511250000</v>
      </c>
      <c r="M332" s="126">
        <v>0</v>
      </c>
      <c r="N332" s="434"/>
      <c r="O332" s="434" t="s">
        <v>1753</v>
      </c>
      <c r="P332" s="213">
        <v>0.1</v>
      </c>
      <c r="Q332" s="214">
        <v>0.1</v>
      </c>
      <c r="R332" s="214">
        <v>0.1</v>
      </c>
      <c r="S332" s="214">
        <v>0.1</v>
      </c>
      <c r="T332" s="214" t="s">
        <v>1501</v>
      </c>
      <c r="U332" s="24" t="s">
        <v>681</v>
      </c>
      <c r="V332" s="25">
        <v>0.1</v>
      </c>
      <c r="W332" s="24" t="s">
        <v>682</v>
      </c>
      <c r="X332" s="24"/>
      <c r="Y332" s="23" t="s">
        <v>2587</v>
      </c>
      <c r="Z332" s="28" t="s">
        <v>2091</v>
      </c>
      <c r="AA332" s="238">
        <f t="shared" si="49"/>
        <v>1.1628000000000001E-3</v>
      </c>
      <c r="AB332" s="252">
        <v>0</v>
      </c>
      <c r="AC332" s="278">
        <f>+(Tabla1[[#This Row],[Avance PDI]]*100%)/Tabla1[[#This Row],[ponderacion_meta]]</f>
        <v>0</v>
      </c>
      <c r="AD332" s="279">
        <v>2.9069999999999999E-3</v>
      </c>
      <c r="AE332" s="279">
        <v>2.9069999999999999E-3</v>
      </c>
      <c r="AF332" s="279">
        <v>2.9069999999999999E-3</v>
      </c>
      <c r="AG332" s="279">
        <v>2.9069999999999999E-3</v>
      </c>
      <c r="AH332" s="396">
        <f t="shared" si="54"/>
        <v>2.6596669999999999E-2</v>
      </c>
      <c r="AI332" s="396">
        <f t="shared" si="55"/>
        <v>8.2625000000000032E-2</v>
      </c>
      <c r="AJ332" s="317">
        <f t="shared" si="53"/>
        <v>8.2625000000000032E-2</v>
      </c>
      <c r="AK332" s="387">
        <v>9.7257000000000003E-3</v>
      </c>
      <c r="AL332" s="406">
        <f t="shared" si="51"/>
        <v>8.1250000000000003E-2</v>
      </c>
      <c r="AM332" s="327">
        <v>0</v>
      </c>
      <c r="AN332" s="410">
        <f t="shared" si="52"/>
        <v>0.10833333333333334</v>
      </c>
      <c r="AO332" s="345" t="e">
        <f>+([1]!Tabla1[[#This Row],[ponderacion_accion]]/4)*AQ332</f>
        <v>#REF!</v>
      </c>
      <c r="AP332" s="345" t="e">
        <f>Tabla1[[#This Row],[ponderacion_meta]]*AO332</f>
        <v>#REF!</v>
      </c>
      <c r="AQ332" s="357"/>
      <c r="AR332" s="379">
        <v>0</v>
      </c>
      <c r="AS332" s="9"/>
      <c r="AT332" s="521">
        <v>0</v>
      </c>
    </row>
    <row r="333" spans="1:46" ht="15" customHeight="1" x14ac:dyDescent="0.35">
      <c r="A333" s="236" t="s">
        <v>1151</v>
      </c>
      <c r="B333" s="400" t="s">
        <v>567</v>
      </c>
      <c r="C333" s="399" t="s">
        <v>1720</v>
      </c>
      <c r="D333" s="237" t="s">
        <v>1164</v>
      </c>
      <c r="E333" s="179" t="s">
        <v>650</v>
      </c>
      <c r="F333" s="176" t="s">
        <v>2610</v>
      </c>
      <c r="G333" s="160" t="s">
        <v>651</v>
      </c>
      <c r="H333" s="160" t="s">
        <v>1744</v>
      </c>
      <c r="I333" s="14" t="s">
        <v>687</v>
      </c>
      <c r="J333" s="265">
        <v>6.4939999999999998E-3</v>
      </c>
      <c r="K333" s="26" t="s">
        <v>688</v>
      </c>
      <c r="L333" s="127">
        <v>4500000000</v>
      </c>
      <c r="M333" s="127">
        <v>0</v>
      </c>
      <c r="N333" s="435"/>
      <c r="O333" s="435" t="s">
        <v>1753</v>
      </c>
      <c r="P333" s="185">
        <v>0.25</v>
      </c>
      <c r="Q333" s="186">
        <v>0.25</v>
      </c>
      <c r="R333" s="186">
        <v>0.5</v>
      </c>
      <c r="S333" s="186">
        <v>0</v>
      </c>
      <c r="T333" s="186" t="s">
        <v>1502</v>
      </c>
      <c r="U333" s="52" t="s">
        <v>689</v>
      </c>
      <c r="V333" s="15">
        <v>0.1</v>
      </c>
      <c r="W333" s="26" t="s">
        <v>484</v>
      </c>
      <c r="X333" s="26"/>
      <c r="Y333" s="14" t="s">
        <v>2587</v>
      </c>
      <c r="Z333" s="26" t="s">
        <v>2091</v>
      </c>
      <c r="AA333" s="239">
        <f t="shared" si="49"/>
        <v>6.4940000000000006E-4</v>
      </c>
      <c r="AB333" s="252">
        <v>0</v>
      </c>
      <c r="AC333" s="262">
        <f>+(Tabla1[[#This Row],[Avance PDI]]*100%)/Tabla1[[#This Row],[ponderacion_meta]]</f>
        <v>0</v>
      </c>
      <c r="AD333" s="257">
        <f>+Tabla1[[#This Row],[ponderacion_meta]]*Tabla1[[#This Row],[proyeccion_año1]]</f>
        <v>1.6234999999999999E-3</v>
      </c>
      <c r="AE333" s="257">
        <f>+Tabla1[[#This Row],[ponderacion_meta]]*Tabla1[[#This Row],[proyeccion_año2]]</f>
        <v>1.6234999999999999E-3</v>
      </c>
      <c r="AF333" s="257">
        <f>+Tabla1[[#This Row],[ponderacion_meta]]*Tabla1[[#This Row],[proyeccion_año3]]</f>
        <v>3.2469999999999999E-3</v>
      </c>
      <c r="AG333" s="257">
        <f>+Tabla1[[#This Row],[ponderacion_meta]]*Tabla1[[#This Row],[proyeccion_año4]]</f>
        <v>0</v>
      </c>
      <c r="AH333" s="396">
        <f t="shared" si="54"/>
        <v>2.6596669999999999E-2</v>
      </c>
      <c r="AI333" s="396">
        <f t="shared" si="55"/>
        <v>8.2625000000000032E-2</v>
      </c>
      <c r="AJ333" s="317">
        <f t="shared" si="53"/>
        <v>8.2625000000000032E-2</v>
      </c>
      <c r="AK333" s="387">
        <v>9.7257000000000003E-3</v>
      </c>
      <c r="AL333" s="406">
        <f t="shared" si="51"/>
        <v>8.1250000000000003E-2</v>
      </c>
      <c r="AM333" s="327">
        <v>0</v>
      </c>
      <c r="AN333" s="410">
        <f t="shared" si="52"/>
        <v>0.10833333333333334</v>
      </c>
      <c r="AO333" s="358" t="e">
        <f>+([1]!Tabla1[[#This Row],[ponderacion_accion]]/10%)*AQ333</f>
        <v>#REF!</v>
      </c>
      <c r="AP333" s="358" t="e">
        <f>Tabla1[[#This Row],[ponderacion_meta]]*AO333</f>
        <v>#REF!</v>
      </c>
      <c r="AQ333" s="361"/>
      <c r="AR333" s="380">
        <v>0</v>
      </c>
      <c r="AS333" s="7" t="e">
        <f>+((SUM(AO333:AO339)*100)/45)</f>
        <v>#REF!</v>
      </c>
      <c r="AT333" s="521">
        <v>0</v>
      </c>
    </row>
    <row r="334" spans="1:46" ht="15" customHeight="1" x14ac:dyDescent="0.35">
      <c r="A334" s="236" t="s">
        <v>1151</v>
      </c>
      <c r="B334" s="400" t="s">
        <v>567</v>
      </c>
      <c r="C334" s="399" t="s">
        <v>1720</v>
      </c>
      <c r="D334" s="237" t="s">
        <v>1164</v>
      </c>
      <c r="E334" s="179" t="s">
        <v>650</v>
      </c>
      <c r="F334" s="176" t="s">
        <v>2610</v>
      </c>
      <c r="G334" s="160" t="s">
        <v>651</v>
      </c>
      <c r="H334" s="160" t="s">
        <v>1744</v>
      </c>
      <c r="I334" s="19" t="s">
        <v>687</v>
      </c>
      <c r="J334" s="267">
        <v>6.4939999999999998E-3</v>
      </c>
      <c r="K334" s="98" t="s">
        <v>688</v>
      </c>
      <c r="L334" s="134">
        <v>4500000000</v>
      </c>
      <c r="M334" s="134">
        <v>0</v>
      </c>
      <c r="N334" s="442"/>
      <c r="O334" s="442" t="s">
        <v>1753</v>
      </c>
      <c r="P334" s="204">
        <v>0.25</v>
      </c>
      <c r="Q334" s="205">
        <v>0.25</v>
      </c>
      <c r="R334" s="205">
        <v>0.5</v>
      </c>
      <c r="S334" s="205">
        <v>0</v>
      </c>
      <c r="T334" s="205" t="s">
        <v>1503</v>
      </c>
      <c r="U334" s="52" t="s">
        <v>690</v>
      </c>
      <c r="V334" s="15">
        <v>0.1</v>
      </c>
      <c r="W334" s="26" t="s">
        <v>691</v>
      </c>
      <c r="X334" s="26"/>
      <c r="Y334" s="14" t="s">
        <v>2587</v>
      </c>
      <c r="Z334" s="98" t="s">
        <v>2091</v>
      </c>
      <c r="AA334" s="239">
        <f t="shared" si="49"/>
        <v>6.4940000000000006E-4</v>
      </c>
      <c r="AB334" s="252">
        <v>0</v>
      </c>
      <c r="AC334" s="262">
        <f>+(Tabla1[[#This Row],[Avance PDI]]*100%)/Tabla1[[#This Row],[ponderacion_meta]]</f>
        <v>0</v>
      </c>
      <c r="AD334" s="257">
        <v>1.6234999999999999E-3</v>
      </c>
      <c r="AE334" s="257">
        <v>1.6234999999999999E-3</v>
      </c>
      <c r="AF334" s="257">
        <v>3.2469999999999999E-3</v>
      </c>
      <c r="AG334" s="257">
        <v>0</v>
      </c>
      <c r="AH334" s="396">
        <f t="shared" si="54"/>
        <v>2.6596669999999999E-2</v>
      </c>
      <c r="AI334" s="396">
        <f t="shared" si="55"/>
        <v>8.2625000000000032E-2</v>
      </c>
      <c r="AJ334" s="317">
        <f t="shared" si="53"/>
        <v>8.2625000000000032E-2</v>
      </c>
      <c r="AK334" s="387">
        <v>9.7257000000000003E-3</v>
      </c>
      <c r="AL334" s="406">
        <f t="shared" si="51"/>
        <v>8.1250000000000003E-2</v>
      </c>
      <c r="AM334" s="327">
        <v>0</v>
      </c>
      <c r="AN334" s="410">
        <f t="shared" si="52"/>
        <v>0.10833333333333334</v>
      </c>
      <c r="AO334" s="359" t="e">
        <f>+([1]!Tabla1[[#This Row],[ponderacion_accion]]/10%)*AQ334</f>
        <v>#REF!</v>
      </c>
      <c r="AP334" s="359" t="e">
        <f>Tabla1[[#This Row],[ponderacion_meta]]*AO334</f>
        <v>#REF!</v>
      </c>
      <c r="AQ334" s="351"/>
      <c r="AR334" s="380">
        <v>0</v>
      </c>
      <c r="AS334" s="9"/>
      <c r="AT334" s="521">
        <v>0</v>
      </c>
    </row>
    <row r="335" spans="1:46" ht="15" customHeight="1" x14ac:dyDescent="0.35">
      <c r="A335" s="236" t="s">
        <v>1151</v>
      </c>
      <c r="B335" s="400" t="s">
        <v>567</v>
      </c>
      <c r="C335" s="399" t="s">
        <v>1720</v>
      </c>
      <c r="D335" s="237" t="s">
        <v>1164</v>
      </c>
      <c r="E335" s="179" t="s">
        <v>650</v>
      </c>
      <c r="F335" s="176" t="s">
        <v>2610</v>
      </c>
      <c r="G335" s="160" t="s">
        <v>651</v>
      </c>
      <c r="H335" s="160" t="s">
        <v>1744</v>
      </c>
      <c r="I335" s="19" t="s">
        <v>687</v>
      </c>
      <c r="J335" s="267">
        <v>6.4939999999999998E-3</v>
      </c>
      <c r="K335" s="98" t="s">
        <v>688</v>
      </c>
      <c r="L335" s="134">
        <v>4500000000</v>
      </c>
      <c r="M335" s="134">
        <v>0</v>
      </c>
      <c r="N335" s="442"/>
      <c r="O335" s="442" t="s">
        <v>1753</v>
      </c>
      <c r="P335" s="204">
        <v>0.25</v>
      </c>
      <c r="Q335" s="205">
        <v>0.25</v>
      </c>
      <c r="R335" s="205">
        <v>0.5</v>
      </c>
      <c r="S335" s="205">
        <v>0</v>
      </c>
      <c r="T335" s="205" t="s">
        <v>1504</v>
      </c>
      <c r="U335" s="52" t="s">
        <v>692</v>
      </c>
      <c r="V335" s="15">
        <v>0.1</v>
      </c>
      <c r="W335" s="26" t="s">
        <v>693</v>
      </c>
      <c r="X335" s="26"/>
      <c r="Y335" s="14" t="s">
        <v>2587</v>
      </c>
      <c r="Z335" s="98" t="s">
        <v>2091</v>
      </c>
      <c r="AA335" s="239">
        <f t="shared" si="49"/>
        <v>6.4940000000000006E-4</v>
      </c>
      <c r="AB335" s="252">
        <v>0</v>
      </c>
      <c r="AC335" s="262">
        <f>+(Tabla1[[#This Row],[Avance PDI]]*100%)/Tabla1[[#This Row],[ponderacion_meta]]</f>
        <v>0</v>
      </c>
      <c r="AD335" s="257">
        <v>1.6234999999999999E-3</v>
      </c>
      <c r="AE335" s="257">
        <v>1.6234999999999999E-3</v>
      </c>
      <c r="AF335" s="257">
        <v>3.2469999999999999E-3</v>
      </c>
      <c r="AG335" s="257">
        <v>0</v>
      </c>
      <c r="AH335" s="396">
        <f t="shared" si="54"/>
        <v>2.6596669999999999E-2</v>
      </c>
      <c r="AI335" s="396">
        <f t="shared" si="55"/>
        <v>8.2625000000000032E-2</v>
      </c>
      <c r="AJ335" s="317">
        <f t="shared" si="53"/>
        <v>8.2625000000000032E-2</v>
      </c>
      <c r="AK335" s="387">
        <v>9.7257000000000003E-3</v>
      </c>
      <c r="AL335" s="406">
        <f t="shared" si="51"/>
        <v>8.1250000000000003E-2</v>
      </c>
      <c r="AM335" s="327">
        <v>0</v>
      </c>
      <c r="AN335" s="410">
        <f t="shared" si="52"/>
        <v>0.10833333333333334</v>
      </c>
      <c r="AO335" s="359" t="e">
        <f>+([1]!Tabla1[[#This Row],[ponderacion_accion]]/10%)*AQ335</f>
        <v>#REF!</v>
      </c>
      <c r="AP335" s="359" t="e">
        <f>Tabla1[[#This Row],[ponderacion_meta]]*AO335</f>
        <v>#REF!</v>
      </c>
      <c r="AQ335" s="351"/>
      <c r="AR335" s="380">
        <v>0</v>
      </c>
      <c r="AS335" s="9"/>
      <c r="AT335" s="521">
        <v>0</v>
      </c>
    </row>
    <row r="336" spans="1:46" ht="15" customHeight="1" x14ac:dyDescent="0.35">
      <c r="A336" s="236" t="s">
        <v>1151</v>
      </c>
      <c r="B336" s="400" t="s">
        <v>567</v>
      </c>
      <c r="C336" s="399" t="s">
        <v>1720</v>
      </c>
      <c r="D336" s="237" t="s">
        <v>1164</v>
      </c>
      <c r="E336" s="179" t="s">
        <v>650</v>
      </c>
      <c r="F336" s="176" t="s">
        <v>2610</v>
      </c>
      <c r="G336" s="160" t="s">
        <v>651</v>
      </c>
      <c r="H336" s="160" t="s">
        <v>1744</v>
      </c>
      <c r="I336" s="19" t="s">
        <v>687</v>
      </c>
      <c r="J336" s="267">
        <v>6.4939999999999998E-3</v>
      </c>
      <c r="K336" s="98" t="s">
        <v>688</v>
      </c>
      <c r="L336" s="134">
        <v>4500000000</v>
      </c>
      <c r="M336" s="134">
        <v>0</v>
      </c>
      <c r="N336" s="442"/>
      <c r="O336" s="442" t="s">
        <v>1753</v>
      </c>
      <c r="P336" s="204">
        <v>0.25</v>
      </c>
      <c r="Q336" s="205">
        <v>0.25</v>
      </c>
      <c r="R336" s="205">
        <v>0.5</v>
      </c>
      <c r="S336" s="205">
        <v>0</v>
      </c>
      <c r="T336" s="205" t="s">
        <v>1505</v>
      </c>
      <c r="U336" s="52" t="s">
        <v>694</v>
      </c>
      <c r="V336" s="15">
        <v>0.1</v>
      </c>
      <c r="W336" s="26" t="s">
        <v>695</v>
      </c>
      <c r="X336" s="26"/>
      <c r="Y336" s="14" t="s">
        <v>2587</v>
      </c>
      <c r="Z336" s="98" t="s">
        <v>2091</v>
      </c>
      <c r="AA336" s="239">
        <f t="shared" si="49"/>
        <v>6.4940000000000006E-4</v>
      </c>
      <c r="AB336" s="252">
        <v>0</v>
      </c>
      <c r="AC336" s="262">
        <f>+(Tabla1[[#This Row],[Avance PDI]]*100%)/Tabla1[[#This Row],[ponderacion_meta]]</f>
        <v>0</v>
      </c>
      <c r="AD336" s="257">
        <v>1.6234999999999999E-3</v>
      </c>
      <c r="AE336" s="257">
        <v>1.6234999999999999E-3</v>
      </c>
      <c r="AF336" s="257">
        <v>3.2469999999999999E-3</v>
      </c>
      <c r="AG336" s="257">
        <v>0</v>
      </c>
      <c r="AH336" s="396">
        <f t="shared" si="54"/>
        <v>2.6596669999999999E-2</v>
      </c>
      <c r="AI336" s="396">
        <f t="shared" si="55"/>
        <v>8.2625000000000032E-2</v>
      </c>
      <c r="AJ336" s="317">
        <f t="shared" si="53"/>
        <v>8.2625000000000032E-2</v>
      </c>
      <c r="AK336" s="387">
        <v>9.7257000000000003E-3</v>
      </c>
      <c r="AL336" s="406">
        <f t="shared" si="51"/>
        <v>8.1250000000000003E-2</v>
      </c>
      <c r="AM336" s="327">
        <v>0</v>
      </c>
      <c r="AN336" s="410">
        <f t="shared" si="52"/>
        <v>0.10833333333333334</v>
      </c>
      <c r="AO336" s="359" t="e">
        <f>+([1]!Tabla1[[#This Row],[ponderacion_accion]]/10%)*AQ336</f>
        <v>#REF!</v>
      </c>
      <c r="AP336" s="359" t="e">
        <f>Tabla1[[#This Row],[ponderacion_meta]]*AO336</f>
        <v>#REF!</v>
      </c>
      <c r="AQ336" s="351"/>
      <c r="AR336" s="380">
        <v>0</v>
      </c>
      <c r="AS336" s="9"/>
      <c r="AT336" s="521">
        <v>0</v>
      </c>
    </row>
    <row r="337" spans="1:46" ht="15" customHeight="1" x14ac:dyDescent="0.35">
      <c r="A337" s="236" t="s">
        <v>1151</v>
      </c>
      <c r="B337" s="400" t="s">
        <v>567</v>
      </c>
      <c r="C337" s="399" t="s">
        <v>1720</v>
      </c>
      <c r="D337" s="237" t="s">
        <v>1164</v>
      </c>
      <c r="E337" s="179" t="s">
        <v>650</v>
      </c>
      <c r="F337" s="176" t="s">
        <v>2610</v>
      </c>
      <c r="G337" s="160" t="s">
        <v>651</v>
      </c>
      <c r="H337" s="160" t="s">
        <v>1744</v>
      </c>
      <c r="I337" s="19" t="s">
        <v>687</v>
      </c>
      <c r="J337" s="267">
        <v>6.4939999999999998E-3</v>
      </c>
      <c r="K337" s="98" t="s">
        <v>688</v>
      </c>
      <c r="L337" s="134">
        <v>4500000000</v>
      </c>
      <c r="M337" s="134">
        <v>0</v>
      </c>
      <c r="N337" s="442"/>
      <c r="O337" s="442" t="s">
        <v>1753</v>
      </c>
      <c r="P337" s="204">
        <v>0.25</v>
      </c>
      <c r="Q337" s="205">
        <v>0.25</v>
      </c>
      <c r="R337" s="205">
        <v>0.5</v>
      </c>
      <c r="S337" s="205">
        <v>0</v>
      </c>
      <c r="T337" s="205" t="s">
        <v>1506</v>
      </c>
      <c r="U337" s="52" t="s">
        <v>696</v>
      </c>
      <c r="V337" s="15">
        <v>0.05</v>
      </c>
      <c r="W337" s="26" t="s">
        <v>53</v>
      </c>
      <c r="X337" s="26"/>
      <c r="Y337" s="14" t="s">
        <v>2587</v>
      </c>
      <c r="Z337" s="98" t="s">
        <v>2091</v>
      </c>
      <c r="AA337" s="239">
        <f t="shared" si="49"/>
        <v>3.2470000000000003E-4</v>
      </c>
      <c r="AB337" s="252">
        <v>0</v>
      </c>
      <c r="AC337" s="262">
        <f>+(Tabla1[[#This Row],[Avance PDI]]*100%)/Tabla1[[#This Row],[ponderacion_meta]]</f>
        <v>0</v>
      </c>
      <c r="AD337" s="257">
        <v>1.6234999999999999E-3</v>
      </c>
      <c r="AE337" s="257">
        <v>1.6234999999999999E-3</v>
      </c>
      <c r="AF337" s="257">
        <v>3.2469999999999999E-3</v>
      </c>
      <c r="AG337" s="257">
        <v>0</v>
      </c>
      <c r="AH337" s="396">
        <f t="shared" si="54"/>
        <v>2.6596669999999999E-2</v>
      </c>
      <c r="AI337" s="396">
        <f t="shared" si="55"/>
        <v>8.2625000000000032E-2</v>
      </c>
      <c r="AJ337" s="317">
        <f t="shared" si="53"/>
        <v>8.2625000000000032E-2</v>
      </c>
      <c r="AK337" s="387">
        <v>9.7257000000000003E-3</v>
      </c>
      <c r="AL337" s="406">
        <f t="shared" si="51"/>
        <v>8.1250000000000003E-2</v>
      </c>
      <c r="AM337" s="327">
        <v>0</v>
      </c>
      <c r="AN337" s="410">
        <f t="shared" si="52"/>
        <v>0.10833333333333334</v>
      </c>
      <c r="AO337" s="359" t="e">
        <f>+([1]!Tabla1[[#This Row],[ponderacion_accion]]/5%)*AQ337</f>
        <v>#REF!</v>
      </c>
      <c r="AP337" s="359" t="e">
        <f>Tabla1[[#This Row],[ponderacion_meta]]*AO337</f>
        <v>#REF!</v>
      </c>
      <c r="AQ337" s="351"/>
      <c r="AR337" s="380">
        <v>0</v>
      </c>
      <c r="AS337" s="9"/>
      <c r="AT337" s="521">
        <v>0</v>
      </c>
    </row>
    <row r="338" spans="1:46" ht="15" customHeight="1" x14ac:dyDescent="0.35">
      <c r="A338" s="236" t="s">
        <v>1151</v>
      </c>
      <c r="B338" s="400" t="s">
        <v>567</v>
      </c>
      <c r="C338" s="399" t="s">
        <v>1720</v>
      </c>
      <c r="D338" s="237" t="s">
        <v>1164</v>
      </c>
      <c r="E338" s="179" t="s">
        <v>650</v>
      </c>
      <c r="F338" s="176" t="s">
        <v>2610</v>
      </c>
      <c r="G338" s="160" t="s">
        <v>651</v>
      </c>
      <c r="H338" s="160" t="s">
        <v>1744</v>
      </c>
      <c r="I338" s="19" t="s">
        <v>687</v>
      </c>
      <c r="J338" s="267">
        <v>6.4939999999999998E-3</v>
      </c>
      <c r="K338" s="98" t="s">
        <v>688</v>
      </c>
      <c r="L338" s="134">
        <v>4500000000</v>
      </c>
      <c r="M338" s="134">
        <v>0</v>
      </c>
      <c r="N338" s="442"/>
      <c r="O338" s="442" t="s">
        <v>1753</v>
      </c>
      <c r="P338" s="204">
        <v>0.25</v>
      </c>
      <c r="Q338" s="205">
        <v>0.25</v>
      </c>
      <c r="R338" s="205">
        <v>0.5</v>
      </c>
      <c r="S338" s="205">
        <v>0</v>
      </c>
      <c r="T338" s="205" t="s">
        <v>1507</v>
      </c>
      <c r="U338" s="52" t="s">
        <v>697</v>
      </c>
      <c r="V338" s="15">
        <v>0.45</v>
      </c>
      <c r="W338" s="26" t="s">
        <v>698</v>
      </c>
      <c r="X338" s="26"/>
      <c r="Y338" s="14" t="s">
        <v>2588</v>
      </c>
      <c r="Z338" s="98" t="s">
        <v>2091</v>
      </c>
      <c r="AA338" s="239">
        <f t="shared" si="49"/>
        <v>2.9223000000000001E-3</v>
      </c>
      <c r="AB338" s="252">
        <v>0</v>
      </c>
      <c r="AC338" s="262">
        <f>+(Tabla1[[#This Row],[Avance PDI]]*100%)/Tabla1[[#This Row],[ponderacion_meta]]</f>
        <v>0</v>
      </c>
      <c r="AD338" s="257">
        <v>1.6234999999999999E-3</v>
      </c>
      <c r="AE338" s="257">
        <v>1.6234999999999999E-3</v>
      </c>
      <c r="AF338" s="257">
        <v>3.2469999999999999E-3</v>
      </c>
      <c r="AG338" s="257">
        <v>0</v>
      </c>
      <c r="AH338" s="396">
        <f t="shared" si="54"/>
        <v>2.6596669999999999E-2</v>
      </c>
      <c r="AI338" s="396">
        <f t="shared" si="55"/>
        <v>8.2625000000000032E-2</v>
      </c>
      <c r="AJ338" s="317">
        <f t="shared" si="53"/>
        <v>8.2625000000000032E-2</v>
      </c>
      <c r="AK338" s="387">
        <v>9.7257000000000003E-3</v>
      </c>
      <c r="AL338" s="406">
        <f t="shared" si="51"/>
        <v>8.1250000000000003E-2</v>
      </c>
      <c r="AM338" s="327">
        <v>0</v>
      </c>
      <c r="AN338" s="410">
        <f t="shared" si="52"/>
        <v>0.10833333333333334</v>
      </c>
      <c r="AO338" s="359" t="e">
        <f>+([1]!Tabla1[[#This Row],[ponderacion_accion]]/45%)*AQ338</f>
        <v>#REF!</v>
      </c>
      <c r="AP338" s="359" t="e">
        <f>Tabla1[[#This Row],[ponderacion_meta]]*AO338</f>
        <v>#REF!</v>
      </c>
      <c r="AQ338" s="351"/>
      <c r="AR338" s="380">
        <v>0</v>
      </c>
      <c r="AS338" s="9"/>
      <c r="AT338" s="521">
        <v>0</v>
      </c>
    </row>
    <row r="339" spans="1:46" ht="15" customHeight="1" x14ac:dyDescent="0.35">
      <c r="A339" s="236" t="s">
        <v>1151</v>
      </c>
      <c r="B339" s="400" t="s">
        <v>567</v>
      </c>
      <c r="C339" s="399" t="s">
        <v>1720</v>
      </c>
      <c r="D339" s="237" t="s">
        <v>1164</v>
      </c>
      <c r="E339" s="179" t="s">
        <v>650</v>
      </c>
      <c r="F339" s="176" t="s">
        <v>2610</v>
      </c>
      <c r="G339" s="160" t="s">
        <v>651</v>
      </c>
      <c r="H339" s="160" t="s">
        <v>1744</v>
      </c>
      <c r="I339" s="19" t="s">
        <v>687</v>
      </c>
      <c r="J339" s="267">
        <v>6.4939999999999998E-3</v>
      </c>
      <c r="K339" s="98" t="s">
        <v>688</v>
      </c>
      <c r="L339" s="134">
        <v>4500000000</v>
      </c>
      <c r="M339" s="134">
        <v>0</v>
      </c>
      <c r="N339" s="442"/>
      <c r="O339" s="442" t="s">
        <v>1753</v>
      </c>
      <c r="P339" s="204">
        <v>0.25</v>
      </c>
      <c r="Q339" s="205">
        <v>0.25</v>
      </c>
      <c r="R339" s="205">
        <v>0.5</v>
      </c>
      <c r="S339" s="205">
        <v>0</v>
      </c>
      <c r="T339" s="205" t="s">
        <v>1508</v>
      </c>
      <c r="U339" s="52" t="s">
        <v>699</v>
      </c>
      <c r="V339" s="15">
        <v>0.1</v>
      </c>
      <c r="W339" s="26" t="s">
        <v>700</v>
      </c>
      <c r="X339" s="26"/>
      <c r="Y339" s="14" t="s">
        <v>2588</v>
      </c>
      <c r="Z339" s="98" t="s">
        <v>2091</v>
      </c>
      <c r="AA339" s="239">
        <f t="shared" si="49"/>
        <v>6.4940000000000006E-4</v>
      </c>
      <c r="AB339" s="252">
        <v>0</v>
      </c>
      <c r="AC339" s="262">
        <f>+(Tabla1[[#This Row],[Avance PDI]]*100%)/Tabla1[[#This Row],[ponderacion_meta]]</f>
        <v>0</v>
      </c>
      <c r="AD339" s="257">
        <v>1.6234999999999999E-3</v>
      </c>
      <c r="AE339" s="257">
        <v>1.6234999999999999E-3</v>
      </c>
      <c r="AF339" s="257">
        <v>3.2469999999999999E-3</v>
      </c>
      <c r="AG339" s="257">
        <v>0</v>
      </c>
      <c r="AH339" s="396">
        <f t="shared" si="54"/>
        <v>2.6596669999999999E-2</v>
      </c>
      <c r="AI339" s="396">
        <f t="shared" si="55"/>
        <v>8.2625000000000032E-2</v>
      </c>
      <c r="AJ339" s="317">
        <f t="shared" si="53"/>
        <v>8.2625000000000032E-2</v>
      </c>
      <c r="AK339" s="387">
        <v>9.7257000000000003E-3</v>
      </c>
      <c r="AL339" s="406">
        <f t="shared" si="51"/>
        <v>8.1250000000000003E-2</v>
      </c>
      <c r="AM339" s="327">
        <v>0</v>
      </c>
      <c r="AN339" s="410">
        <f t="shared" si="52"/>
        <v>0.10833333333333334</v>
      </c>
      <c r="AO339" s="360" t="e">
        <f>+([1]!Tabla1[[#This Row],[ponderacion_accion]]/10%)*AQ339</f>
        <v>#REF!</v>
      </c>
      <c r="AP339" s="360" t="e">
        <f>Tabla1[[#This Row],[ponderacion_meta]]*AO339</f>
        <v>#REF!</v>
      </c>
      <c r="AQ339" s="356"/>
      <c r="AR339" s="380">
        <v>0</v>
      </c>
      <c r="AS339" s="9"/>
      <c r="AT339" s="521">
        <v>0</v>
      </c>
    </row>
    <row r="340" spans="1:46" ht="15" customHeight="1" x14ac:dyDescent="0.35">
      <c r="A340" s="236" t="s">
        <v>1151</v>
      </c>
      <c r="B340" s="400" t="s">
        <v>567</v>
      </c>
      <c r="C340" s="399" t="s">
        <v>1720</v>
      </c>
      <c r="D340" s="237" t="s">
        <v>1164</v>
      </c>
      <c r="E340" s="179" t="s">
        <v>650</v>
      </c>
      <c r="F340" s="176" t="s">
        <v>2610</v>
      </c>
      <c r="G340" s="160" t="s">
        <v>651</v>
      </c>
      <c r="H340" s="160" t="s">
        <v>1744</v>
      </c>
      <c r="I340" s="23" t="s">
        <v>701</v>
      </c>
      <c r="J340" s="264">
        <v>6.4939999999999998E-3</v>
      </c>
      <c r="K340" s="28" t="s">
        <v>702</v>
      </c>
      <c r="L340" s="128">
        <v>1128000000</v>
      </c>
      <c r="M340" s="128">
        <v>0</v>
      </c>
      <c r="N340" s="436"/>
      <c r="O340" s="436" t="s">
        <v>1753</v>
      </c>
      <c r="P340" s="183">
        <v>0</v>
      </c>
      <c r="Q340" s="184">
        <v>0.5</v>
      </c>
      <c r="R340" s="184">
        <v>0.5</v>
      </c>
      <c r="S340" s="184">
        <v>0</v>
      </c>
      <c r="T340" s="184" t="s">
        <v>1509</v>
      </c>
      <c r="U340" s="53" t="s">
        <v>667</v>
      </c>
      <c r="V340" s="25">
        <v>0.1</v>
      </c>
      <c r="W340" s="24" t="s">
        <v>655</v>
      </c>
      <c r="X340" s="24"/>
      <c r="Y340" s="23" t="s">
        <v>2587</v>
      </c>
      <c r="Z340" s="24" t="s">
        <v>2091</v>
      </c>
      <c r="AA340" s="238">
        <f t="shared" si="49"/>
        <v>6.4940000000000006E-4</v>
      </c>
      <c r="AB340" s="254">
        <f>+Tabla1[[#This Row],[ponderacion_meta]]*Tabla1[[#This Row],[ponderacion_accion]]</f>
        <v>6.4940000000000006E-4</v>
      </c>
      <c r="AC340" s="278">
        <f>+(Tabla1[[#This Row],[Avance PDI]]*100%)/Tabla1[[#This Row],[ponderacion_meta]]</f>
        <v>0.10000000000000002</v>
      </c>
      <c r="AD340" s="279">
        <f>+Tabla1[[#This Row],[ponderacion_meta]]*Tabla1[[#This Row],[proyeccion_año1]]</f>
        <v>0</v>
      </c>
      <c r="AE340" s="279">
        <f>+Tabla1[[#This Row],[ponderacion_meta]]*Tabla1[[#This Row],[proyeccion_año2]]</f>
        <v>3.2469999999999999E-3</v>
      </c>
      <c r="AF340" s="279">
        <f>+Tabla1[[#This Row],[ponderacion_meta]]*Tabla1[[#This Row],[proyeccion_año3]]</f>
        <v>3.2469999999999999E-3</v>
      </c>
      <c r="AG340" s="279">
        <f>+Tabla1[[#This Row],[ponderacion_meta]]*Tabla1[[#This Row],[proyeccion_año4]]</f>
        <v>0</v>
      </c>
      <c r="AH340" s="396">
        <f t="shared" si="54"/>
        <v>2.6596669999999999E-2</v>
      </c>
      <c r="AI340" s="396">
        <f t="shared" si="55"/>
        <v>8.2625000000000032E-2</v>
      </c>
      <c r="AJ340" s="317">
        <f t="shared" si="53"/>
        <v>8.2625000000000032E-2</v>
      </c>
      <c r="AK340" s="387">
        <v>9.7257000000000003E-3</v>
      </c>
      <c r="AL340" s="406">
        <f t="shared" si="51"/>
        <v>8.1250000000000003E-2</v>
      </c>
      <c r="AM340" s="327">
        <v>0</v>
      </c>
      <c r="AN340" s="410">
        <f t="shared" si="52"/>
        <v>0.10833333333333334</v>
      </c>
      <c r="AO340" s="343" t="e">
        <f>+([1]!Tabla1[[#This Row],[ponderacion_accion]]/10%)*AQ340</f>
        <v>#REF!</v>
      </c>
      <c r="AP340" s="343" t="e">
        <f>Tabla1[[#This Row],[ponderacion_meta]]*AO340</f>
        <v>#REF!</v>
      </c>
      <c r="AQ340" s="368">
        <v>0.1</v>
      </c>
      <c r="AR340" s="377">
        <v>0</v>
      </c>
      <c r="AS340" s="515" t="e">
        <f>+((SUM(AO340:AO344)*100)/20)</f>
        <v>#REF!</v>
      </c>
      <c r="AT340" s="521">
        <v>0</v>
      </c>
    </row>
    <row r="341" spans="1:46" ht="15" customHeight="1" x14ac:dyDescent="0.35">
      <c r="A341" s="236" t="s">
        <v>1151</v>
      </c>
      <c r="B341" s="400" t="s">
        <v>567</v>
      </c>
      <c r="C341" s="399" t="s">
        <v>1720</v>
      </c>
      <c r="D341" s="237" t="s">
        <v>1164</v>
      </c>
      <c r="E341" s="179" t="s">
        <v>650</v>
      </c>
      <c r="F341" s="176" t="s">
        <v>2610</v>
      </c>
      <c r="G341" s="160" t="s">
        <v>651</v>
      </c>
      <c r="H341" s="160" t="s">
        <v>1744</v>
      </c>
      <c r="I341" s="30" t="s">
        <v>701</v>
      </c>
      <c r="J341" s="266">
        <v>6.4939999999999998E-3</v>
      </c>
      <c r="K341" s="28" t="s">
        <v>702</v>
      </c>
      <c r="L341" s="126">
        <v>1128000000</v>
      </c>
      <c r="M341" s="126">
        <v>0</v>
      </c>
      <c r="N341" s="434"/>
      <c r="O341" s="434" t="s">
        <v>1753</v>
      </c>
      <c r="P341" s="213">
        <v>0</v>
      </c>
      <c r="Q341" s="214">
        <v>0.5</v>
      </c>
      <c r="R341" s="214">
        <v>0.5</v>
      </c>
      <c r="S341" s="214">
        <v>0</v>
      </c>
      <c r="T341" s="214" t="s">
        <v>1510</v>
      </c>
      <c r="U341" s="53" t="s">
        <v>669</v>
      </c>
      <c r="V341" s="25">
        <v>0.1</v>
      </c>
      <c r="W341" s="24" t="s">
        <v>678</v>
      </c>
      <c r="X341" s="24"/>
      <c r="Y341" s="23" t="s">
        <v>2587</v>
      </c>
      <c r="Z341" s="28" t="s">
        <v>2091</v>
      </c>
      <c r="AA341" s="238">
        <f t="shared" si="49"/>
        <v>6.4940000000000006E-4</v>
      </c>
      <c r="AB341" s="252">
        <v>0</v>
      </c>
      <c r="AC341" s="278">
        <f>+(Tabla1[[#This Row],[Avance PDI]]*100%)/Tabla1[[#This Row],[ponderacion_meta]]</f>
        <v>0</v>
      </c>
      <c r="AD341" s="279">
        <v>0</v>
      </c>
      <c r="AE341" s="279">
        <v>3.2469999999999999E-3</v>
      </c>
      <c r="AF341" s="279">
        <v>3.2469999999999999E-3</v>
      </c>
      <c r="AG341" s="279">
        <v>0</v>
      </c>
      <c r="AH341" s="396">
        <f t="shared" si="54"/>
        <v>2.6596669999999999E-2</v>
      </c>
      <c r="AI341" s="396">
        <f t="shared" si="55"/>
        <v>8.2625000000000032E-2</v>
      </c>
      <c r="AJ341" s="317">
        <f t="shared" si="53"/>
        <v>8.2625000000000032E-2</v>
      </c>
      <c r="AK341" s="387">
        <v>9.7257000000000003E-3</v>
      </c>
      <c r="AL341" s="406">
        <f t="shared" si="51"/>
        <v>8.1250000000000003E-2</v>
      </c>
      <c r="AM341" s="327">
        <v>0</v>
      </c>
      <c r="AN341" s="410">
        <f t="shared" si="52"/>
        <v>0.10833333333333334</v>
      </c>
      <c r="AO341" s="344" t="e">
        <f>+([1]!Tabla1[[#This Row],[ponderacion_accion]]/10%)*AQ341</f>
        <v>#REF!</v>
      </c>
      <c r="AP341" s="344" t="e">
        <f>Tabla1[[#This Row],[ponderacion_meta]]*AO341</f>
        <v>#REF!</v>
      </c>
      <c r="AQ341" s="354"/>
      <c r="AR341" s="378">
        <v>0</v>
      </c>
      <c r="AS341" s="9"/>
      <c r="AT341" s="521">
        <v>0</v>
      </c>
    </row>
    <row r="342" spans="1:46" ht="15" customHeight="1" x14ac:dyDescent="0.35">
      <c r="A342" s="236" t="s">
        <v>1151</v>
      </c>
      <c r="B342" s="400" t="s">
        <v>567</v>
      </c>
      <c r="C342" s="399" t="s">
        <v>1720</v>
      </c>
      <c r="D342" s="237" t="s">
        <v>1164</v>
      </c>
      <c r="E342" s="179" t="s">
        <v>650</v>
      </c>
      <c r="F342" s="176" t="s">
        <v>2610</v>
      </c>
      <c r="G342" s="160" t="s">
        <v>651</v>
      </c>
      <c r="H342" s="160" t="s">
        <v>1744</v>
      </c>
      <c r="I342" s="30" t="s">
        <v>701</v>
      </c>
      <c r="J342" s="266">
        <v>6.4939999999999998E-3</v>
      </c>
      <c r="K342" s="28" t="s">
        <v>702</v>
      </c>
      <c r="L342" s="126">
        <v>1128000000</v>
      </c>
      <c r="M342" s="126">
        <v>0</v>
      </c>
      <c r="N342" s="434"/>
      <c r="O342" s="434" t="s">
        <v>1753</v>
      </c>
      <c r="P342" s="213">
        <v>0</v>
      </c>
      <c r="Q342" s="214">
        <v>0.5</v>
      </c>
      <c r="R342" s="214">
        <v>0.5</v>
      </c>
      <c r="S342" s="214">
        <v>0</v>
      </c>
      <c r="T342" s="214" t="s">
        <v>1511</v>
      </c>
      <c r="U342" s="53" t="s">
        <v>670</v>
      </c>
      <c r="V342" s="25">
        <v>0.2</v>
      </c>
      <c r="W342" s="24" t="s">
        <v>671</v>
      </c>
      <c r="X342" s="24"/>
      <c r="Y342" s="23" t="s">
        <v>2588</v>
      </c>
      <c r="Z342" s="28" t="s">
        <v>2091</v>
      </c>
      <c r="AA342" s="238">
        <f t="shared" si="49"/>
        <v>1.2988000000000001E-3</v>
      </c>
      <c r="AB342" s="252">
        <v>0</v>
      </c>
      <c r="AC342" s="278">
        <f>+(Tabla1[[#This Row],[Avance PDI]]*100%)/Tabla1[[#This Row],[ponderacion_meta]]</f>
        <v>0</v>
      </c>
      <c r="AD342" s="279">
        <v>0</v>
      </c>
      <c r="AE342" s="279">
        <v>3.2469999999999999E-3</v>
      </c>
      <c r="AF342" s="279">
        <v>3.2469999999999999E-3</v>
      </c>
      <c r="AG342" s="279">
        <v>0</v>
      </c>
      <c r="AH342" s="396">
        <f t="shared" si="54"/>
        <v>2.6596669999999999E-2</v>
      </c>
      <c r="AI342" s="396">
        <f t="shared" si="55"/>
        <v>8.2625000000000032E-2</v>
      </c>
      <c r="AJ342" s="317">
        <f t="shared" si="53"/>
        <v>8.2625000000000032E-2</v>
      </c>
      <c r="AK342" s="387">
        <v>9.7257000000000003E-3</v>
      </c>
      <c r="AL342" s="406">
        <f t="shared" si="51"/>
        <v>8.1250000000000003E-2</v>
      </c>
      <c r="AM342" s="327">
        <v>0</v>
      </c>
      <c r="AN342" s="410">
        <f t="shared" si="52"/>
        <v>0.10833333333333334</v>
      </c>
      <c r="AO342" s="344" t="e">
        <f>+([1]!Tabla1[[#This Row],[ponderacion_accion]]/20%)*AQ342</f>
        <v>#REF!</v>
      </c>
      <c r="AP342" s="344" t="e">
        <f>Tabla1[[#This Row],[ponderacion_meta]]*AO342</f>
        <v>#REF!</v>
      </c>
      <c r="AQ342" s="354"/>
      <c r="AR342" s="378">
        <v>0</v>
      </c>
      <c r="AS342" s="9"/>
      <c r="AT342" s="521">
        <v>0</v>
      </c>
    </row>
    <row r="343" spans="1:46" ht="15" customHeight="1" x14ac:dyDescent="0.35">
      <c r="A343" s="236" t="s">
        <v>1151</v>
      </c>
      <c r="B343" s="400" t="s">
        <v>567</v>
      </c>
      <c r="C343" s="399" t="s">
        <v>1720</v>
      </c>
      <c r="D343" s="237" t="s">
        <v>1164</v>
      </c>
      <c r="E343" s="179" t="s">
        <v>650</v>
      </c>
      <c r="F343" s="176" t="s">
        <v>2610</v>
      </c>
      <c r="G343" s="160" t="s">
        <v>651</v>
      </c>
      <c r="H343" s="160" t="s">
        <v>1744</v>
      </c>
      <c r="I343" s="30" t="s">
        <v>701</v>
      </c>
      <c r="J343" s="266">
        <v>6.4939999999999998E-3</v>
      </c>
      <c r="K343" s="28" t="s">
        <v>702</v>
      </c>
      <c r="L343" s="126">
        <v>1128000000</v>
      </c>
      <c r="M343" s="126">
        <v>0</v>
      </c>
      <c r="N343" s="434"/>
      <c r="O343" s="434" t="s">
        <v>1753</v>
      </c>
      <c r="P343" s="213">
        <v>0</v>
      </c>
      <c r="Q343" s="214">
        <v>0.5</v>
      </c>
      <c r="R343" s="214">
        <v>0.5</v>
      </c>
      <c r="S343" s="214">
        <v>0</v>
      </c>
      <c r="T343" s="214" t="s">
        <v>1512</v>
      </c>
      <c r="U343" s="53" t="s">
        <v>703</v>
      </c>
      <c r="V343" s="25">
        <v>0.5</v>
      </c>
      <c r="W343" s="24" t="s">
        <v>680</v>
      </c>
      <c r="X343" s="24"/>
      <c r="Y343" s="23" t="s">
        <v>2588</v>
      </c>
      <c r="Z343" s="28" t="s">
        <v>2091</v>
      </c>
      <c r="AA343" s="238">
        <f t="shared" si="49"/>
        <v>3.2469999999999999E-3</v>
      </c>
      <c r="AB343" s="252">
        <v>0</v>
      </c>
      <c r="AC343" s="278">
        <f>+(Tabla1[[#This Row],[Avance PDI]]*100%)/Tabla1[[#This Row],[ponderacion_meta]]</f>
        <v>0</v>
      </c>
      <c r="AD343" s="279">
        <v>0</v>
      </c>
      <c r="AE343" s="279">
        <v>3.2469999999999999E-3</v>
      </c>
      <c r="AF343" s="279">
        <v>3.2469999999999999E-3</v>
      </c>
      <c r="AG343" s="279">
        <v>0</v>
      </c>
      <c r="AH343" s="396">
        <f t="shared" si="54"/>
        <v>2.6596669999999999E-2</v>
      </c>
      <c r="AI343" s="396">
        <f t="shared" si="55"/>
        <v>8.2625000000000032E-2</v>
      </c>
      <c r="AJ343" s="317">
        <f t="shared" si="53"/>
        <v>8.2625000000000032E-2</v>
      </c>
      <c r="AK343" s="387">
        <v>9.7257000000000003E-3</v>
      </c>
      <c r="AL343" s="406">
        <f t="shared" si="51"/>
        <v>8.1250000000000003E-2</v>
      </c>
      <c r="AM343" s="327">
        <v>0</v>
      </c>
      <c r="AN343" s="410">
        <f t="shared" si="52"/>
        <v>0.10833333333333334</v>
      </c>
      <c r="AO343" s="344" t="e">
        <f>+([1]!Tabla1[[#This Row],[ponderacion_accion]]/50%)*AQ343</f>
        <v>#REF!</v>
      </c>
      <c r="AP343" s="344" t="e">
        <f>Tabla1[[#This Row],[ponderacion_meta]]*AO343</f>
        <v>#REF!</v>
      </c>
      <c r="AQ343" s="354"/>
      <c r="AR343" s="378">
        <v>0</v>
      </c>
      <c r="AS343" s="9"/>
      <c r="AT343" s="521">
        <v>0</v>
      </c>
    </row>
    <row r="344" spans="1:46" ht="15" customHeight="1" x14ac:dyDescent="0.35">
      <c r="A344" s="236" t="s">
        <v>1151</v>
      </c>
      <c r="B344" s="400" t="s">
        <v>567</v>
      </c>
      <c r="C344" s="399" t="s">
        <v>1720</v>
      </c>
      <c r="D344" s="237" t="s">
        <v>1164</v>
      </c>
      <c r="E344" s="179" t="s">
        <v>650</v>
      </c>
      <c r="F344" s="176" t="s">
        <v>2610</v>
      </c>
      <c r="G344" s="160" t="s">
        <v>651</v>
      </c>
      <c r="H344" s="160" t="s">
        <v>1744</v>
      </c>
      <c r="I344" s="30" t="s">
        <v>701</v>
      </c>
      <c r="J344" s="266">
        <v>6.4939999999999998E-3</v>
      </c>
      <c r="K344" s="28" t="s">
        <v>702</v>
      </c>
      <c r="L344" s="126">
        <v>1128000000</v>
      </c>
      <c r="M344" s="126">
        <v>0</v>
      </c>
      <c r="N344" s="434"/>
      <c r="O344" s="434" t="s">
        <v>1753</v>
      </c>
      <c r="P344" s="213">
        <v>0</v>
      </c>
      <c r="Q344" s="214">
        <v>0.5</v>
      </c>
      <c r="R344" s="214">
        <v>0.5</v>
      </c>
      <c r="S344" s="214">
        <v>0</v>
      </c>
      <c r="T344" s="214" t="s">
        <v>1513</v>
      </c>
      <c r="U344" s="53" t="s">
        <v>681</v>
      </c>
      <c r="V344" s="25">
        <v>0.1</v>
      </c>
      <c r="W344" s="24" t="s">
        <v>682</v>
      </c>
      <c r="X344" s="24"/>
      <c r="Y344" s="23" t="s">
        <v>2588</v>
      </c>
      <c r="Z344" s="28" t="s">
        <v>2091</v>
      </c>
      <c r="AA344" s="238">
        <f t="shared" si="49"/>
        <v>6.4940000000000006E-4</v>
      </c>
      <c r="AB344" s="252">
        <v>0</v>
      </c>
      <c r="AC344" s="278">
        <f>+(Tabla1[[#This Row],[Avance PDI]]*100%)/Tabla1[[#This Row],[ponderacion_meta]]</f>
        <v>0</v>
      </c>
      <c r="AD344" s="279">
        <v>0</v>
      </c>
      <c r="AE344" s="279">
        <v>3.2469999999999999E-3</v>
      </c>
      <c r="AF344" s="279">
        <v>3.2469999999999999E-3</v>
      </c>
      <c r="AG344" s="279">
        <v>0</v>
      </c>
      <c r="AH344" s="396">
        <f t="shared" si="54"/>
        <v>2.6596669999999999E-2</v>
      </c>
      <c r="AI344" s="396">
        <f t="shared" si="55"/>
        <v>8.2625000000000032E-2</v>
      </c>
      <c r="AJ344" s="317">
        <f t="shared" si="53"/>
        <v>8.2625000000000032E-2</v>
      </c>
      <c r="AK344" s="387">
        <v>9.7257000000000003E-3</v>
      </c>
      <c r="AL344" s="406">
        <f t="shared" si="51"/>
        <v>8.1250000000000003E-2</v>
      </c>
      <c r="AM344" s="327">
        <v>0</v>
      </c>
      <c r="AN344" s="410">
        <f t="shared" si="52"/>
        <v>0.10833333333333334</v>
      </c>
      <c r="AO344" s="345" t="e">
        <f>+([1]!Tabla1[[#This Row],[ponderacion_accion]]/10%)*AQ344</f>
        <v>#REF!</v>
      </c>
      <c r="AP344" s="345" t="e">
        <f>Tabla1[[#This Row],[ponderacion_meta]]*AO344</f>
        <v>#REF!</v>
      </c>
      <c r="AQ344" s="357"/>
      <c r="AR344" s="379">
        <v>0</v>
      </c>
      <c r="AS344" s="9"/>
      <c r="AT344" s="521">
        <v>0</v>
      </c>
    </row>
    <row r="345" spans="1:46" ht="15" customHeight="1" x14ac:dyDescent="0.35">
      <c r="A345" s="236" t="s">
        <v>1151</v>
      </c>
      <c r="B345" s="400" t="s">
        <v>567</v>
      </c>
      <c r="C345" s="399" t="s">
        <v>1720</v>
      </c>
      <c r="D345" s="237" t="s">
        <v>1164</v>
      </c>
      <c r="E345" s="179" t="s">
        <v>650</v>
      </c>
      <c r="F345" s="176" t="s">
        <v>2610</v>
      </c>
      <c r="G345" s="160" t="s">
        <v>651</v>
      </c>
      <c r="H345" s="160" t="s">
        <v>1744</v>
      </c>
      <c r="I345" s="14" t="s">
        <v>704</v>
      </c>
      <c r="J345" s="265">
        <v>1.1627999999999999E-2</v>
      </c>
      <c r="K345" s="26" t="s">
        <v>705</v>
      </c>
      <c r="L345" s="127">
        <v>1562800000</v>
      </c>
      <c r="M345" s="127">
        <v>0</v>
      </c>
      <c r="N345" s="435"/>
      <c r="O345" s="435" t="s">
        <v>1753</v>
      </c>
      <c r="P345" s="185">
        <v>0.25</v>
      </c>
      <c r="Q345" s="186">
        <v>0.25</v>
      </c>
      <c r="R345" s="186">
        <v>0.25</v>
      </c>
      <c r="S345" s="186">
        <v>0.25</v>
      </c>
      <c r="T345" s="186" t="s">
        <v>1514</v>
      </c>
      <c r="U345" s="52" t="s">
        <v>706</v>
      </c>
      <c r="V345" s="15">
        <v>0.2</v>
      </c>
      <c r="W345" s="26" t="s">
        <v>45</v>
      </c>
      <c r="X345" s="26"/>
      <c r="Y345" s="14" t="s">
        <v>2587</v>
      </c>
      <c r="Z345" s="26" t="s">
        <v>2091</v>
      </c>
      <c r="AA345" s="239">
        <f t="shared" si="49"/>
        <v>2.3256000000000001E-3</v>
      </c>
      <c r="AB345" s="253">
        <f>+Tabla1[[#This Row],[ponderacion_meta]]*Tabla1[[#This Row],[ponderacion_accion]]</f>
        <v>2.3256000000000001E-3</v>
      </c>
      <c r="AC345" s="262">
        <f>+(Tabla1[[#This Row],[Avance PDI]]*100%)/Tabla1[[#This Row],[ponderacion_meta]]</f>
        <v>0.2</v>
      </c>
      <c r="AD345" s="257">
        <f>+Tabla1[[#This Row],[ponderacion_meta]]*Tabla1[[#This Row],[proyeccion_año1]]</f>
        <v>2.9069999999999999E-3</v>
      </c>
      <c r="AE345" s="257">
        <f>+Tabla1[[#This Row],[ponderacion_meta]]*Tabla1[[#This Row],[proyeccion_año2]]</f>
        <v>2.9069999999999999E-3</v>
      </c>
      <c r="AF345" s="257">
        <f>+Tabla1[[#This Row],[ponderacion_meta]]*Tabla1[[#This Row],[proyeccion_año3]]</f>
        <v>2.9069999999999999E-3</v>
      </c>
      <c r="AG345" s="257">
        <f>+Tabla1[[#This Row],[ponderacion_meta]]*Tabla1[[#This Row],[proyeccion_año4]]</f>
        <v>2.9069999999999999E-3</v>
      </c>
      <c r="AH345" s="396">
        <f t="shared" si="54"/>
        <v>2.6596669999999999E-2</v>
      </c>
      <c r="AI345" s="396">
        <f t="shared" si="55"/>
        <v>8.2625000000000032E-2</v>
      </c>
      <c r="AJ345" s="317">
        <f t="shared" si="53"/>
        <v>8.2625000000000032E-2</v>
      </c>
      <c r="AK345" s="387">
        <v>9.7257000000000003E-3</v>
      </c>
      <c r="AL345" s="406">
        <f t="shared" si="51"/>
        <v>8.1250000000000003E-2</v>
      </c>
      <c r="AM345" s="327">
        <v>0</v>
      </c>
      <c r="AN345" s="410">
        <f t="shared" si="52"/>
        <v>0.10833333333333334</v>
      </c>
      <c r="AO345" s="358" t="e">
        <f>+([1]!Tabla1[[#This Row],[ponderacion_accion]]/4)*AQ345</f>
        <v>#REF!</v>
      </c>
      <c r="AP345" s="358" t="e">
        <f>Tabla1[[#This Row],[ponderacion_meta]]*AO345</f>
        <v>#REF!</v>
      </c>
      <c r="AQ345" s="361">
        <v>4</v>
      </c>
      <c r="AR345" s="380">
        <v>322358860</v>
      </c>
      <c r="AS345" s="7" t="e">
        <f>+((SUM(AO345:AO347)*100)/100)</f>
        <v>#REF!</v>
      </c>
      <c r="AT345" s="521">
        <v>0</v>
      </c>
    </row>
    <row r="346" spans="1:46" ht="15" customHeight="1" x14ac:dyDescent="0.35">
      <c r="A346" s="236" t="s">
        <v>1151</v>
      </c>
      <c r="B346" s="400" t="s">
        <v>567</v>
      </c>
      <c r="C346" s="399" t="s">
        <v>1720</v>
      </c>
      <c r="D346" s="237" t="s">
        <v>1164</v>
      </c>
      <c r="E346" s="179" t="s">
        <v>650</v>
      </c>
      <c r="F346" s="176" t="s">
        <v>2610</v>
      </c>
      <c r="G346" s="160" t="s">
        <v>651</v>
      </c>
      <c r="H346" s="160" t="s">
        <v>1744</v>
      </c>
      <c r="I346" s="19" t="s">
        <v>704</v>
      </c>
      <c r="J346" s="267">
        <v>1.1627999999999999E-2</v>
      </c>
      <c r="K346" s="98" t="s">
        <v>705</v>
      </c>
      <c r="L346" s="134">
        <v>1562800000</v>
      </c>
      <c r="M346" s="134">
        <v>0</v>
      </c>
      <c r="N346" s="442"/>
      <c r="O346" s="442" t="s">
        <v>1753</v>
      </c>
      <c r="P346" s="204">
        <v>0.25</v>
      </c>
      <c r="Q346" s="205">
        <v>0.25</v>
      </c>
      <c r="R346" s="205">
        <v>0.25</v>
      </c>
      <c r="S346" s="205">
        <v>0.25</v>
      </c>
      <c r="T346" s="205" t="s">
        <v>1515</v>
      </c>
      <c r="U346" s="52" t="s">
        <v>707</v>
      </c>
      <c r="V346" s="15">
        <v>0.2</v>
      </c>
      <c r="W346" s="26" t="s">
        <v>691</v>
      </c>
      <c r="X346" s="26"/>
      <c r="Y346" s="14" t="s">
        <v>2587</v>
      </c>
      <c r="Z346" s="98" t="s">
        <v>2091</v>
      </c>
      <c r="AA346" s="239">
        <f t="shared" si="49"/>
        <v>2.3256000000000001E-3</v>
      </c>
      <c r="AB346" s="252">
        <v>0</v>
      </c>
      <c r="AC346" s="262">
        <f>+(Tabla1[[#This Row],[Avance PDI]]*100%)/Tabla1[[#This Row],[ponderacion_meta]]</f>
        <v>0</v>
      </c>
      <c r="AD346" s="257">
        <v>2.9069999999999999E-3</v>
      </c>
      <c r="AE346" s="257">
        <v>2.9069999999999999E-3</v>
      </c>
      <c r="AF346" s="257">
        <v>2.9069999999999999E-3</v>
      </c>
      <c r="AG346" s="257">
        <v>2.9069999999999999E-3</v>
      </c>
      <c r="AH346" s="396">
        <f t="shared" si="54"/>
        <v>2.6596669999999999E-2</v>
      </c>
      <c r="AI346" s="396">
        <f t="shared" si="55"/>
        <v>8.2625000000000032E-2</v>
      </c>
      <c r="AJ346" s="317">
        <f t="shared" si="53"/>
        <v>8.2625000000000032E-2</v>
      </c>
      <c r="AK346" s="387">
        <v>9.7257000000000003E-3</v>
      </c>
      <c r="AL346" s="406">
        <f t="shared" si="51"/>
        <v>8.1250000000000003E-2</v>
      </c>
      <c r="AM346" s="327">
        <v>0</v>
      </c>
      <c r="AN346" s="410">
        <f t="shared" si="52"/>
        <v>0.10833333333333334</v>
      </c>
      <c r="AO346" s="359" t="e">
        <f>+([1]!Tabla1[[#This Row],[ponderacion_accion]]/4)*AQ346</f>
        <v>#REF!</v>
      </c>
      <c r="AP346" s="359" t="e">
        <f>Tabla1[[#This Row],[ponderacion_meta]]*AO346</f>
        <v>#REF!</v>
      </c>
      <c r="AQ346" s="351"/>
      <c r="AR346" s="380">
        <v>0</v>
      </c>
      <c r="AS346" s="9"/>
      <c r="AT346" s="521">
        <v>0</v>
      </c>
    </row>
    <row r="347" spans="1:46" ht="15" customHeight="1" x14ac:dyDescent="0.35">
      <c r="A347" s="236" t="s">
        <v>1151</v>
      </c>
      <c r="B347" s="400" t="s">
        <v>567</v>
      </c>
      <c r="C347" s="399" t="s">
        <v>1720</v>
      </c>
      <c r="D347" s="237" t="s">
        <v>1164</v>
      </c>
      <c r="E347" s="179" t="s">
        <v>650</v>
      </c>
      <c r="F347" s="176" t="s">
        <v>2610</v>
      </c>
      <c r="G347" s="160" t="s">
        <v>651</v>
      </c>
      <c r="H347" s="160" t="s">
        <v>1744</v>
      </c>
      <c r="I347" s="19" t="s">
        <v>704</v>
      </c>
      <c r="J347" s="267">
        <v>1.1627999999999999E-2</v>
      </c>
      <c r="K347" s="98" t="s">
        <v>705</v>
      </c>
      <c r="L347" s="134">
        <v>1562800000</v>
      </c>
      <c r="M347" s="134">
        <v>0</v>
      </c>
      <c r="N347" s="442"/>
      <c r="O347" s="442" t="s">
        <v>1753</v>
      </c>
      <c r="P347" s="204">
        <v>0.25</v>
      </c>
      <c r="Q347" s="205">
        <v>0.25</v>
      </c>
      <c r="R347" s="205">
        <v>0.25</v>
      </c>
      <c r="S347" s="205">
        <v>0.25</v>
      </c>
      <c r="T347" s="205" t="s">
        <v>1516</v>
      </c>
      <c r="U347" s="52" t="s">
        <v>708</v>
      </c>
      <c r="V347" s="15">
        <v>0.6</v>
      </c>
      <c r="W347" s="26" t="s">
        <v>709</v>
      </c>
      <c r="X347" s="26"/>
      <c r="Y347" s="14" t="s">
        <v>2587</v>
      </c>
      <c r="Z347" s="98" t="s">
        <v>2091</v>
      </c>
      <c r="AA347" s="239">
        <f t="shared" si="49"/>
        <v>6.9767999999999991E-3</v>
      </c>
      <c r="AB347" s="252">
        <v>0</v>
      </c>
      <c r="AC347" s="262">
        <f>+(Tabla1[[#This Row],[Avance PDI]]*100%)/Tabla1[[#This Row],[ponderacion_meta]]</f>
        <v>0</v>
      </c>
      <c r="AD347" s="257">
        <v>2.9069999999999999E-3</v>
      </c>
      <c r="AE347" s="257">
        <v>2.9069999999999999E-3</v>
      </c>
      <c r="AF347" s="257">
        <v>2.9069999999999999E-3</v>
      </c>
      <c r="AG347" s="257">
        <v>2.9069999999999999E-3</v>
      </c>
      <c r="AH347" s="396">
        <f t="shared" si="54"/>
        <v>2.6596669999999999E-2</v>
      </c>
      <c r="AI347" s="396">
        <f t="shared" si="55"/>
        <v>8.2625000000000032E-2</v>
      </c>
      <c r="AJ347" s="317">
        <f t="shared" si="53"/>
        <v>8.2625000000000032E-2</v>
      </c>
      <c r="AK347" s="387">
        <v>9.7257000000000003E-3</v>
      </c>
      <c r="AL347" s="406">
        <f t="shared" si="51"/>
        <v>8.1250000000000003E-2</v>
      </c>
      <c r="AM347" s="327">
        <v>0</v>
      </c>
      <c r="AN347" s="410">
        <f t="shared" si="52"/>
        <v>0.10833333333333334</v>
      </c>
      <c r="AO347" s="360" t="e">
        <f>+([1]!Tabla1[[#This Row],[ponderacion_accion]]/4)*AQ347</f>
        <v>#REF!</v>
      </c>
      <c r="AP347" s="360" t="e">
        <f>Tabla1[[#This Row],[ponderacion_meta]]*AO347</f>
        <v>#REF!</v>
      </c>
      <c r="AQ347" s="356"/>
      <c r="AR347" s="380">
        <v>0</v>
      </c>
      <c r="AS347" s="9"/>
      <c r="AT347" s="521">
        <v>0</v>
      </c>
    </row>
    <row r="348" spans="1:46" ht="15" customHeight="1" x14ac:dyDescent="0.35">
      <c r="A348" s="236" t="s">
        <v>1151</v>
      </c>
      <c r="B348" s="400" t="s">
        <v>567</v>
      </c>
      <c r="C348" s="399" t="s">
        <v>1720</v>
      </c>
      <c r="D348" s="237" t="s">
        <v>1164</v>
      </c>
      <c r="E348" s="179" t="s">
        <v>650</v>
      </c>
      <c r="F348" s="176" t="s">
        <v>2610</v>
      </c>
      <c r="G348" s="160" t="s">
        <v>651</v>
      </c>
      <c r="H348" s="160" t="s">
        <v>1744</v>
      </c>
      <c r="I348" s="23" t="s">
        <v>710</v>
      </c>
      <c r="J348" s="264">
        <v>6.4939999999999998E-3</v>
      </c>
      <c r="K348" s="28" t="s">
        <v>711</v>
      </c>
      <c r="L348" s="128">
        <v>1599919940</v>
      </c>
      <c r="M348" s="128">
        <v>0</v>
      </c>
      <c r="N348" s="436"/>
      <c r="O348" s="436" t="s">
        <v>1753</v>
      </c>
      <c r="P348" s="183">
        <v>0.25</v>
      </c>
      <c r="Q348" s="184">
        <v>0.25</v>
      </c>
      <c r="R348" s="184">
        <v>0.25</v>
      </c>
      <c r="S348" s="184">
        <v>0.25</v>
      </c>
      <c r="T348" s="184" t="s">
        <v>1517</v>
      </c>
      <c r="U348" s="53" t="s">
        <v>712</v>
      </c>
      <c r="V348" s="25">
        <v>0.2</v>
      </c>
      <c r="W348" s="24" t="s">
        <v>45</v>
      </c>
      <c r="X348" s="24"/>
      <c r="Y348" s="23" t="s">
        <v>2587</v>
      </c>
      <c r="Z348" s="24" t="s">
        <v>2091</v>
      </c>
      <c r="AA348" s="238">
        <f t="shared" si="49"/>
        <v>1.2988000000000001E-3</v>
      </c>
      <c r="AB348" s="254">
        <f>+Tabla1[[#This Row],[ponderacion_meta]]*Tabla1[[#This Row],[ponderacion_accion]]</f>
        <v>1.2988000000000001E-3</v>
      </c>
      <c r="AC348" s="278">
        <f>+(Tabla1[[#This Row],[Avance PDI]]*100%)/Tabla1[[#This Row],[ponderacion_meta]]</f>
        <v>0.20000000000000004</v>
      </c>
      <c r="AD348" s="279">
        <f>+Tabla1[[#This Row],[ponderacion_meta]]*Tabla1[[#This Row],[proyeccion_año1]]</f>
        <v>1.6234999999999999E-3</v>
      </c>
      <c r="AE348" s="279">
        <f>+Tabla1[[#This Row],[ponderacion_meta]]*Tabla1[[#This Row],[proyeccion_año2]]</f>
        <v>1.6234999999999999E-3</v>
      </c>
      <c r="AF348" s="279">
        <f>+Tabla1[[#This Row],[ponderacion_meta]]*Tabla1[[#This Row],[proyeccion_año3]]</f>
        <v>1.6234999999999999E-3</v>
      </c>
      <c r="AG348" s="279">
        <f>+Tabla1[[#This Row],[ponderacion_meta]]*Tabla1[[#This Row],[proyeccion_año4]]</f>
        <v>1.6234999999999999E-3</v>
      </c>
      <c r="AH348" s="396">
        <f t="shared" si="54"/>
        <v>2.6596669999999999E-2</v>
      </c>
      <c r="AI348" s="396">
        <f t="shared" si="55"/>
        <v>8.2625000000000032E-2</v>
      </c>
      <c r="AJ348" s="317">
        <f t="shared" si="53"/>
        <v>8.2625000000000032E-2</v>
      </c>
      <c r="AK348" s="387">
        <v>9.7257000000000003E-3</v>
      </c>
      <c r="AL348" s="406">
        <f t="shared" si="51"/>
        <v>8.1250000000000003E-2</v>
      </c>
      <c r="AM348" s="327">
        <v>0</v>
      </c>
      <c r="AN348" s="410">
        <f t="shared" si="52"/>
        <v>0.10833333333333334</v>
      </c>
      <c r="AO348" s="343" t="e">
        <f>+([1]!Tabla1[[#This Row],[ponderacion_accion]]/4)*AQ348</f>
        <v>#REF!</v>
      </c>
      <c r="AP348" s="343" t="e">
        <f>Tabla1[[#This Row],[ponderacion_meta]]*AO348</f>
        <v>#REF!</v>
      </c>
      <c r="AQ348" s="353">
        <v>4</v>
      </c>
      <c r="AR348" s="377">
        <v>0</v>
      </c>
      <c r="AS348" s="7" t="e">
        <f>+((SUM(AO348:AO350)*100)/40)</f>
        <v>#REF!</v>
      </c>
      <c r="AT348" s="521">
        <v>0</v>
      </c>
    </row>
    <row r="349" spans="1:46" ht="15" customHeight="1" x14ac:dyDescent="0.35">
      <c r="A349" s="236" t="s">
        <v>1151</v>
      </c>
      <c r="B349" s="400" t="s">
        <v>567</v>
      </c>
      <c r="C349" s="399" t="s">
        <v>1720</v>
      </c>
      <c r="D349" s="237" t="s">
        <v>1164</v>
      </c>
      <c r="E349" s="179" t="s">
        <v>650</v>
      </c>
      <c r="F349" s="176" t="s">
        <v>2610</v>
      </c>
      <c r="G349" s="160" t="s">
        <v>651</v>
      </c>
      <c r="H349" s="160" t="s">
        <v>1744</v>
      </c>
      <c r="I349" s="30" t="s">
        <v>710</v>
      </c>
      <c r="J349" s="266">
        <v>6.4939999999999998E-3</v>
      </c>
      <c r="K349" s="28" t="s">
        <v>711</v>
      </c>
      <c r="L349" s="126">
        <v>1599919940</v>
      </c>
      <c r="M349" s="126">
        <v>0</v>
      </c>
      <c r="N349" s="434"/>
      <c r="O349" s="434" t="s">
        <v>1753</v>
      </c>
      <c r="P349" s="213">
        <v>0.25</v>
      </c>
      <c r="Q349" s="214">
        <v>0.25</v>
      </c>
      <c r="R349" s="214">
        <v>0.25</v>
      </c>
      <c r="S349" s="214">
        <v>0.25</v>
      </c>
      <c r="T349" s="214" t="s">
        <v>1518</v>
      </c>
      <c r="U349" s="53" t="s">
        <v>713</v>
      </c>
      <c r="V349" s="25">
        <v>0.2</v>
      </c>
      <c r="W349" s="24" t="s">
        <v>714</v>
      </c>
      <c r="X349" s="24"/>
      <c r="Y349" s="23" t="s">
        <v>2587</v>
      </c>
      <c r="Z349" s="28" t="s">
        <v>2091</v>
      </c>
      <c r="AA349" s="238">
        <f t="shared" si="49"/>
        <v>1.2988000000000001E-3</v>
      </c>
      <c r="AB349" s="252">
        <v>0</v>
      </c>
      <c r="AC349" s="278">
        <f>+(Tabla1[[#This Row],[Avance PDI]]*100%)/Tabla1[[#This Row],[ponderacion_meta]]</f>
        <v>0</v>
      </c>
      <c r="AD349" s="279">
        <v>1.6234999999999999E-3</v>
      </c>
      <c r="AE349" s="279">
        <v>1.6234999999999999E-3</v>
      </c>
      <c r="AF349" s="279">
        <v>1.6234999999999999E-3</v>
      </c>
      <c r="AG349" s="279">
        <v>1.6234999999999999E-3</v>
      </c>
      <c r="AH349" s="396">
        <f t="shared" si="54"/>
        <v>2.6596669999999999E-2</v>
      </c>
      <c r="AI349" s="396">
        <f t="shared" si="55"/>
        <v>8.2625000000000032E-2</v>
      </c>
      <c r="AJ349" s="317">
        <f t="shared" si="53"/>
        <v>8.2625000000000032E-2</v>
      </c>
      <c r="AK349" s="387">
        <v>9.7257000000000003E-3</v>
      </c>
      <c r="AL349" s="406">
        <f t="shared" si="51"/>
        <v>8.1250000000000003E-2</v>
      </c>
      <c r="AM349" s="327">
        <v>0</v>
      </c>
      <c r="AN349" s="410">
        <f t="shared" si="52"/>
        <v>0.10833333333333334</v>
      </c>
      <c r="AO349" s="344" t="e">
        <f>+([1]!Tabla1[[#This Row],[ponderacion_accion]]/4)*AQ349</f>
        <v>#REF!</v>
      </c>
      <c r="AP349" s="344" t="e">
        <f>Tabla1[[#This Row],[ponderacion_meta]]*AO349</f>
        <v>#REF!</v>
      </c>
      <c r="AQ349" s="354"/>
      <c r="AR349" s="378">
        <v>0</v>
      </c>
      <c r="AS349" s="9"/>
      <c r="AT349" s="521">
        <v>0</v>
      </c>
    </row>
    <row r="350" spans="1:46" ht="15" customHeight="1" x14ac:dyDescent="0.35">
      <c r="A350" s="236" t="s">
        <v>1151</v>
      </c>
      <c r="B350" s="400" t="s">
        <v>567</v>
      </c>
      <c r="C350" s="399" t="s">
        <v>1720</v>
      </c>
      <c r="D350" s="237" t="s">
        <v>1164</v>
      </c>
      <c r="E350" s="179" t="s">
        <v>650</v>
      </c>
      <c r="F350" s="176" t="s">
        <v>2610</v>
      </c>
      <c r="G350" s="160" t="s">
        <v>651</v>
      </c>
      <c r="H350" s="160" t="s">
        <v>1744</v>
      </c>
      <c r="I350" s="30" t="s">
        <v>710</v>
      </c>
      <c r="J350" s="266">
        <v>6.4939999999999998E-3</v>
      </c>
      <c r="K350" s="28" t="s">
        <v>711</v>
      </c>
      <c r="L350" s="126">
        <v>1599919940</v>
      </c>
      <c r="M350" s="126">
        <v>0</v>
      </c>
      <c r="N350" s="434"/>
      <c r="O350" s="434" t="s">
        <v>1753</v>
      </c>
      <c r="P350" s="213">
        <v>0.25</v>
      </c>
      <c r="Q350" s="214">
        <v>0.25</v>
      </c>
      <c r="R350" s="214">
        <v>0.25</v>
      </c>
      <c r="S350" s="214">
        <v>0.25</v>
      </c>
      <c r="T350" s="214" t="s">
        <v>1519</v>
      </c>
      <c r="U350" s="53" t="s">
        <v>715</v>
      </c>
      <c r="V350" s="25">
        <v>0.6</v>
      </c>
      <c r="W350" s="24" t="s">
        <v>86</v>
      </c>
      <c r="X350" s="24"/>
      <c r="Y350" s="23" t="s">
        <v>2588</v>
      </c>
      <c r="Z350" s="28" t="s">
        <v>2091</v>
      </c>
      <c r="AA350" s="238">
        <f t="shared" si="49"/>
        <v>3.8963999999999995E-3</v>
      </c>
      <c r="AB350" s="252">
        <v>0</v>
      </c>
      <c r="AC350" s="278">
        <f>+(Tabla1[[#This Row],[Avance PDI]]*100%)/Tabla1[[#This Row],[ponderacion_meta]]</f>
        <v>0</v>
      </c>
      <c r="AD350" s="279">
        <v>1.6234999999999999E-3</v>
      </c>
      <c r="AE350" s="279">
        <v>1.6234999999999999E-3</v>
      </c>
      <c r="AF350" s="279">
        <v>1.6234999999999999E-3</v>
      </c>
      <c r="AG350" s="279">
        <v>1.6234999999999999E-3</v>
      </c>
      <c r="AH350" s="396">
        <f t="shared" si="54"/>
        <v>2.6596669999999999E-2</v>
      </c>
      <c r="AI350" s="396">
        <f t="shared" si="55"/>
        <v>8.2625000000000032E-2</v>
      </c>
      <c r="AJ350" s="317">
        <f t="shared" si="53"/>
        <v>8.2625000000000032E-2</v>
      </c>
      <c r="AK350" s="387">
        <v>9.7257000000000003E-3</v>
      </c>
      <c r="AL350" s="406">
        <f t="shared" si="51"/>
        <v>8.1250000000000003E-2</v>
      </c>
      <c r="AM350" s="327">
        <v>0</v>
      </c>
      <c r="AN350" s="410">
        <f t="shared" si="52"/>
        <v>0.10833333333333334</v>
      </c>
      <c r="AO350" s="345" t="e">
        <f>+([1]!Tabla1[[#This Row],[ponderacion_accion]]/4)*AQ350</f>
        <v>#REF!</v>
      </c>
      <c r="AP350" s="345" t="e">
        <f>Tabla1[[#This Row],[ponderacion_meta]]*AO350</f>
        <v>#REF!</v>
      </c>
      <c r="AQ350" s="357"/>
      <c r="AR350" s="379">
        <v>0</v>
      </c>
      <c r="AS350" s="9"/>
      <c r="AT350" s="521">
        <v>0</v>
      </c>
    </row>
    <row r="351" spans="1:46" ht="15" customHeight="1" x14ac:dyDescent="0.35">
      <c r="A351" s="236" t="s">
        <v>1151</v>
      </c>
      <c r="B351" s="400" t="s">
        <v>567</v>
      </c>
      <c r="C351" s="399" t="s">
        <v>1720</v>
      </c>
      <c r="D351" s="237" t="s">
        <v>1164</v>
      </c>
      <c r="E351" s="179" t="s">
        <v>650</v>
      </c>
      <c r="F351" s="176" t="s">
        <v>2610</v>
      </c>
      <c r="G351" s="160" t="s">
        <v>651</v>
      </c>
      <c r="H351" s="160" t="s">
        <v>1744</v>
      </c>
      <c r="I351" s="14" t="s">
        <v>716</v>
      </c>
      <c r="J351" s="265">
        <v>6.4939999999999998E-3</v>
      </c>
      <c r="K351" s="26" t="s">
        <v>717</v>
      </c>
      <c r="L351" s="127">
        <v>150000000</v>
      </c>
      <c r="M351" s="127">
        <v>0</v>
      </c>
      <c r="N351" s="435"/>
      <c r="O351" s="435" t="s">
        <v>1753</v>
      </c>
      <c r="P351" s="185">
        <v>0</v>
      </c>
      <c r="Q351" s="186">
        <v>0.3</v>
      </c>
      <c r="R351" s="186">
        <v>0.3</v>
      </c>
      <c r="S351" s="186">
        <v>0.4</v>
      </c>
      <c r="T351" s="186" t="s">
        <v>1520</v>
      </c>
      <c r="U351" s="52" t="s">
        <v>718</v>
      </c>
      <c r="V351" s="15">
        <v>0.1</v>
      </c>
      <c r="W351" s="26" t="s">
        <v>310</v>
      </c>
      <c r="X351" s="26"/>
      <c r="Y351" s="14" t="s">
        <v>2587</v>
      </c>
      <c r="Z351" s="500" t="s">
        <v>2572</v>
      </c>
      <c r="AA351" s="239">
        <f t="shared" si="49"/>
        <v>6.4940000000000006E-4</v>
      </c>
      <c r="AB351" s="252">
        <v>0</v>
      </c>
      <c r="AC351" s="262">
        <f>+(Tabla1[[#This Row],[Avance PDI]]*100%)/Tabla1[[#This Row],[ponderacion_meta]]</f>
        <v>0</v>
      </c>
      <c r="AD351" s="257">
        <f>+Tabla1[[#This Row],[ponderacion_meta]]*Tabla1[[#This Row],[proyeccion_año1]]</f>
        <v>0</v>
      </c>
      <c r="AE351" s="257">
        <f>+Tabla1[[#This Row],[ponderacion_meta]]*Tabla1[[#This Row],[proyeccion_año2]]</f>
        <v>1.9481999999999998E-3</v>
      </c>
      <c r="AF351" s="257">
        <f>+Tabla1[[#This Row],[ponderacion_meta]]*Tabla1[[#This Row],[proyeccion_año3]]</f>
        <v>1.9481999999999998E-3</v>
      </c>
      <c r="AG351" s="257">
        <f>+Tabla1[[#This Row],[ponderacion_meta]]*Tabla1[[#This Row],[proyeccion_año4]]</f>
        <v>2.5976000000000003E-3</v>
      </c>
      <c r="AH351" s="396">
        <f t="shared" si="54"/>
        <v>2.6596669999999999E-2</v>
      </c>
      <c r="AI351" s="396">
        <f t="shared" si="55"/>
        <v>8.2625000000000032E-2</v>
      </c>
      <c r="AJ351" s="317">
        <f t="shared" si="53"/>
        <v>8.2625000000000032E-2</v>
      </c>
      <c r="AK351" s="387">
        <v>9.7257000000000003E-3</v>
      </c>
      <c r="AL351" s="406">
        <f t="shared" si="51"/>
        <v>8.1250000000000003E-2</v>
      </c>
      <c r="AM351" s="327">
        <v>0</v>
      </c>
      <c r="AN351" s="410">
        <f t="shared" si="52"/>
        <v>0.10833333333333334</v>
      </c>
      <c r="AO351" s="358" t="e">
        <f>+([1]!Tabla1[[#This Row],[ponderacion_accion]]/10%)*AQ351</f>
        <v>#REF!</v>
      </c>
      <c r="AP351" s="335" t="e">
        <f>Tabla1[[#This Row],[ponderacion_meta]]*AO351</f>
        <v>#REF!</v>
      </c>
      <c r="AQ351" s="361"/>
      <c r="AR351" s="380">
        <v>0</v>
      </c>
      <c r="AS351" s="7" t="e">
        <f>+((SUM(AO351:AO354)*100)/20)</f>
        <v>#REF!</v>
      </c>
      <c r="AT351" s="521">
        <v>0</v>
      </c>
    </row>
    <row r="352" spans="1:46" ht="15" customHeight="1" x14ac:dyDescent="0.35">
      <c r="A352" s="236" t="s">
        <v>1151</v>
      </c>
      <c r="B352" s="400" t="s">
        <v>567</v>
      </c>
      <c r="C352" s="399" t="s">
        <v>1720</v>
      </c>
      <c r="D352" s="237" t="s">
        <v>1164</v>
      </c>
      <c r="E352" s="179" t="s">
        <v>650</v>
      </c>
      <c r="F352" s="176" t="s">
        <v>2610</v>
      </c>
      <c r="G352" s="160" t="s">
        <v>651</v>
      </c>
      <c r="H352" s="160" t="s">
        <v>1744</v>
      </c>
      <c r="I352" s="19" t="s">
        <v>716</v>
      </c>
      <c r="J352" s="267">
        <v>6.4939999999999998E-3</v>
      </c>
      <c r="K352" s="98" t="s">
        <v>717</v>
      </c>
      <c r="L352" s="134">
        <v>150000000</v>
      </c>
      <c r="M352" s="134">
        <v>0</v>
      </c>
      <c r="N352" s="442"/>
      <c r="O352" s="442" t="s">
        <v>1753</v>
      </c>
      <c r="P352" s="204">
        <v>0</v>
      </c>
      <c r="Q352" s="205">
        <v>0.3</v>
      </c>
      <c r="R352" s="205">
        <v>0.3</v>
      </c>
      <c r="S352" s="205">
        <v>0.4</v>
      </c>
      <c r="T352" s="205" t="s">
        <v>1521</v>
      </c>
      <c r="U352" s="52" t="s">
        <v>719</v>
      </c>
      <c r="V352" s="15">
        <v>0.1</v>
      </c>
      <c r="W352" s="26" t="s">
        <v>720</v>
      </c>
      <c r="X352" s="26"/>
      <c r="Y352" s="14" t="s">
        <v>2587</v>
      </c>
      <c r="Z352" s="500" t="s">
        <v>2572</v>
      </c>
      <c r="AA352" s="239">
        <f t="shared" si="49"/>
        <v>6.4940000000000006E-4</v>
      </c>
      <c r="AB352" s="252">
        <v>0</v>
      </c>
      <c r="AC352" s="262">
        <f>+(Tabla1[[#This Row],[Avance PDI]]*100%)/Tabla1[[#This Row],[ponderacion_meta]]</f>
        <v>0</v>
      </c>
      <c r="AD352" s="257">
        <v>0</v>
      </c>
      <c r="AE352" s="257">
        <v>1.9481999999999998E-3</v>
      </c>
      <c r="AF352" s="257">
        <v>1.9481999999999998E-3</v>
      </c>
      <c r="AG352" s="257">
        <v>2.5976000000000003E-3</v>
      </c>
      <c r="AH352" s="396">
        <f t="shared" si="54"/>
        <v>2.6596669999999999E-2</v>
      </c>
      <c r="AI352" s="396">
        <f t="shared" si="55"/>
        <v>8.2625000000000032E-2</v>
      </c>
      <c r="AJ352" s="317">
        <f t="shared" si="53"/>
        <v>8.2625000000000032E-2</v>
      </c>
      <c r="AK352" s="387">
        <v>9.7257000000000003E-3</v>
      </c>
      <c r="AL352" s="406">
        <f t="shared" si="51"/>
        <v>8.1250000000000003E-2</v>
      </c>
      <c r="AM352" s="327">
        <v>0</v>
      </c>
      <c r="AN352" s="410">
        <f t="shared" si="52"/>
        <v>0.10833333333333334</v>
      </c>
      <c r="AO352" s="359" t="e">
        <f>+([1]!Tabla1[[#This Row],[ponderacion_accion]]/10%)*AQ352</f>
        <v>#REF!</v>
      </c>
      <c r="AP352" s="335" t="e">
        <f>Tabla1[[#This Row],[ponderacion_meta]]*AO352</f>
        <v>#REF!</v>
      </c>
      <c r="AQ352" s="351"/>
      <c r="AR352" s="380">
        <v>0</v>
      </c>
      <c r="AS352" s="9"/>
      <c r="AT352" s="521">
        <v>0</v>
      </c>
    </row>
    <row r="353" spans="1:46" ht="15" customHeight="1" x14ac:dyDescent="0.35">
      <c r="A353" s="236" t="s">
        <v>1151</v>
      </c>
      <c r="B353" s="400" t="s">
        <v>567</v>
      </c>
      <c r="C353" s="399" t="s">
        <v>1720</v>
      </c>
      <c r="D353" s="237" t="s">
        <v>1164</v>
      </c>
      <c r="E353" s="179" t="s">
        <v>650</v>
      </c>
      <c r="F353" s="176" t="s">
        <v>2610</v>
      </c>
      <c r="G353" s="160" t="s">
        <v>651</v>
      </c>
      <c r="H353" s="160" t="s">
        <v>1744</v>
      </c>
      <c r="I353" s="19" t="s">
        <v>716</v>
      </c>
      <c r="J353" s="267">
        <v>6.4939999999999998E-3</v>
      </c>
      <c r="K353" s="98" t="s">
        <v>717</v>
      </c>
      <c r="L353" s="134">
        <v>150000000</v>
      </c>
      <c r="M353" s="134">
        <v>0</v>
      </c>
      <c r="N353" s="442"/>
      <c r="O353" s="442" t="s">
        <v>1753</v>
      </c>
      <c r="P353" s="204">
        <v>0</v>
      </c>
      <c r="Q353" s="205">
        <v>0.3</v>
      </c>
      <c r="R353" s="205">
        <v>0.3</v>
      </c>
      <c r="S353" s="205">
        <v>0.4</v>
      </c>
      <c r="T353" s="205" t="s">
        <v>1522</v>
      </c>
      <c r="U353" s="52" t="s">
        <v>721</v>
      </c>
      <c r="V353" s="15">
        <v>0.2</v>
      </c>
      <c r="W353" s="26" t="s">
        <v>722</v>
      </c>
      <c r="X353" s="26"/>
      <c r="Y353" s="14" t="s">
        <v>2588</v>
      </c>
      <c r="Z353" s="500" t="s">
        <v>2572</v>
      </c>
      <c r="AA353" s="239">
        <f t="shared" si="49"/>
        <v>1.2988000000000001E-3</v>
      </c>
      <c r="AB353" s="252">
        <v>0</v>
      </c>
      <c r="AC353" s="262">
        <f>+(Tabla1[[#This Row],[Avance PDI]]*100%)/Tabla1[[#This Row],[ponderacion_meta]]</f>
        <v>0</v>
      </c>
      <c r="AD353" s="257">
        <v>0</v>
      </c>
      <c r="AE353" s="257">
        <v>1.9481999999999998E-3</v>
      </c>
      <c r="AF353" s="257">
        <v>1.9481999999999998E-3</v>
      </c>
      <c r="AG353" s="257">
        <v>2.5976000000000003E-3</v>
      </c>
      <c r="AH353" s="396">
        <f t="shared" si="54"/>
        <v>2.6596669999999999E-2</v>
      </c>
      <c r="AI353" s="396">
        <f t="shared" si="55"/>
        <v>8.2625000000000032E-2</v>
      </c>
      <c r="AJ353" s="317">
        <f t="shared" si="53"/>
        <v>8.2625000000000032E-2</v>
      </c>
      <c r="AK353" s="387">
        <v>9.7257000000000003E-3</v>
      </c>
      <c r="AL353" s="406">
        <f t="shared" si="51"/>
        <v>8.1250000000000003E-2</v>
      </c>
      <c r="AM353" s="327">
        <v>0</v>
      </c>
      <c r="AN353" s="410">
        <f t="shared" si="52"/>
        <v>0.10833333333333334</v>
      </c>
      <c r="AO353" s="359" t="e">
        <f>+([1]!Tabla1[[#This Row],[ponderacion_accion]]/20%)*AQ353</f>
        <v>#REF!</v>
      </c>
      <c r="AP353" s="335" t="e">
        <f>Tabla1[[#This Row],[ponderacion_meta]]*AO353</f>
        <v>#REF!</v>
      </c>
      <c r="AQ353" s="351"/>
      <c r="AR353" s="380">
        <v>0</v>
      </c>
      <c r="AS353" s="9"/>
      <c r="AT353" s="521">
        <v>0</v>
      </c>
    </row>
    <row r="354" spans="1:46" ht="15" customHeight="1" x14ac:dyDescent="0.35">
      <c r="A354" s="236" t="s">
        <v>1151</v>
      </c>
      <c r="B354" s="400" t="s">
        <v>567</v>
      </c>
      <c r="C354" s="399" t="s">
        <v>1720</v>
      </c>
      <c r="D354" s="237" t="s">
        <v>1164</v>
      </c>
      <c r="E354" s="179" t="s">
        <v>650</v>
      </c>
      <c r="F354" s="176" t="s">
        <v>2610</v>
      </c>
      <c r="G354" s="160" t="s">
        <v>651</v>
      </c>
      <c r="H354" s="160" t="s">
        <v>1744</v>
      </c>
      <c r="I354" s="19" t="s">
        <v>716</v>
      </c>
      <c r="J354" s="267">
        <v>6.4939999999999998E-3</v>
      </c>
      <c r="K354" s="98" t="s">
        <v>717</v>
      </c>
      <c r="L354" s="134">
        <v>150000000</v>
      </c>
      <c r="M354" s="134">
        <v>0</v>
      </c>
      <c r="N354" s="442"/>
      <c r="O354" s="442" t="s">
        <v>1753</v>
      </c>
      <c r="P354" s="204">
        <v>0</v>
      </c>
      <c r="Q354" s="205">
        <v>0.3</v>
      </c>
      <c r="R354" s="205">
        <v>0.3</v>
      </c>
      <c r="S354" s="205">
        <v>0.4</v>
      </c>
      <c r="T354" s="205" t="s">
        <v>1523</v>
      </c>
      <c r="U354" s="52" t="s">
        <v>723</v>
      </c>
      <c r="V354" s="15">
        <v>0.6</v>
      </c>
      <c r="W354" s="26" t="s">
        <v>78</v>
      </c>
      <c r="X354" s="26"/>
      <c r="Y354" s="14" t="s">
        <v>2588</v>
      </c>
      <c r="Z354" s="500" t="s">
        <v>2572</v>
      </c>
      <c r="AA354" s="239">
        <f t="shared" si="49"/>
        <v>3.8963999999999995E-3</v>
      </c>
      <c r="AB354" s="252">
        <v>0</v>
      </c>
      <c r="AC354" s="262">
        <f>+(Tabla1[[#This Row],[Avance PDI]]*100%)/Tabla1[[#This Row],[ponderacion_meta]]</f>
        <v>0</v>
      </c>
      <c r="AD354" s="257">
        <v>0</v>
      </c>
      <c r="AE354" s="257">
        <v>1.9481999999999998E-3</v>
      </c>
      <c r="AF354" s="257">
        <v>1.9481999999999998E-3</v>
      </c>
      <c r="AG354" s="257">
        <v>2.5976000000000003E-3</v>
      </c>
      <c r="AH354" s="396">
        <f t="shared" si="54"/>
        <v>2.6596669999999999E-2</v>
      </c>
      <c r="AI354" s="396">
        <f t="shared" si="55"/>
        <v>8.2625000000000032E-2</v>
      </c>
      <c r="AJ354" s="317">
        <f t="shared" si="53"/>
        <v>8.2625000000000032E-2</v>
      </c>
      <c r="AK354" s="387">
        <v>9.7257000000000003E-3</v>
      </c>
      <c r="AL354" s="406">
        <f t="shared" si="51"/>
        <v>8.1250000000000003E-2</v>
      </c>
      <c r="AM354" s="327">
        <v>0</v>
      </c>
      <c r="AN354" s="410">
        <f t="shared" si="52"/>
        <v>0.10833333333333334</v>
      </c>
      <c r="AO354" s="360" t="e">
        <f>+([1]!Tabla1[[#This Row],[ponderacion_accion]]/60%)*AQ354</f>
        <v>#REF!</v>
      </c>
      <c r="AP354" s="335" t="e">
        <f>Tabla1[[#This Row],[ponderacion_meta]]*AO354</f>
        <v>#REF!</v>
      </c>
      <c r="AQ354" s="356"/>
      <c r="AR354" s="380">
        <v>0</v>
      </c>
      <c r="AS354" s="9"/>
      <c r="AT354" s="521">
        <v>0</v>
      </c>
    </row>
    <row r="355" spans="1:46" ht="15" customHeight="1" x14ac:dyDescent="0.35">
      <c r="A355" s="236" t="s">
        <v>1151</v>
      </c>
      <c r="B355" s="400" t="s">
        <v>567</v>
      </c>
      <c r="C355" s="399" t="s">
        <v>1720</v>
      </c>
      <c r="D355" s="237" t="s">
        <v>1164</v>
      </c>
      <c r="E355" s="179" t="s">
        <v>650</v>
      </c>
      <c r="F355" s="176" t="s">
        <v>2610</v>
      </c>
      <c r="G355" s="160" t="s">
        <v>651</v>
      </c>
      <c r="H355" s="160" t="s">
        <v>1744</v>
      </c>
      <c r="I355" s="23" t="s">
        <v>724</v>
      </c>
      <c r="J355" s="264">
        <v>6.4939999999999998E-3</v>
      </c>
      <c r="K355" s="24" t="s">
        <v>1138</v>
      </c>
      <c r="L355" s="128">
        <v>1500000000</v>
      </c>
      <c r="M355" s="128">
        <v>0</v>
      </c>
      <c r="N355" s="436"/>
      <c r="O355" s="436" t="s">
        <v>1753</v>
      </c>
      <c r="P355" s="183">
        <v>0</v>
      </c>
      <c r="Q355" s="184">
        <v>0.4</v>
      </c>
      <c r="R355" s="184">
        <v>0.4</v>
      </c>
      <c r="S355" s="184">
        <v>0.2</v>
      </c>
      <c r="T355" s="184" t="s">
        <v>1524</v>
      </c>
      <c r="U355" s="53" t="s">
        <v>1139</v>
      </c>
      <c r="V355" s="25">
        <v>0.1</v>
      </c>
      <c r="W355" s="24" t="s">
        <v>725</v>
      </c>
      <c r="X355" s="24"/>
      <c r="Y355" s="23" t="s">
        <v>2587</v>
      </c>
      <c r="Z355" s="490" t="s">
        <v>2573</v>
      </c>
      <c r="AA355" s="238">
        <f t="shared" si="49"/>
        <v>6.4940000000000006E-4</v>
      </c>
      <c r="AB355" s="252">
        <v>0</v>
      </c>
      <c r="AC355" s="278">
        <f>+(Tabla1[[#This Row],[Avance PDI]]*100%)/Tabla1[[#This Row],[ponderacion_meta]]</f>
        <v>0</v>
      </c>
      <c r="AD355" s="279">
        <f>+Tabla1[[#This Row],[ponderacion_meta]]*Tabla1[[#This Row],[proyeccion_año1]]</f>
        <v>0</v>
      </c>
      <c r="AE355" s="279">
        <f>+Tabla1[[#This Row],[ponderacion_meta]]*Tabla1[[#This Row],[proyeccion_año2]]</f>
        <v>2.5976000000000003E-3</v>
      </c>
      <c r="AF355" s="279">
        <f>+Tabla1[[#This Row],[ponderacion_meta]]*Tabla1[[#This Row],[proyeccion_año3]]</f>
        <v>2.5976000000000003E-3</v>
      </c>
      <c r="AG355" s="279">
        <f>+Tabla1[[#This Row],[ponderacion_meta]]*Tabla1[[#This Row],[proyeccion_año4]]</f>
        <v>1.2988000000000001E-3</v>
      </c>
      <c r="AH355" s="396">
        <f t="shared" si="54"/>
        <v>2.6596669999999999E-2</v>
      </c>
      <c r="AI355" s="396">
        <f t="shared" si="55"/>
        <v>8.2625000000000032E-2</v>
      </c>
      <c r="AJ355" s="317">
        <f t="shared" si="53"/>
        <v>8.2625000000000032E-2</v>
      </c>
      <c r="AK355" s="387">
        <v>9.7257000000000003E-3</v>
      </c>
      <c r="AL355" s="406">
        <f t="shared" si="51"/>
        <v>8.1250000000000003E-2</v>
      </c>
      <c r="AM355" s="327">
        <v>0</v>
      </c>
      <c r="AN355" s="410">
        <f t="shared" si="52"/>
        <v>0.10833333333333334</v>
      </c>
      <c r="AO355" s="343" t="e">
        <f>+([1]!Tabla1[[#This Row],[ponderacion_accion]]/10%)*AQ355</f>
        <v>#REF!</v>
      </c>
      <c r="AP355" s="343" t="e">
        <f>Tabla1[[#This Row],[ponderacion_meta]]*AO355</f>
        <v>#REF!</v>
      </c>
      <c r="AQ355" s="353"/>
      <c r="AR355" s="377">
        <v>0</v>
      </c>
      <c r="AS355" s="7" t="e">
        <f>+((SUM(AO355:AO359)*100)/20)</f>
        <v>#REF!</v>
      </c>
      <c r="AT355" s="521">
        <v>0</v>
      </c>
    </row>
    <row r="356" spans="1:46" ht="15" customHeight="1" x14ac:dyDescent="0.35">
      <c r="A356" s="236" t="s">
        <v>1151</v>
      </c>
      <c r="B356" s="400" t="s">
        <v>567</v>
      </c>
      <c r="C356" s="399" t="s">
        <v>1720</v>
      </c>
      <c r="D356" s="237" t="s">
        <v>1164</v>
      </c>
      <c r="E356" s="179" t="s">
        <v>650</v>
      </c>
      <c r="F356" s="176" t="s">
        <v>2610</v>
      </c>
      <c r="G356" s="160" t="s">
        <v>651</v>
      </c>
      <c r="H356" s="160" t="s">
        <v>1744</v>
      </c>
      <c r="I356" s="30" t="s">
        <v>724</v>
      </c>
      <c r="J356" s="266">
        <v>6.4939999999999998E-3</v>
      </c>
      <c r="K356" s="28" t="s">
        <v>1138</v>
      </c>
      <c r="L356" s="126">
        <v>1500000000</v>
      </c>
      <c r="M356" s="126">
        <v>0</v>
      </c>
      <c r="N356" s="434"/>
      <c r="O356" s="434" t="s">
        <v>1753</v>
      </c>
      <c r="P356" s="213">
        <v>0</v>
      </c>
      <c r="Q356" s="214">
        <v>0.4</v>
      </c>
      <c r="R356" s="214">
        <v>0.4</v>
      </c>
      <c r="S356" s="214">
        <v>0.2</v>
      </c>
      <c r="T356" s="214" t="s">
        <v>1525</v>
      </c>
      <c r="U356" s="53" t="s">
        <v>726</v>
      </c>
      <c r="V356" s="25">
        <v>0.1</v>
      </c>
      <c r="W356" s="24" t="s">
        <v>727</v>
      </c>
      <c r="X356" s="24"/>
      <c r="Y356" s="23" t="s">
        <v>2587</v>
      </c>
      <c r="Z356" s="490" t="s">
        <v>2573</v>
      </c>
      <c r="AA356" s="238">
        <f t="shared" ref="AA356:AA419" si="56">+J356*V356</f>
        <v>6.4940000000000006E-4</v>
      </c>
      <c r="AB356" s="252">
        <v>0</v>
      </c>
      <c r="AC356" s="278">
        <f>+(Tabla1[[#This Row],[Avance PDI]]*100%)/Tabla1[[#This Row],[ponderacion_meta]]</f>
        <v>0</v>
      </c>
      <c r="AD356" s="279">
        <v>0</v>
      </c>
      <c r="AE356" s="279">
        <v>2.5976000000000003E-3</v>
      </c>
      <c r="AF356" s="279">
        <v>2.5976000000000003E-3</v>
      </c>
      <c r="AG356" s="279">
        <v>1.2988000000000001E-3</v>
      </c>
      <c r="AH356" s="396">
        <f t="shared" si="54"/>
        <v>2.6596669999999999E-2</v>
      </c>
      <c r="AI356" s="396">
        <f t="shared" si="55"/>
        <v>8.2625000000000032E-2</v>
      </c>
      <c r="AJ356" s="317">
        <f t="shared" si="53"/>
        <v>8.2625000000000032E-2</v>
      </c>
      <c r="AK356" s="387">
        <v>9.7257000000000003E-3</v>
      </c>
      <c r="AL356" s="406">
        <f t="shared" si="51"/>
        <v>8.1250000000000003E-2</v>
      </c>
      <c r="AM356" s="327">
        <v>0</v>
      </c>
      <c r="AN356" s="410">
        <f t="shared" si="52"/>
        <v>0.10833333333333334</v>
      </c>
      <c r="AO356" s="344" t="e">
        <f>+([1]!Tabla1[[#This Row],[ponderacion_accion]]/10%)*AQ356</f>
        <v>#REF!</v>
      </c>
      <c r="AP356" s="344" t="e">
        <f>Tabla1[[#This Row],[ponderacion_meta]]*AO356</f>
        <v>#REF!</v>
      </c>
      <c r="AQ356" s="354"/>
      <c r="AR356" s="378">
        <v>0</v>
      </c>
      <c r="AS356" s="9"/>
      <c r="AT356" s="521">
        <v>0</v>
      </c>
    </row>
    <row r="357" spans="1:46" ht="15" customHeight="1" x14ac:dyDescent="0.35">
      <c r="A357" s="236" t="s">
        <v>1151</v>
      </c>
      <c r="B357" s="400" t="s">
        <v>567</v>
      </c>
      <c r="C357" s="399" t="s">
        <v>1720</v>
      </c>
      <c r="D357" s="237" t="s">
        <v>1164</v>
      </c>
      <c r="E357" s="179" t="s">
        <v>650</v>
      </c>
      <c r="F357" s="176" t="s">
        <v>2610</v>
      </c>
      <c r="G357" s="160" t="s">
        <v>651</v>
      </c>
      <c r="H357" s="160" t="s">
        <v>1744</v>
      </c>
      <c r="I357" s="30" t="s">
        <v>724</v>
      </c>
      <c r="J357" s="266">
        <v>6.4939999999999998E-3</v>
      </c>
      <c r="K357" s="28" t="s">
        <v>1138</v>
      </c>
      <c r="L357" s="126">
        <v>1500000000</v>
      </c>
      <c r="M357" s="126">
        <v>0</v>
      </c>
      <c r="N357" s="434"/>
      <c r="O357" s="434" t="s">
        <v>1753</v>
      </c>
      <c r="P357" s="213">
        <v>0</v>
      </c>
      <c r="Q357" s="214">
        <v>0.4</v>
      </c>
      <c r="R357" s="214">
        <v>0.4</v>
      </c>
      <c r="S357" s="214">
        <v>0.2</v>
      </c>
      <c r="T357" s="214" t="s">
        <v>1526</v>
      </c>
      <c r="U357" s="53" t="s">
        <v>1140</v>
      </c>
      <c r="V357" s="25">
        <v>0.2</v>
      </c>
      <c r="W357" s="24" t="s">
        <v>728</v>
      </c>
      <c r="X357" s="24"/>
      <c r="Y357" s="23" t="s">
        <v>2588</v>
      </c>
      <c r="Z357" s="490" t="s">
        <v>2573</v>
      </c>
      <c r="AA357" s="238">
        <f t="shared" si="56"/>
        <v>1.2988000000000001E-3</v>
      </c>
      <c r="AB357" s="252">
        <v>0</v>
      </c>
      <c r="AC357" s="278">
        <f>+(Tabla1[[#This Row],[Avance PDI]]*100%)/Tabla1[[#This Row],[ponderacion_meta]]</f>
        <v>0</v>
      </c>
      <c r="AD357" s="279">
        <v>0</v>
      </c>
      <c r="AE357" s="279">
        <v>2.5976000000000003E-3</v>
      </c>
      <c r="AF357" s="279">
        <v>2.5976000000000003E-3</v>
      </c>
      <c r="AG357" s="279">
        <v>1.2988000000000001E-3</v>
      </c>
      <c r="AH357" s="396">
        <f t="shared" si="54"/>
        <v>2.6596669999999999E-2</v>
      </c>
      <c r="AI357" s="396">
        <f t="shared" si="55"/>
        <v>8.2625000000000032E-2</v>
      </c>
      <c r="AJ357" s="317">
        <f t="shared" si="53"/>
        <v>8.2625000000000032E-2</v>
      </c>
      <c r="AK357" s="387">
        <v>9.7257000000000003E-3</v>
      </c>
      <c r="AL357" s="406">
        <f t="shared" si="51"/>
        <v>8.1250000000000003E-2</v>
      </c>
      <c r="AM357" s="327">
        <v>0</v>
      </c>
      <c r="AN357" s="410">
        <f t="shared" si="52"/>
        <v>0.10833333333333334</v>
      </c>
      <c r="AO357" s="344" t="e">
        <f>+([1]!Tabla1[[#This Row],[ponderacion_accion]]/20%)*AQ357</f>
        <v>#REF!</v>
      </c>
      <c r="AP357" s="344" t="e">
        <f>Tabla1[[#This Row],[ponderacion_meta]]*AO357</f>
        <v>#REF!</v>
      </c>
      <c r="AQ357" s="354"/>
      <c r="AR357" s="378">
        <v>0</v>
      </c>
      <c r="AS357" s="9"/>
      <c r="AT357" s="521">
        <v>0</v>
      </c>
    </row>
    <row r="358" spans="1:46" ht="15" customHeight="1" x14ac:dyDescent="0.35">
      <c r="A358" s="236" t="s">
        <v>1151</v>
      </c>
      <c r="B358" s="400" t="s">
        <v>567</v>
      </c>
      <c r="C358" s="399" t="s">
        <v>1720</v>
      </c>
      <c r="D358" s="237" t="s">
        <v>1164</v>
      </c>
      <c r="E358" s="179" t="s">
        <v>650</v>
      </c>
      <c r="F358" s="176" t="s">
        <v>2610</v>
      </c>
      <c r="G358" s="160" t="s">
        <v>651</v>
      </c>
      <c r="H358" s="160" t="s">
        <v>1744</v>
      </c>
      <c r="I358" s="30" t="s">
        <v>724</v>
      </c>
      <c r="J358" s="266">
        <v>6.4939999999999998E-3</v>
      </c>
      <c r="K358" s="28" t="s">
        <v>1138</v>
      </c>
      <c r="L358" s="126">
        <v>1500000000</v>
      </c>
      <c r="M358" s="126">
        <v>0</v>
      </c>
      <c r="N358" s="434"/>
      <c r="O358" s="434" t="s">
        <v>1753</v>
      </c>
      <c r="P358" s="213">
        <v>0</v>
      </c>
      <c r="Q358" s="214">
        <v>0.4</v>
      </c>
      <c r="R358" s="214">
        <v>0.4</v>
      </c>
      <c r="S358" s="214">
        <v>0.2</v>
      </c>
      <c r="T358" s="214" t="s">
        <v>1527</v>
      </c>
      <c r="U358" s="53" t="s">
        <v>1141</v>
      </c>
      <c r="V358" s="25">
        <v>0.5</v>
      </c>
      <c r="W358" s="24" t="s">
        <v>729</v>
      </c>
      <c r="X358" s="24"/>
      <c r="Y358" s="23" t="s">
        <v>2588</v>
      </c>
      <c r="Z358" s="490" t="s">
        <v>2573</v>
      </c>
      <c r="AA358" s="238">
        <f t="shared" si="56"/>
        <v>3.2469999999999999E-3</v>
      </c>
      <c r="AB358" s="252">
        <v>0</v>
      </c>
      <c r="AC358" s="278">
        <f>+(Tabla1[[#This Row],[Avance PDI]]*100%)/Tabla1[[#This Row],[ponderacion_meta]]</f>
        <v>0</v>
      </c>
      <c r="AD358" s="279">
        <v>0</v>
      </c>
      <c r="AE358" s="279">
        <v>2.5976000000000003E-3</v>
      </c>
      <c r="AF358" s="279">
        <v>2.5976000000000003E-3</v>
      </c>
      <c r="AG358" s="279">
        <v>1.2988000000000001E-3</v>
      </c>
      <c r="AH358" s="396">
        <f t="shared" si="54"/>
        <v>2.6596669999999999E-2</v>
      </c>
      <c r="AI358" s="396">
        <f t="shared" si="55"/>
        <v>8.2625000000000032E-2</v>
      </c>
      <c r="AJ358" s="317">
        <f t="shared" si="53"/>
        <v>8.2625000000000032E-2</v>
      </c>
      <c r="AK358" s="387">
        <v>9.7257000000000003E-3</v>
      </c>
      <c r="AL358" s="406">
        <f t="shared" si="51"/>
        <v>8.1250000000000003E-2</v>
      </c>
      <c r="AM358" s="327">
        <v>0</v>
      </c>
      <c r="AN358" s="410">
        <f t="shared" si="52"/>
        <v>0.10833333333333334</v>
      </c>
      <c r="AO358" s="344" t="e">
        <f>+([1]!Tabla1[[#This Row],[ponderacion_accion]]/50%)*AQ358</f>
        <v>#REF!</v>
      </c>
      <c r="AP358" s="344" t="e">
        <f>Tabla1[[#This Row],[ponderacion_meta]]*AO358</f>
        <v>#REF!</v>
      </c>
      <c r="AQ358" s="354"/>
      <c r="AR358" s="378">
        <v>0</v>
      </c>
      <c r="AS358" s="9"/>
      <c r="AT358" s="521">
        <v>0</v>
      </c>
    </row>
    <row r="359" spans="1:46" ht="15" customHeight="1" x14ac:dyDescent="0.35">
      <c r="A359" s="236" t="s">
        <v>1151</v>
      </c>
      <c r="B359" s="400" t="s">
        <v>567</v>
      </c>
      <c r="C359" s="399" t="s">
        <v>1720</v>
      </c>
      <c r="D359" s="237" t="s">
        <v>1164</v>
      </c>
      <c r="E359" s="179" t="s">
        <v>650</v>
      </c>
      <c r="F359" s="176" t="s">
        <v>2610</v>
      </c>
      <c r="G359" s="160" t="s">
        <v>651</v>
      </c>
      <c r="H359" s="160" t="s">
        <v>1744</v>
      </c>
      <c r="I359" s="30" t="s">
        <v>724</v>
      </c>
      <c r="J359" s="266">
        <v>6.4939999999999998E-3</v>
      </c>
      <c r="K359" s="28" t="s">
        <v>1138</v>
      </c>
      <c r="L359" s="126">
        <v>1500000000</v>
      </c>
      <c r="M359" s="126">
        <v>0</v>
      </c>
      <c r="N359" s="434"/>
      <c r="O359" s="434" t="s">
        <v>1753</v>
      </c>
      <c r="P359" s="213">
        <v>0</v>
      </c>
      <c r="Q359" s="214">
        <v>0.4</v>
      </c>
      <c r="R359" s="214">
        <v>0.4</v>
      </c>
      <c r="S359" s="214">
        <v>0.2</v>
      </c>
      <c r="T359" s="214" t="s">
        <v>1528</v>
      </c>
      <c r="U359" s="53" t="s">
        <v>1142</v>
      </c>
      <c r="V359" s="25">
        <v>0.1</v>
      </c>
      <c r="W359" s="24" t="s">
        <v>730</v>
      </c>
      <c r="X359" s="24"/>
      <c r="Y359" s="23" t="s">
        <v>2588</v>
      </c>
      <c r="Z359" s="490" t="s">
        <v>2573</v>
      </c>
      <c r="AA359" s="238">
        <f t="shared" si="56"/>
        <v>6.4940000000000006E-4</v>
      </c>
      <c r="AB359" s="252">
        <v>0</v>
      </c>
      <c r="AC359" s="278">
        <f>+(Tabla1[[#This Row],[Avance PDI]]*100%)/Tabla1[[#This Row],[ponderacion_meta]]</f>
        <v>0</v>
      </c>
      <c r="AD359" s="279">
        <v>0</v>
      </c>
      <c r="AE359" s="279">
        <v>2.5976000000000003E-3</v>
      </c>
      <c r="AF359" s="279">
        <v>2.5976000000000003E-3</v>
      </c>
      <c r="AG359" s="279">
        <v>1.2988000000000001E-3</v>
      </c>
      <c r="AH359" s="396">
        <f t="shared" si="54"/>
        <v>2.6596669999999999E-2</v>
      </c>
      <c r="AI359" s="396">
        <f t="shared" si="55"/>
        <v>8.2625000000000032E-2</v>
      </c>
      <c r="AJ359" s="317">
        <f t="shared" si="53"/>
        <v>8.2625000000000032E-2</v>
      </c>
      <c r="AK359" s="387">
        <v>9.7257000000000003E-3</v>
      </c>
      <c r="AL359" s="406">
        <f t="shared" si="51"/>
        <v>8.1250000000000003E-2</v>
      </c>
      <c r="AM359" s="327">
        <v>0</v>
      </c>
      <c r="AN359" s="410">
        <f t="shared" si="52"/>
        <v>0.10833333333333334</v>
      </c>
      <c r="AO359" s="345" t="e">
        <f>+([1]!Tabla1[[#This Row],[ponderacion_accion]]/10%)*AQ359</f>
        <v>#REF!</v>
      </c>
      <c r="AP359" s="345" t="e">
        <f>Tabla1[[#This Row],[ponderacion_meta]]*AO359</f>
        <v>#REF!</v>
      </c>
      <c r="AQ359" s="357"/>
      <c r="AR359" s="379">
        <v>0</v>
      </c>
      <c r="AS359" s="9"/>
      <c r="AT359" s="521">
        <v>0</v>
      </c>
    </row>
    <row r="360" spans="1:46" ht="15" customHeight="1" x14ac:dyDescent="0.35">
      <c r="A360" s="236" t="s">
        <v>1151</v>
      </c>
      <c r="B360" s="400" t="s">
        <v>567</v>
      </c>
      <c r="C360" s="399" t="s">
        <v>1720</v>
      </c>
      <c r="D360" s="237" t="s">
        <v>1164</v>
      </c>
      <c r="E360" s="179" t="s">
        <v>650</v>
      </c>
      <c r="F360" s="176" t="s">
        <v>2610</v>
      </c>
      <c r="G360" s="160" t="s">
        <v>651</v>
      </c>
      <c r="H360" s="160" t="s">
        <v>1744</v>
      </c>
      <c r="I360" s="14" t="s">
        <v>731</v>
      </c>
      <c r="J360" s="265">
        <v>6.4939999999999998E-3</v>
      </c>
      <c r="K360" s="26" t="s">
        <v>732</v>
      </c>
      <c r="L360" s="127">
        <v>0</v>
      </c>
      <c r="M360" s="127">
        <v>0</v>
      </c>
      <c r="N360" s="435"/>
      <c r="O360" s="435" t="s">
        <v>1753</v>
      </c>
      <c r="P360" s="185">
        <v>0</v>
      </c>
      <c r="Q360" s="186">
        <v>0.2</v>
      </c>
      <c r="R360" s="186">
        <v>0.4</v>
      </c>
      <c r="S360" s="186">
        <v>0.4</v>
      </c>
      <c r="T360" s="186" t="s">
        <v>1529</v>
      </c>
      <c r="U360" s="52" t="s">
        <v>733</v>
      </c>
      <c r="V360" s="15">
        <v>0.1</v>
      </c>
      <c r="W360" s="26" t="s">
        <v>734</v>
      </c>
      <c r="X360" s="26"/>
      <c r="Y360" s="14" t="s">
        <v>2587</v>
      </c>
      <c r="Z360" s="500" t="s">
        <v>2574</v>
      </c>
      <c r="AA360" s="239">
        <f t="shared" si="56"/>
        <v>6.4940000000000006E-4</v>
      </c>
      <c r="AB360" s="252">
        <v>0</v>
      </c>
      <c r="AC360" s="262">
        <f>+(Tabla1[[#This Row],[Avance PDI]]*100%)/Tabla1[[#This Row],[ponderacion_meta]]</f>
        <v>0</v>
      </c>
      <c r="AD360" s="257">
        <f>+Tabla1[[#This Row],[ponderacion_meta]]*Tabla1[[#This Row],[proyeccion_año1]]</f>
        <v>0</v>
      </c>
      <c r="AE360" s="257">
        <f>+Tabla1[[#This Row],[ponderacion_meta]]*Tabla1[[#This Row],[proyeccion_año2]]</f>
        <v>1.2988000000000001E-3</v>
      </c>
      <c r="AF360" s="257">
        <f>+Tabla1[[#This Row],[ponderacion_meta]]*Tabla1[[#This Row],[proyeccion_año3]]</f>
        <v>2.5976000000000003E-3</v>
      </c>
      <c r="AG360" s="257">
        <f>+Tabla1[[#This Row],[ponderacion_meta]]*Tabla1[[#This Row],[proyeccion_año4]]</f>
        <v>2.5976000000000003E-3</v>
      </c>
      <c r="AH360" s="396">
        <f t="shared" si="54"/>
        <v>2.6596669999999999E-2</v>
      </c>
      <c r="AI360" s="396">
        <f t="shared" si="55"/>
        <v>8.2625000000000032E-2</v>
      </c>
      <c r="AJ360" s="317">
        <f t="shared" si="53"/>
        <v>8.2625000000000032E-2</v>
      </c>
      <c r="AK360" s="387">
        <v>9.7257000000000003E-3</v>
      </c>
      <c r="AL360" s="406">
        <f t="shared" si="51"/>
        <v>8.1250000000000003E-2</v>
      </c>
      <c r="AM360" s="327">
        <v>0</v>
      </c>
      <c r="AN360" s="410">
        <f t="shared" si="52"/>
        <v>0.10833333333333334</v>
      </c>
      <c r="AO360" s="358" t="e">
        <f>+([1]!Tabla1[[#This Row],[ponderacion_accion]]/10%)*AQ360</f>
        <v>#REF!</v>
      </c>
      <c r="AP360" s="335" t="e">
        <f>Tabla1[[#This Row],[ponderacion_meta]]*AO360</f>
        <v>#REF!</v>
      </c>
      <c r="AQ360" s="361"/>
      <c r="AR360" s="380">
        <v>0</v>
      </c>
      <c r="AS360" s="7" t="e">
        <f>+((SUM(AO360:AO363)*100)/10)</f>
        <v>#REF!</v>
      </c>
      <c r="AT360" s="521">
        <v>0</v>
      </c>
    </row>
    <row r="361" spans="1:46" ht="15" customHeight="1" x14ac:dyDescent="0.35">
      <c r="A361" s="236" t="s">
        <v>1151</v>
      </c>
      <c r="B361" s="400" t="s">
        <v>567</v>
      </c>
      <c r="C361" s="399" t="s">
        <v>1720</v>
      </c>
      <c r="D361" s="237" t="s">
        <v>1164</v>
      </c>
      <c r="E361" s="179" t="s">
        <v>650</v>
      </c>
      <c r="F361" s="176" t="s">
        <v>2610</v>
      </c>
      <c r="G361" s="160" t="s">
        <v>651</v>
      </c>
      <c r="H361" s="160" t="s">
        <v>1744</v>
      </c>
      <c r="I361" s="19" t="s">
        <v>731</v>
      </c>
      <c r="J361" s="267">
        <v>6.4939999999999998E-3</v>
      </c>
      <c r="K361" s="98" t="s">
        <v>732</v>
      </c>
      <c r="L361" s="134">
        <v>0</v>
      </c>
      <c r="M361" s="134">
        <v>0</v>
      </c>
      <c r="N361" s="442"/>
      <c r="O361" s="442" t="s">
        <v>1753</v>
      </c>
      <c r="P361" s="204">
        <v>0</v>
      </c>
      <c r="Q361" s="205">
        <v>0.2</v>
      </c>
      <c r="R361" s="205">
        <v>0.4</v>
      </c>
      <c r="S361" s="205">
        <v>0.4</v>
      </c>
      <c r="T361" s="205" t="s">
        <v>1530</v>
      </c>
      <c r="U361" s="52" t="s">
        <v>735</v>
      </c>
      <c r="V361" s="15">
        <v>0.2</v>
      </c>
      <c r="W361" s="26" t="s">
        <v>24</v>
      </c>
      <c r="X361" s="26"/>
      <c r="Y361" s="14" t="s">
        <v>2588</v>
      </c>
      <c r="Z361" s="500" t="s">
        <v>2574</v>
      </c>
      <c r="AA361" s="239">
        <f t="shared" si="56"/>
        <v>1.2988000000000001E-3</v>
      </c>
      <c r="AB361" s="252">
        <v>0</v>
      </c>
      <c r="AC361" s="262">
        <f>+(Tabla1[[#This Row],[Avance PDI]]*100%)/Tabla1[[#This Row],[ponderacion_meta]]</f>
        <v>0</v>
      </c>
      <c r="AD361" s="257">
        <v>0</v>
      </c>
      <c r="AE361" s="257">
        <v>1.2988000000000001E-3</v>
      </c>
      <c r="AF361" s="257">
        <v>2.5976000000000003E-3</v>
      </c>
      <c r="AG361" s="257">
        <v>2.5976000000000003E-3</v>
      </c>
      <c r="AH361" s="396">
        <f t="shared" si="54"/>
        <v>2.6596669999999999E-2</v>
      </c>
      <c r="AI361" s="396">
        <f t="shared" si="55"/>
        <v>8.2625000000000032E-2</v>
      </c>
      <c r="AJ361" s="317">
        <f t="shared" si="53"/>
        <v>8.2625000000000032E-2</v>
      </c>
      <c r="AK361" s="387">
        <v>9.7257000000000003E-3</v>
      </c>
      <c r="AL361" s="406">
        <f t="shared" si="51"/>
        <v>8.1250000000000003E-2</v>
      </c>
      <c r="AM361" s="327">
        <v>0</v>
      </c>
      <c r="AN361" s="410">
        <f t="shared" si="52"/>
        <v>0.10833333333333334</v>
      </c>
      <c r="AO361" s="359" t="e">
        <f>+([1]!Tabla1[[#This Row],[ponderacion_accion]]/20%)*AQ361</f>
        <v>#REF!</v>
      </c>
      <c r="AP361" s="335" t="e">
        <f>Tabla1[[#This Row],[ponderacion_meta]]*AO361</f>
        <v>#REF!</v>
      </c>
      <c r="AQ361" s="351"/>
      <c r="AR361" s="380">
        <v>0</v>
      </c>
      <c r="AS361" s="9"/>
      <c r="AT361" s="521">
        <v>0</v>
      </c>
    </row>
    <row r="362" spans="1:46" ht="15" customHeight="1" x14ac:dyDescent="0.35">
      <c r="A362" s="236" t="s">
        <v>1151</v>
      </c>
      <c r="B362" s="400" t="s">
        <v>567</v>
      </c>
      <c r="C362" s="399" t="s">
        <v>1720</v>
      </c>
      <c r="D362" s="237" t="s">
        <v>1164</v>
      </c>
      <c r="E362" s="179" t="s">
        <v>650</v>
      </c>
      <c r="F362" s="176" t="s">
        <v>2610</v>
      </c>
      <c r="G362" s="160" t="s">
        <v>651</v>
      </c>
      <c r="H362" s="160" t="s">
        <v>1744</v>
      </c>
      <c r="I362" s="19" t="s">
        <v>731</v>
      </c>
      <c r="J362" s="267">
        <v>6.4939999999999998E-3</v>
      </c>
      <c r="K362" s="98" t="s">
        <v>732</v>
      </c>
      <c r="L362" s="134">
        <v>0</v>
      </c>
      <c r="M362" s="134">
        <v>0</v>
      </c>
      <c r="N362" s="442"/>
      <c r="O362" s="442" t="s">
        <v>1753</v>
      </c>
      <c r="P362" s="204">
        <v>0</v>
      </c>
      <c r="Q362" s="205">
        <v>0.2</v>
      </c>
      <c r="R362" s="205">
        <v>0.4</v>
      </c>
      <c r="S362" s="205">
        <v>0.4</v>
      </c>
      <c r="T362" s="205" t="s">
        <v>1531</v>
      </c>
      <c r="U362" s="52" t="s">
        <v>736</v>
      </c>
      <c r="V362" s="15">
        <v>0.2</v>
      </c>
      <c r="W362" s="26" t="s">
        <v>737</v>
      </c>
      <c r="X362" s="26"/>
      <c r="Y362" s="14" t="s">
        <v>2588</v>
      </c>
      <c r="Z362" s="500" t="s">
        <v>2574</v>
      </c>
      <c r="AA362" s="239">
        <f t="shared" si="56"/>
        <v>1.2988000000000001E-3</v>
      </c>
      <c r="AB362" s="252">
        <v>0</v>
      </c>
      <c r="AC362" s="262">
        <f>+(Tabla1[[#This Row],[Avance PDI]]*100%)/Tabla1[[#This Row],[ponderacion_meta]]</f>
        <v>0</v>
      </c>
      <c r="AD362" s="257">
        <v>0</v>
      </c>
      <c r="AE362" s="257">
        <v>1.2988000000000001E-3</v>
      </c>
      <c r="AF362" s="257">
        <v>2.5976000000000003E-3</v>
      </c>
      <c r="AG362" s="257">
        <v>2.5976000000000003E-3</v>
      </c>
      <c r="AH362" s="396">
        <f t="shared" si="54"/>
        <v>2.6596669999999999E-2</v>
      </c>
      <c r="AI362" s="396">
        <f t="shared" si="55"/>
        <v>8.2625000000000032E-2</v>
      </c>
      <c r="AJ362" s="317">
        <f t="shared" si="53"/>
        <v>8.2625000000000032E-2</v>
      </c>
      <c r="AK362" s="387">
        <v>9.7257000000000003E-3</v>
      </c>
      <c r="AL362" s="406">
        <f t="shared" si="51"/>
        <v>8.1250000000000003E-2</v>
      </c>
      <c r="AM362" s="327">
        <v>0</v>
      </c>
      <c r="AN362" s="410">
        <f t="shared" si="52"/>
        <v>0.10833333333333334</v>
      </c>
      <c r="AO362" s="359" t="e">
        <f>+([1]!Tabla1[[#This Row],[ponderacion_accion]]/20%)*AQ362</f>
        <v>#REF!</v>
      </c>
      <c r="AP362" s="335" t="e">
        <f>Tabla1[[#This Row],[ponderacion_meta]]*AO362</f>
        <v>#REF!</v>
      </c>
      <c r="AQ362" s="351"/>
      <c r="AR362" s="380">
        <v>0</v>
      </c>
      <c r="AS362" s="9"/>
      <c r="AT362" s="521">
        <v>0</v>
      </c>
    </row>
    <row r="363" spans="1:46" ht="15" customHeight="1" x14ac:dyDescent="0.35">
      <c r="A363" s="236" t="s">
        <v>1151</v>
      </c>
      <c r="B363" s="400" t="s">
        <v>567</v>
      </c>
      <c r="C363" s="399" t="s">
        <v>1720</v>
      </c>
      <c r="D363" s="237" t="s">
        <v>1164</v>
      </c>
      <c r="E363" s="179" t="s">
        <v>650</v>
      </c>
      <c r="F363" s="176" t="s">
        <v>2610</v>
      </c>
      <c r="G363" s="160" t="s">
        <v>651</v>
      </c>
      <c r="H363" s="160" t="s">
        <v>1744</v>
      </c>
      <c r="I363" s="19" t="s">
        <v>731</v>
      </c>
      <c r="J363" s="267">
        <v>6.4939999999999998E-3</v>
      </c>
      <c r="K363" s="98" t="s">
        <v>732</v>
      </c>
      <c r="L363" s="134">
        <v>0</v>
      </c>
      <c r="M363" s="134">
        <v>0</v>
      </c>
      <c r="N363" s="442"/>
      <c r="O363" s="442" t="s">
        <v>1753</v>
      </c>
      <c r="P363" s="204">
        <v>0</v>
      </c>
      <c r="Q363" s="205">
        <v>0.2</v>
      </c>
      <c r="R363" s="205">
        <v>0.4</v>
      </c>
      <c r="S363" s="205">
        <v>0.4</v>
      </c>
      <c r="T363" s="205" t="s">
        <v>1532</v>
      </c>
      <c r="U363" s="52" t="s">
        <v>738</v>
      </c>
      <c r="V363" s="15">
        <v>0.5</v>
      </c>
      <c r="W363" s="26" t="s">
        <v>739</v>
      </c>
      <c r="X363" s="26"/>
      <c r="Y363" s="14" t="s">
        <v>2588</v>
      </c>
      <c r="Z363" s="500" t="s">
        <v>2574</v>
      </c>
      <c r="AA363" s="239">
        <f t="shared" si="56"/>
        <v>3.2469999999999999E-3</v>
      </c>
      <c r="AB363" s="252">
        <v>0</v>
      </c>
      <c r="AC363" s="262">
        <f>+(Tabla1[[#This Row],[Avance PDI]]*100%)/Tabla1[[#This Row],[ponderacion_meta]]</f>
        <v>0</v>
      </c>
      <c r="AD363" s="257">
        <v>0</v>
      </c>
      <c r="AE363" s="257">
        <v>1.2988000000000001E-3</v>
      </c>
      <c r="AF363" s="257">
        <v>2.5976000000000003E-3</v>
      </c>
      <c r="AG363" s="257">
        <v>2.5976000000000003E-3</v>
      </c>
      <c r="AH363" s="396">
        <f t="shared" si="54"/>
        <v>2.6596669999999999E-2</v>
      </c>
      <c r="AI363" s="396">
        <f t="shared" si="55"/>
        <v>8.2625000000000032E-2</v>
      </c>
      <c r="AJ363" s="317">
        <f t="shared" si="53"/>
        <v>8.2625000000000032E-2</v>
      </c>
      <c r="AK363" s="387">
        <v>9.7257000000000003E-3</v>
      </c>
      <c r="AL363" s="406">
        <f t="shared" si="51"/>
        <v>8.1250000000000003E-2</v>
      </c>
      <c r="AM363" s="327">
        <v>0</v>
      </c>
      <c r="AN363" s="410">
        <f t="shared" si="52"/>
        <v>0.10833333333333334</v>
      </c>
      <c r="AO363" s="360" t="e">
        <f>+([1]!Tabla1[[#This Row],[ponderacion_accion]]/50%)*AQ363</f>
        <v>#REF!</v>
      </c>
      <c r="AP363" s="335" t="e">
        <f>Tabla1[[#This Row],[ponderacion_meta]]*AO363</f>
        <v>#REF!</v>
      </c>
      <c r="AQ363" s="356"/>
      <c r="AR363" s="380">
        <v>0</v>
      </c>
      <c r="AS363" s="9"/>
      <c r="AT363" s="521">
        <v>0</v>
      </c>
    </row>
    <row r="364" spans="1:46" ht="15" customHeight="1" x14ac:dyDescent="0.35">
      <c r="A364" s="236" t="s">
        <v>1151</v>
      </c>
      <c r="B364" s="400" t="s">
        <v>567</v>
      </c>
      <c r="C364" s="399" t="s">
        <v>1720</v>
      </c>
      <c r="D364" s="237" t="s">
        <v>1164</v>
      </c>
      <c r="E364" s="179" t="s">
        <v>650</v>
      </c>
      <c r="F364" s="156" t="s">
        <v>2611</v>
      </c>
      <c r="G364" s="165" t="s">
        <v>740</v>
      </c>
      <c r="H364" s="423" t="s">
        <v>1745</v>
      </c>
      <c r="I364" s="40" t="s">
        <v>741</v>
      </c>
      <c r="J364" s="268">
        <v>6.4939999999999998E-3</v>
      </c>
      <c r="K364" s="63" t="s">
        <v>742</v>
      </c>
      <c r="L364" s="137">
        <v>60000000</v>
      </c>
      <c r="M364" s="137">
        <v>0</v>
      </c>
      <c r="N364" s="445"/>
      <c r="O364" s="445" t="s">
        <v>1753</v>
      </c>
      <c r="P364" s="222">
        <v>0</v>
      </c>
      <c r="Q364" s="223">
        <v>0.4</v>
      </c>
      <c r="R364" s="223">
        <v>0.4</v>
      </c>
      <c r="S364" s="223">
        <v>0.2</v>
      </c>
      <c r="T364" s="223" t="s">
        <v>1533</v>
      </c>
      <c r="U364" s="61" t="s">
        <v>743</v>
      </c>
      <c r="V364" s="62">
        <v>0.1</v>
      </c>
      <c r="W364" s="63" t="s">
        <v>45</v>
      </c>
      <c r="X364" s="63"/>
      <c r="Y364" s="40" t="s">
        <v>2587</v>
      </c>
      <c r="Z364" s="492" t="s">
        <v>2573</v>
      </c>
      <c r="AA364" s="238">
        <f t="shared" si="56"/>
        <v>6.4940000000000006E-4</v>
      </c>
      <c r="AB364" s="252">
        <v>0</v>
      </c>
      <c r="AC364" s="278">
        <f>+(Tabla1[[#This Row],[Avance PDI]]*100%)/Tabla1[[#This Row],[ponderacion_meta]]</f>
        <v>0</v>
      </c>
      <c r="AD364" s="279">
        <f>+Tabla1[[#This Row],[ponderacion_meta]]*Tabla1[[#This Row],[proyeccion_año1]]</f>
        <v>0</v>
      </c>
      <c r="AE364" s="279">
        <f>+Tabla1[[#This Row],[ponderacion_meta]]*Tabla1[[#This Row],[proyeccion_año2]]</f>
        <v>2.5976000000000003E-3</v>
      </c>
      <c r="AF364" s="279">
        <f>+Tabla1[[#This Row],[ponderacion_meta]]*Tabla1[[#This Row],[proyeccion_año3]]</f>
        <v>2.5976000000000003E-3</v>
      </c>
      <c r="AG364" s="279">
        <f>+Tabla1[[#This Row],[ponderacion_meta]]*Tabla1[[#This Row],[proyeccion_año4]]</f>
        <v>1.2988000000000001E-3</v>
      </c>
      <c r="AH364" s="396">
        <f t="shared" si="54"/>
        <v>2.6596669999999999E-2</v>
      </c>
      <c r="AI364" s="396">
        <f t="shared" si="55"/>
        <v>8.2625000000000032E-2</v>
      </c>
      <c r="AJ364" s="317">
        <f t="shared" si="53"/>
        <v>8.2625000000000032E-2</v>
      </c>
      <c r="AK364" s="387">
        <v>9.7257000000000003E-3</v>
      </c>
      <c r="AL364" s="406">
        <f t="shared" si="51"/>
        <v>8.1250000000000003E-2</v>
      </c>
      <c r="AM364" s="324">
        <f>+SUM(AB364:AB379)</f>
        <v>0</v>
      </c>
      <c r="AN364" s="411">
        <f>+SUM(AC364:AC379)/4</f>
        <v>0</v>
      </c>
      <c r="AO364" s="343" t="e">
        <f>+([1]!Tabla1[[#This Row],[ponderacion_accion]]/10%)*AQ364</f>
        <v>#REF!</v>
      </c>
      <c r="AP364" s="343" t="e">
        <f>Tabla1[[#This Row],[ponderacion_meta]]*AO364</f>
        <v>#REF!</v>
      </c>
      <c r="AQ364" s="353"/>
      <c r="AR364" s="377">
        <v>0</v>
      </c>
      <c r="AS364" s="7" t="e">
        <f>+((SUM(AO364:AO368)*100)/20)</f>
        <v>#REF!</v>
      </c>
      <c r="AT364" s="521">
        <v>0</v>
      </c>
    </row>
    <row r="365" spans="1:46" ht="15" customHeight="1" x14ac:dyDescent="0.35">
      <c r="A365" s="236" t="s">
        <v>1151</v>
      </c>
      <c r="B365" s="400" t="s">
        <v>567</v>
      </c>
      <c r="C365" s="399" t="s">
        <v>1720</v>
      </c>
      <c r="D365" s="237" t="s">
        <v>1164</v>
      </c>
      <c r="E365" s="179" t="s">
        <v>650</v>
      </c>
      <c r="F365" s="156" t="s">
        <v>2611</v>
      </c>
      <c r="G365" s="165" t="s">
        <v>740</v>
      </c>
      <c r="H365" s="165" t="s">
        <v>1745</v>
      </c>
      <c r="I365" s="30" t="s">
        <v>741</v>
      </c>
      <c r="J365" s="266">
        <v>6.4939999999999998E-3</v>
      </c>
      <c r="K365" s="28" t="s">
        <v>742</v>
      </c>
      <c r="L365" s="126">
        <v>60000000</v>
      </c>
      <c r="M365" s="126">
        <v>0</v>
      </c>
      <c r="N365" s="434"/>
      <c r="O365" s="434" t="s">
        <v>1753</v>
      </c>
      <c r="P365" s="213">
        <v>0</v>
      </c>
      <c r="Q365" s="214">
        <v>0.4</v>
      </c>
      <c r="R365" s="214">
        <v>0.4</v>
      </c>
      <c r="S365" s="214">
        <v>0.2</v>
      </c>
      <c r="T365" s="214" t="s">
        <v>1534</v>
      </c>
      <c r="U365" s="61" t="s">
        <v>744</v>
      </c>
      <c r="V365" s="62">
        <v>0.1</v>
      </c>
      <c r="W365" s="63" t="s">
        <v>745</v>
      </c>
      <c r="X365" s="63"/>
      <c r="Y365" s="40" t="s">
        <v>2587</v>
      </c>
      <c r="Z365" s="492" t="s">
        <v>2573</v>
      </c>
      <c r="AA365" s="238">
        <f t="shared" si="56"/>
        <v>6.4940000000000006E-4</v>
      </c>
      <c r="AB365" s="252">
        <v>0</v>
      </c>
      <c r="AC365" s="278">
        <f>+(Tabla1[[#This Row],[Avance PDI]]*100%)/Tabla1[[#This Row],[ponderacion_meta]]</f>
        <v>0</v>
      </c>
      <c r="AD365" s="279">
        <v>0</v>
      </c>
      <c r="AE365" s="279">
        <v>2.5976000000000003E-3</v>
      </c>
      <c r="AF365" s="279">
        <v>2.5976000000000003E-3</v>
      </c>
      <c r="AG365" s="279">
        <v>1.2988000000000001E-3</v>
      </c>
      <c r="AH365" s="396">
        <f t="shared" si="54"/>
        <v>2.6596669999999999E-2</v>
      </c>
      <c r="AI365" s="396">
        <f t="shared" si="55"/>
        <v>8.2625000000000032E-2</v>
      </c>
      <c r="AJ365" s="317">
        <f t="shared" si="53"/>
        <v>8.2625000000000032E-2</v>
      </c>
      <c r="AK365" s="387">
        <v>9.7257000000000003E-3</v>
      </c>
      <c r="AL365" s="406">
        <f t="shared" si="51"/>
        <v>8.1250000000000003E-2</v>
      </c>
      <c r="AM365" s="325">
        <v>0</v>
      </c>
      <c r="AN365" s="411">
        <f>$AN$364</f>
        <v>0</v>
      </c>
      <c r="AO365" s="344" t="e">
        <f>+([1]!Tabla1[[#This Row],[ponderacion_accion]]/10%)*AQ365</f>
        <v>#REF!</v>
      </c>
      <c r="AP365" s="344" t="e">
        <f>Tabla1[[#This Row],[ponderacion_meta]]*AO365</f>
        <v>#REF!</v>
      </c>
      <c r="AQ365" s="354"/>
      <c r="AR365" s="378">
        <v>0</v>
      </c>
      <c r="AS365" s="9"/>
      <c r="AT365" s="521">
        <v>0</v>
      </c>
    </row>
    <row r="366" spans="1:46" ht="15" customHeight="1" x14ac:dyDescent="0.35">
      <c r="A366" s="236" t="s">
        <v>1151</v>
      </c>
      <c r="B366" s="400" t="s">
        <v>567</v>
      </c>
      <c r="C366" s="399" t="s">
        <v>1720</v>
      </c>
      <c r="D366" s="237" t="s">
        <v>1164</v>
      </c>
      <c r="E366" s="179" t="s">
        <v>650</v>
      </c>
      <c r="F366" s="156" t="s">
        <v>2611</v>
      </c>
      <c r="G366" s="165" t="s">
        <v>740</v>
      </c>
      <c r="H366" s="165" t="s">
        <v>1745</v>
      </c>
      <c r="I366" s="30" t="s">
        <v>741</v>
      </c>
      <c r="J366" s="266">
        <v>6.4939999999999998E-3</v>
      </c>
      <c r="K366" s="28" t="s">
        <v>742</v>
      </c>
      <c r="L366" s="126">
        <v>60000000</v>
      </c>
      <c r="M366" s="126">
        <v>0</v>
      </c>
      <c r="N366" s="434"/>
      <c r="O366" s="434" t="s">
        <v>1753</v>
      </c>
      <c r="P366" s="213">
        <v>0</v>
      </c>
      <c r="Q366" s="214">
        <v>0.4</v>
      </c>
      <c r="R366" s="214">
        <v>0.4</v>
      </c>
      <c r="S366" s="214">
        <v>0.2</v>
      </c>
      <c r="T366" s="214" t="s">
        <v>1535</v>
      </c>
      <c r="U366" s="61" t="s">
        <v>746</v>
      </c>
      <c r="V366" s="62">
        <v>0.2</v>
      </c>
      <c r="W366" s="63" t="s">
        <v>132</v>
      </c>
      <c r="X366" s="63"/>
      <c r="Y366" s="40" t="s">
        <v>2588</v>
      </c>
      <c r="Z366" s="492" t="s">
        <v>2573</v>
      </c>
      <c r="AA366" s="238">
        <f t="shared" si="56"/>
        <v>1.2988000000000001E-3</v>
      </c>
      <c r="AB366" s="252">
        <v>0</v>
      </c>
      <c r="AC366" s="278">
        <f>+(Tabla1[[#This Row],[Avance PDI]]*100%)/Tabla1[[#This Row],[ponderacion_meta]]</f>
        <v>0</v>
      </c>
      <c r="AD366" s="279">
        <v>0</v>
      </c>
      <c r="AE366" s="279">
        <v>2.5976000000000003E-3</v>
      </c>
      <c r="AF366" s="279">
        <v>2.5976000000000003E-3</v>
      </c>
      <c r="AG366" s="279">
        <v>1.2988000000000001E-3</v>
      </c>
      <c r="AH366" s="396">
        <f t="shared" si="54"/>
        <v>2.6596669999999999E-2</v>
      </c>
      <c r="AI366" s="396">
        <f t="shared" si="55"/>
        <v>8.2625000000000032E-2</v>
      </c>
      <c r="AJ366" s="317">
        <f t="shared" si="53"/>
        <v>8.2625000000000032E-2</v>
      </c>
      <c r="AK366" s="387">
        <v>9.7257000000000003E-3</v>
      </c>
      <c r="AL366" s="406">
        <f t="shared" si="51"/>
        <v>8.1250000000000003E-2</v>
      </c>
      <c r="AM366" s="325">
        <v>0</v>
      </c>
      <c r="AN366" s="411">
        <f t="shared" ref="AN366:AN379" si="57">$AN$364</f>
        <v>0</v>
      </c>
      <c r="AO366" s="344" t="e">
        <f>+([1]!Tabla1[[#This Row],[ponderacion_accion]]/20%)*AQ366</f>
        <v>#REF!</v>
      </c>
      <c r="AP366" s="344" t="e">
        <f>Tabla1[[#This Row],[ponderacion_meta]]*AO366</f>
        <v>#REF!</v>
      </c>
      <c r="AQ366" s="354"/>
      <c r="AR366" s="378">
        <v>0</v>
      </c>
      <c r="AS366" s="9"/>
      <c r="AT366" s="521">
        <v>0</v>
      </c>
    </row>
    <row r="367" spans="1:46" ht="15" customHeight="1" x14ac:dyDescent="0.35">
      <c r="A367" s="236" t="s">
        <v>1151</v>
      </c>
      <c r="B367" s="400" t="s">
        <v>567</v>
      </c>
      <c r="C367" s="399" t="s">
        <v>1720</v>
      </c>
      <c r="D367" s="237" t="s">
        <v>1164</v>
      </c>
      <c r="E367" s="179" t="s">
        <v>650</v>
      </c>
      <c r="F367" s="156" t="s">
        <v>2611</v>
      </c>
      <c r="G367" s="165" t="s">
        <v>740</v>
      </c>
      <c r="H367" s="165" t="s">
        <v>1745</v>
      </c>
      <c r="I367" s="30" t="s">
        <v>741</v>
      </c>
      <c r="J367" s="266">
        <v>6.4939999999999998E-3</v>
      </c>
      <c r="K367" s="28" t="s">
        <v>742</v>
      </c>
      <c r="L367" s="126">
        <v>60000000</v>
      </c>
      <c r="M367" s="126">
        <v>0</v>
      </c>
      <c r="N367" s="434"/>
      <c r="O367" s="434" t="s">
        <v>1753</v>
      </c>
      <c r="P367" s="213">
        <v>0</v>
      </c>
      <c r="Q367" s="214">
        <v>0.4</v>
      </c>
      <c r="R367" s="214">
        <v>0.4</v>
      </c>
      <c r="S367" s="214">
        <v>0.2</v>
      </c>
      <c r="T367" s="214" t="s">
        <v>1536</v>
      </c>
      <c r="U367" s="61" t="s">
        <v>747</v>
      </c>
      <c r="V367" s="62">
        <v>0.5</v>
      </c>
      <c r="W367" s="63" t="s">
        <v>28</v>
      </c>
      <c r="X367" s="63"/>
      <c r="Y367" s="40" t="s">
        <v>2588</v>
      </c>
      <c r="Z367" s="492" t="s">
        <v>2573</v>
      </c>
      <c r="AA367" s="238">
        <f t="shared" si="56"/>
        <v>3.2469999999999999E-3</v>
      </c>
      <c r="AB367" s="252">
        <v>0</v>
      </c>
      <c r="AC367" s="278">
        <f>+(Tabla1[[#This Row],[Avance PDI]]*100%)/Tabla1[[#This Row],[ponderacion_meta]]</f>
        <v>0</v>
      </c>
      <c r="AD367" s="279">
        <v>0</v>
      </c>
      <c r="AE367" s="279">
        <v>2.5976000000000003E-3</v>
      </c>
      <c r="AF367" s="279">
        <v>2.5976000000000003E-3</v>
      </c>
      <c r="AG367" s="279">
        <v>1.2988000000000001E-3</v>
      </c>
      <c r="AH367" s="396">
        <f t="shared" si="54"/>
        <v>2.6596669999999999E-2</v>
      </c>
      <c r="AI367" s="396">
        <f t="shared" si="55"/>
        <v>8.2625000000000032E-2</v>
      </c>
      <c r="AJ367" s="317">
        <f t="shared" si="53"/>
        <v>8.2625000000000032E-2</v>
      </c>
      <c r="AK367" s="387">
        <v>9.7257000000000003E-3</v>
      </c>
      <c r="AL367" s="406">
        <f t="shared" si="51"/>
        <v>8.1250000000000003E-2</v>
      </c>
      <c r="AM367" s="325">
        <v>0</v>
      </c>
      <c r="AN367" s="411">
        <f t="shared" si="57"/>
        <v>0</v>
      </c>
      <c r="AO367" s="344" t="e">
        <f>+([1]!Tabla1[[#This Row],[ponderacion_accion]]/50%)*AQ367</f>
        <v>#REF!</v>
      </c>
      <c r="AP367" s="344" t="e">
        <f>Tabla1[[#This Row],[ponderacion_meta]]*AO367</f>
        <v>#REF!</v>
      </c>
      <c r="AQ367" s="354"/>
      <c r="AR367" s="378">
        <v>0</v>
      </c>
      <c r="AS367" s="9"/>
      <c r="AT367" s="521">
        <v>0</v>
      </c>
    </row>
    <row r="368" spans="1:46" ht="15" customHeight="1" x14ac:dyDescent="0.35">
      <c r="A368" s="236" t="s">
        <v>1151</v>
      </c>
      <c r="B368" s="400" t="s">
        <v>567</v>
      </c>
      <c r="C368" s="399" t="s">
        <v>1720</v>
      </c>
      <c r="D368" s="237" t="s">
        <v>1164</v>
      </c>
      <c r="E368" s="179" t="s">
        <v>650</v>
      </c>
      <c r="F368" s="156" t="s">
        <v>2611</v>
      </c>
      <c r="G368" s="165" t="s">
        <v>740</v>
      </c>
      <c r="H368" s="165" t="s">
        <v>1745</v>
      </c>
      <c r="I368" s="30" t="s">
        <v>741</v>
      </c>
      <c r="J368" s="266">
        <v>6.4939999999999998E-3</v>
      </c>
      <c r="K368" s="28" t="s">
        <v>742</v>
      </c>
      <c r="L368" s="126">
        <v>60000000</v>
      </c>
      <c r="M368" s="126">
        <v>0</v>
      </c>
      <c r="N368" s="434"/>
      <c r="O368" s="434" t="s">
        <v>1753</v>
      </c>
      <c r="P368" s="213">
        <v>0</v>
      </c>
      <c r="Q368" s="214">
        <v>0.4</v>
      </c>
      <c r="R368" s="214">
        <v>0.4</v>
      </c>
      <c r="S368" s="214">
        <v>0.2</v>
      </c>
      <c r="T368" s="214" t="s">
        <v>1537</v>
      </c>
      <c r="U368" s="61" t="s">
        <v>748</v>
      </c>
      <c r="V368" s="62">
        <v>0.1</v>
      </c>
      <c r="W368" s="63" t="s">
        <v>53</v>
      </c>
      <c r="X368" s="63"/>
      <c r="Y368" s="40" t="s">
        <v>2588</v>
      </c>
      <c r="Z368" s="492" t="s">
        <v>2573</v>
      </c>
      <c r="AA368" s="238">
        <f t="shared" si="56"/>
        <v>6.4940000000000006E-4</v>
      </c>
      <c r="AB368" s="252">
        <v>0</v>
      </c>
      <c r="AC368" s="278">
        <f>+(Tabla1[[#This Row],[Avance PDI]]*100%)/Tabla1[[#This Row],[ponderacion_meta]]</f>
        <v>0</v>
      </c>
      <c r="AD368" s="279">
        <v>0</v>
      </c>
      <c r="AE368" s="279">
        <v>2.5976000000000003E-3</v>
      </c>
      <c r="AF368" s="279">
        <v>2.5976000000000003E-3</v>
      </c>
      <c r="AG368" s="279">
        <v>1.2988000000000001E-3</v>
      </c>
      <c r="AH368" s="396">
        <f t="shared" si="54"/>
        <v>2.6596669999999999E-2</v>
      </c>
      <c r="AI368" s="396">
        <f t="shared" si="55"/>
        <v>8.2625000000000032E-2</v>
      </c>
      <c r="AJ368" s="317">
        <f t="shared" si="53"/>
        <v>8.2625000000000032E-2</v>
      </c>
      <c r="AK368" s="387">
        <v>9.7257000000000003E-3</v>
      </c>
      <c r="AL368" s="406">
        <f t="shared" si="51"/>
        <v>8.1250000000000003E-2</v>
      </c>
      <c r="AM368" s="325">
        <v>0</v>
      </c>
      <c r="AN368" s="411">
        <f t="shared" si="57"/>
        <v>0</v>
      </c>
      <c r="AO368" s="345" t="e">
        <f>+([1]!Tabla1[[#This Row],[ponderacion_accion]]/10%)*AQ368</f>
        <v>#REF!</v>
      </c>
      <c r="AP368" s="345" t="e">
        <f>Tabla1[[#This Row],[ponderacion_meta]]*AO368</f>
        <v>#REF!</v>
      </c>
      <c r="AQ368" s="357"/>
      <c r="AR368" s="379">
        <v>0</v>
      </c>
      <c r="AS368" s="9"/>
      <c r="AT368" s="521">
        <v>0</v>
      </c>
    </row>
    <row r="369" spans="1:46" ht="15" customHeight="1" x14ac:dyDescent="0.35">
      <c r="A369" s="236" t="s">
        <v>1151</v>
      </c>
      <c r="B369" s="400" t="s">
        <v>567</v>
      </c>
      <c r="C369" s="399" t="s">
        <v>1720</v>
      </c>
      <c r="D369" s="237" t="s">
        <v>1164</v>
      </c>
      <c r="E369" s="179" t="s">
        <v>650</v>
      </c>
      <c r="F369" s="156" t="s">
        <v>2611</v>
      </c>
      <c r="G369" s="165" t="s">
        <v>740</v>
      </c>
      <c r="H369" s="165" t="s">
        <v>1745</v>
      </c>
      <c r="I369" s="113" t="s">
        <v>749</v>
      </c>
      <c r="J369" s="274">
        <v>1.1627999999999999E-2</v>
      </c>
      <c r="K369" s="105" t="s">
        <v>750</v>
      </c>
      <c r="L369" s="138">
        <v>150000000</v>
      </c>
      <c r="M369" s="138">
        <v>0</v>
      </c>
      <c r="N369" s="446"/>
      <c r="O369" s="446" t="s">
        <v>1753</v>
      </c>
      <c r="P369" s="224">
        <v>0</v>
      </c>
      <c r="Q369" s="225">
        <v>0.4</v>
      </c>
      <c r="R369" s="225">
        <v>0.4</v>
      </c>
      <c r="S369" s="225">
        <v>0.2</v>
      </c>
      <c r="T369" s="225" t="s">
        <v>1538</v>
      </c>
      <c r="U369" s="64" t="s">
        <v>751</v>
      </c>
      <c r="V369" s="65">
        <v>0.1</v>
      </c>
      <c r="W369" s="66" t="s">
        <v>45</v>
      </c>
      <c r="X369" s="66"/>
      <c r="Y369" s="113" t="s">
        <v>2587</v>
      </c>
      <c r="Z369" s="104" t="s">
        <v>2406</v>
      </c>
      <c r="AA369" s="239">
        <f t="shared" si="56"/>
        <v>1.1628000000000001E-3</v>
      </c>
      <c r="AB369" s="252">
        <v>0</v>
      </c>
      <c r="AC369" s="262">
        <f>+(Tabla1[[#This Row],[Avance PDI]]*100%)/Tabla1[[#This Row],[ponderacion_meta]]</f>
        <v>0</v>
      </c>
      <c r="AD369" s="257">
        <f>+Tabla1[[#This Row],[ponderacion_meta]]*Tabla1[[#This Row],[proyeccion_año1]]</f>
        <v>0</v>
      </c>
      <c r="AE369" s="257">
        <f>+Tabla1[[#This Row],[ponderacion_meta]]*Tabla1[[#This Row],[proyeccion_año2]]</f>
        <v>4.6512000000000003E-3</v>
      </c>
      <c r="AF369" s="257">
        <f>+Tabla1[[#This Row],[ponderacion_meta]]*Tabla1[[#This Row],[proyeccion_año3]]</f>
        <v>4.6512000000000003E-3</v>
      </c>
      <c r="AG369" s="257">
        <f>+Tabla1[[#This Row],[ponderacion_meta]]*Tabla1[[#This Row],[proyeccion_año4]]</f>
        <v>2.3256000000000001E-3</v>
      </c>
      <c r="AH369" s="396">
        <f t="shared" si="54"/>
        <v>2.6596669999999999E-2</v>
      </c>
      <c r="AI369" s="396">
        <f t="shared" si="55"/>
        <v>8.2625000000000032E-2</v>
      </c>
      <c r="AJ369" s="317">
        <f t="shared" si="53"/>
        <v>8.2625000000000032E-2</v>
      </c>
      <c r="AK369" s="387">
        <v>9.7257000000000003E-3</v>
      </c>
      <c r="AL369" s="406">
        <f t="shared" si="51"/>
        <v>8.1250000000000003E-2</v>
      </c>
      <c r="AM369" s="325">
        <v>0</v>
      </c>
      <c r="AN369" s="411">
        <f t="shared" si="57"/>
        <v>0</v>
      </c>
      <c r="AO369" s="358" t="e">
        <f>+([1]!Tabla1[[#This Row],[ponderacion_accion]]/10%)*AQ369</f>
        <v>#REF!</v>
      </c>
      <c r="AP369" s="335" t="e">
        <f>Tabla1[[#This Row],[ponderacion_meta]]*AO369</f>
        <v>#REF!</v>
      </c>
      <c r="AQ369" s="361"/>
      <c r="AR369" s="380">
        <v>0</v>
      </c>
      <c r="AS369" s="7" t="e">
        <f>+((SUM(AO369:AO372)*100)/90)</f>
        <v>#REF!</v>
      </c>
      <c r="AT369" s="521">
        <v>0</v>
      </c>
    </row>
    <row r="370" spans="1:46" ht="15" customHeight="1" x14ac:dyDescent="0.35">
      <c r="A370" s="236" t="s">
        <v>1151</v>
      </c>
      <c r="B370" s="400" t="s">
        <v>567</v>
      </c>
      <c r="C370" s="399" t="s">
        <v>1720</v>
      </c>
      <c r="D370" s="237" t="s">
        <v>1164</v>
      </c>
      <c r="E370" s="179" t="s">
        <v>650</v>
      </c>
      <c r="F370" s="156" t="s">
        <v>2611</v>
      </c>
      <c r="G370" s="165" t="s">
        <v>740</v>
      </c>
      <c r="H370" s="165" t="s">
        <v>1745</v>
      </c>
      <c r="I370" s="19" t="s">
        <v>749</v>
      </c>
      <c r="J370" s="267">
        <v>1.1627999999999999E-2</v>
      </c>
      <c r="K370" s="98" t="s">
        <v>750</v>
      </c>
      <c r="L370" s="134">
        <v>150000000</v>
      </c>
      <c r="M370" s="134">
        <v>0</v>
      </c>
      <c r="N370" s="442"/>
      <c r="O370" s="442" t="s">
        <v>1753</v>
      </c>
      <c r="P370" s="204">
        <v>0</v>
      </c>
      <c r="Q370" s="205">
        <v>0.4</v>
      </c>
      <c r="R370" s="205">
        <v>0.4</v>
      </c>
      <c r="S370" s="205">
        <v>0.2</v>
      </c>
      <c r="T370" s="205" t="s">
        <v>1539</v>
      </c>
      <c r="U370" s="64" t="s">
        <v>752</v>
      </c>
      <c r="V370" s="65">
        <v>0.2</v>
      </c>
      <c r="W370" s="66" t="s">
        <v>745</v>
      </c>
      <c r="X370" s="66"/>
      <c r="Y370" s="113" t="s">
        <v>2587</v>
      </c>
      <c r="Z370" s="98" t="s">
        <v>2406</v>
      </c>
      <c r="AA370" s="239">
        <f t="shared" si="56"/>
        <v>2.3256000000000001E-3</v>
      </c>
      <c r="AB370" s="252">
        <v>0</v>
      </c>
      <c r="AC370" s="262">
        <f>+(Tabla1[[#This Row],[Avance PDI]]*100%)/Tabla1[[#This Row],[ponderacion_meta]]</f>
        <v>0</v>
      </c>
      <c r="AD370" s="257">
        <v>0</v>
      </c>
      <c r="AE370" s="257">
        <v>4.6512000000000003E-3</v>
      </c>
      <c r="AF370" s="257">
        <v>4.6512000000000003E-3</v>
      </c>
      <c r="AG370" s="257">
        <v>2.3256000000000001E-3</v>
      </c>
      <c r="AH370" s="396">
        <f t="shared" si="54"/>
        <v>2.6596669999999999E-2</v>
      </c>
      <c r="AI370" s="396">
        <f t="shared" si="55"/>
        <v>8.2625000000000032E-2</v>
      </c>
      <c r="AJ370" s="317">
        <f t="shared" si="53"/>
        <v>8.2625000000000032E-2</v>
      </c>
      <c r="AK370" s="387">
        <v>9.7257000000000003E-3</v>
      </c>
      <c r="AL370" s="406">
        <f t="shared" si="51"/>
        <v>8.1250000000000003E-2</v>
      </c>
      <c r="AM370" s="325">
        <v>0</v>
      </c>
      <c r="AN370" s="411">
        <f t="shared" si="57"/>
        <v>0</v>
      </c>
      <c r="AO370" s="359" t="e">
        <f>+([1]!Tabla1[[#This Row],[ponderacion_accion]]/20%)*AQ370</f>
        <v>#REF!</v>
      </c>
      <c r="AP370" s="335" t="e">
        <f>Tabla1[[#This Row],[ponderacion_meta]]*AO370</f>
        <v>#REF!</v>
      </c>
      <c r="AQ370" s="351"/>
      <c r="AR370" s="380">
        <v>0</v>
      </c>
      <c r="AS370" s="9"/>
      <c r="AT370" s="521">
        <v>0</v>
      </c>
    </row>
    <row r="371" spans="1:46" ht="15" customHeight="1" x14ac:dyDescent="0.35">
      <c r="A371" s="236" t="s">
        <v>1151</v>
      </c>
      <c r="B371" s="400" t="s">
        <v>567</v>
      </c>
      <c r="C371" s="399" t="s">
        <v>1720</v>
      </c>
      <c r="D371" s="237" t="s">
        <v>1164</v>
      </c>
      <c r="E371" s="179" t="s">
        <v>650</v>
      </c>
      <c r="F371" s="156" t="s">
        <v>2611</v>
      </c>
      <c r="G371" s="165" t="s">
        <v>740</v>
      </c>
      <c r="H371" s="165" t="s">
        <v>1745</v>
      </c>
      <c r="I371" s="19" t="s">
        <v>749</v>
      </c>
      <c r="J371" s="267">
        <v>1.1627999999999999E-2</v>
      </c>
      <c r="K371" s="98" t="s">
        <v>750</v>
      </c>
      <c r="L371" s="134">
        <v>150000000</v>
      </c>
      <c r="M371" s="134">
        <v>0</v>
      </c>
      <c r="N371" s="442"/>
      <c r="O371" s="442" t="s">
        <v>1753</v>
      </c>
      <c r="P371" s="204">
        <v>0</v>
      </c>
      <c r="Q371" s="205">
        <v>0.4</v>
      </c>
      <c r="R371" s="205">
        <v>0.4</v>
      </c>
      <c r="S371" s="205">
        <v>0.2</v>
      </c>
      <c r="T371" s="205" t="s">
        <v>1540</v>
      </c>
      <c r="U371" s="64" t="s">
        <v>753</v>
      </c>
      <c r="V371" s="65">
        <v>0.6</v>
      </c>
      <c r="W371" s="66" t="s">
        <v>132</v>
      </c>
      <c r="X371" s="66"/>
      <c r="Y371" s="113" t="s">
        <v>2587</v>
      </c>
      <c r="Z371" s="98" t="s">
        <v>2406</v>
      </c>
      <c r="AA371" s="239">
        <f t="shared" si="56"/>
        <v>6.9767999999999991E-3</v>
      </c>
      <c r="AB371" s="252">
        <v>0</v>
      </c>
      <c r="AC371" s="262">
        <f>+(Tabla1[[#This Row],[Avance PDI]]*100%)/Tabla1[[#This Row],[ponderacion_meta]]</f>
        <v>0</v>
      </c>
      <c r="AD371" s="257">
        <v>0</v>
      </c>
      <c r="AE371" s="257">
        <v>4.6512000000000003E-3</v>
      </c>
      <c r="AF371" s="257">
        <v>4.6512000000000003E-3</v>
      </c>
      <c r="AG371" s="257">
        <v>2.3256000000000001E-3</v>
      </c>
      <c r="AH371" s="396">
        <f t="shared" si="54"/>
        <v>2.6596669999999999E-2</v>
      </c>
      <c r="AI371" s="396">
        <f t="shared" si="55"/>
        <v>8.2625000000000032E-2</v>
      </c>
      <c r="AJ371" s="317">
        <f t="shared" si="53"/>
        <v>8.2625000000000032E-2</v>
      </c>
      <c r="AK371" s="387">
        <v>9.7257000000000003E-3</v>
      </c>
      <c r="AL371" s="406">
        <f t="shared" si="51"/>
        <v>8.1250000000000003E-2</v>
      </c>
      <c r="AM371" s="325">
        <v>0</v>
      </c>
      <c r="AN371" s="411">
        <f t="shared" si="57"/>
        <v>0</v>
      </c>
      <c r="AO371" s="359" t="e">
        <f>+([1]!Tabla1[[#This Row],[ponderacion_accion]]/60%)*AQ371</f>
        <v>#REF!</v>
      </c>
      <c r="AP371" s="335" t="e">
        <f>Tabla1[[#This Row],[ponderacion_meta]]*AO371</f>
        <v>#REF!</v>
      </c>
      <c r="AQ371" s="351"/>
      <c r="AR371" s="380">
        <v>0</v>
      </c>
      <c r="AS371" s="9"/>
      <c r="AT371" s="521">
        <v>0</v>
      </c>
    </row>
    <row r="372" spans="1:46" ht="15" customHeight="1" x14ac:dyDescent="0.35">
      <c r="A372" s="236" t="s">
        <v>1151</v>
      </c>
      <c r="B372" s="400" t="s">
        <v>567</v>
      </c>
      <c r="C372" s="399" t="s">
        <v>1720</v>
      </c>
      <c r="D372" s="237" t="s">
        <v>1164</v>
      </c>
      <c r="E372" s="179" t="s">
        <v>650</v>
      </c>
      <c r="F372" s="156" t="s">
        <v>2611</v>
      </c>
      <c r="G372" s="165" t="s">
        <v>740</v>
      </c>
      <c r="H372" s="165" t="s">
        <v>1745</v>
      </c>
      <c r="I372" s="19" t="s">
        <v>749</v>
      </c>
      <c r="J372" s="267">
        <v>1.1627999999999999E-2</v>
      </c>
      <c r="K372" s="98" t="s">
        <v>750</v>
      </c>
      <c r="L372" s="134">
        <v>150000000</v>
      </c>
      <c r="M372" s="134">
        <v>0</v>
      </c>
      <c r="N372" s="442"/>
      <c r="O372" s="442" t="s">
        <v>1753</v>
      </c>
      <c r="P372" s="204">
        <v>0</v>
      </c>
      <c r="Q372" s="205">
        <v>0.4</v>
      </c>
      <c r="R372" s="205">
        <v>0.4</v>
      </c>
      <c r="S372" s="205">
        <v>0.2</v>
      </c>
      <c r="T372" s="205" t="s">
        <v>1541</v>
      </c>
      <c r="U372" s="64" t="s">
        <v>754</v>
      </c>
      <c r="V372" s="65">
        <v>0.1</v>
      </c>
      <c r="W372" s="66" t="s">
        <v>755</v>
      </c>
      <c r="X372" s="66"/>
      <c r="Y372" s="113" t="s">
        <v>2588</v>
      </c>
      <c r="Z372" s="98" t="s">
        <v>2406</v>
      </c>
      <c r="AA372" s="239">
        <f t="shared" si="56"/>
        <v>1.1628000000000001E-3</v>
      </c>
      <c r="AB372" s="252">
        <v>0</v>
      </c>
      <c r="AC372" s="262">
        <f>+(Tabla1[[#This Row],[Avance PDI]]*100%)/Tabla1[[#This Row],[ponderacion_meta]]</f>
        <v>0</v>
      </c>
      <c r="AD372" s="257">
        <v>0</v>
      </c>
      <c r="AE372" s="257">
        <v>4.6512000000000003E-3</v>
      </c>
      <c r="AF372" s="257">
        <v>4.6512000000000003E-3</v>
      </c>
      <c r="AG372" s="257">
        <v>2.3256000000000001E-3</v>
      </c>
      <c r="AH372" s="396">
        <f t="shared" si="54"/>
        <v>2.6596669999999999E-2</v>
      </c>
      <c r="AI372" s="396">
        <f t="shared" si="55"/>
        <v>8.2625000000000032E-2</v>
      </c>
      <c r="AJ372" s="317">
        <f t="shared" si="53"/>
        <v>8.2625000000000032E-2</v>
      </c>
      <c r="AK372" s="387">
        <v>9.7257000000000003E-3</v>
      </c>
      <c r="AL372" s="406">
        <f t="shared" ref="AL372:AL379" si="58">$AL$306</f>
        <v>8.1250000000000003E-2</v>
      </c>
      <c r="AM372" s="325">
        <v>0</v>
      </c>
      <c r="AN372" s="411">
        <f t="shared" si="57"/>
        <v>0</v>
      </c>
      <c r="AO372" s="360" t="e">
        <f>+([1]!Tabla1[[#This Row],[ponderacion_accion]]/10%)*AQ372</f>
        <v>#REF!</v>
      </c>
      <c r="AP372" s="335" t="e">
        <f>Tabla1[[#This Row],[ponderacion_meta]]*AO372</f>
        <v>#REF!</v>
      </c>
      <c r="AQ372" s="356"/>
      <c r="AR372" s="380">
        <v>0</v>
      </c>
      <c r="AS372" s="9"/>
      <c r="AT372" s="521">
        <v>0</v>
      </c>
    </row>
    <row r="373" spans="1:46" ht="15" customHeight="1" x14ac:dyDescent="0.35">
      <c r="A373" s="236" t="s">
        <v>1151</v>
      </c>
      <c r="B373" s="400" t="s">
        <v>567</v>
      </c>
      <c r="C373" s="399" t="s">
        <v>1720</v>
      </c>
      <c r="D373" s="237" t="s">
        <v>1164</v>
      </c>
      <c r="E373" s="179" t="s">
        <v>650</v>
      </c>
      <c r="F373" s="156" t="s">
        <v>2611</v>
      </c>
      <c r="G373" s="165" t="s">
        <v>740</v>
      </c>
      <c r="H373" s="165" t="s">
        <v>1745</v>
      </c>
      <c r="I373" s="40" t="s">
        <v>756</v>
      </c>
      <c r="J373" s="268">
        <v>1.1627999999999999E-2</v>
      </c>
      <c r="K373" s="63" t="s">
        <v>757</v>
      </c>
      <c r="L373" s="137">
        <v>688750000</v>
      </c>
      <c r="M373" s="137">
        <v>0</v>
      </c>
      <c r="N373" s="445"/>
      <c r="O373" s="445" t="s">
        <v>2622</v>
      </c>
      <c r="P373" s="226">
        <v>0</v>
      </c>
      <c r="Q373" s="227">
        <v>50</v>
      </c>
      <c r="R373" s="227">
        <v>100</v>
      </c>
      <c r="S373" s="227">
        <v>100</v>
      </c>
      <c r="T373" s="227" t="s">
        <v>1542</v>
      </c>
      <c r="U373" s="61" t="s">
        <v>751</v>
      </c>
      <c r="V373" s="62">
        <v>0.2</v>
      </c>
      <c r="W373" s="63" t="s">
        <v>45</v>
      </c>
      <c r="X373" s="63"/>
      <c r="Y373" s="40" t="s">
        <v>2587</v>
      </c>
      <c r="Z373" s="102" t="s">
        <v>2406</v>
      </c>
      <c r="AA373" s="238">
        <f t="shared" si="56"/>
        <v>2.3256000000000001E-3</v>
      </c>
      <c r="AB373" s="252">
        <v>0</v>
      </c>
      <c r="AC373" s="278">
        <f>+(Tabla1[[#This Row],[Avance PDI]]*100%)/Tabla1[[#This Row],[ponderacion_meta]]</f>
        <v>0</v>
      </c>
      <c r="AD373" s="279">
        <f>+Tabla1[[#This Row],[ponderacion_meta]]*Tabla1[[#This Row],[proyeccion_año1]]</f>
        <v>0</v>
      </c>
      <c r="AE373" s="279">
        <f>+Tabla1[[#This Row],[ponderacion_meta]]/250*Tabla1[[#This Row],[proyeccion_año2]]</f>
        <v>2.3255999999999997E-3</v>
      </c>
      <c r="AF373" s="279">
        <f>+Tabla1[[#This Row],[ponderacion_meta]]/250*Tabla1[[#This Row],[proyeccion_año3]]</f>
        <v>4.6511999999999994E-3</v>
      </c>
      <c r="AG373" s="279">
        <f>+Tabla1[[#This Row],[ponderacion_meta]]/250*Tabla1[[#This Row],[proyeccion_año4]]</f>
        <v>4.6511999999999994E-3</v>
      </c>
      <c r="AH373" s="396">
        <f t="shared" si="54"/>
        <v>2.6596669999999999E-2</v>
      </c>
      <c r="AI373" s="396">
        <f t="shared" si="55"/>
        <v>8.2625000000000032E-2</v>
      </c>
      <c r="AJ373" s="317">
        <f t="shared" si="53"/>
        <v>8.2625000000000032E-2</v>
      </c>
      <c r="AK373" s="387">
        <v>9.7257000000000003E-3</v>
      </c>
      <c r="AL373" s="406">
        <f t="shared" si="58"/>
        <v>8.1250000000000003E-2</v>
      </c>
      <c r="AM373" s="325">
        <v>0</v>
      </c>
      <c r="AN373" s="411">
        <f t="shared" si="57"/>
        <v>0</v>
      </c>
      <c r="AO373" s="343" t="e">
        <f>+([1]!Tabla1[[#This Row],[ponderacion_accion]]/250)*AQ373</f>
        <v>#REF!</v>
      </c>
      <c r="AP373" s="343" t="e">
        <f>Tabla1[[#This Row],[ponderacion_meta]]*AO373</f>
        <v>#REF!</v>
      </c>
      <c r="AQ373" s="353"/>
      <c r="AR373" s="377">
        <v>0</v>
      </c>
      <c r="AS373" s="7" t="e">
        <f>+((SUM(AO373:AO375)*100)/52)</f>
        <v>#REF!</v>
      </c>
      <c r="AT373" s="521">
        <v>0</v>
      </c>
    </row>
    <row r="374" spans="1:46" ht="15" customHeight="1" x14ac:dyDescent="0.35">
      <c r="A374" s="236" t="s">
        <v>1151</v>
      </c>
      <c r="B374" s="400" t="s">
        <v>567</v>
      </c>
      <c r="C374" s="399" t="s">
        <v>1720</v>
      </c>
      <c r="D374" s="237" t="s">
        <v>1164</v>
      </c>
      <c r="E374" s="179" t="s">
        <v>650</v>
      </c>
      <c r="F374" s="156" t="s">
        <v>2611</v>
      </c>
      <c r="G374" s="165" t="s">
        <v>740</v>
      </c>
      <c r="H374" s="165" t="s">
        <v>1745</v>
      </c>
      <c r="I374" s="30" t="s">
        <v>756</v>
      </c>
      <c r="J374" s="266">
        <v>1.1627999999999999E-2</v>
      </c>
      <c r="K374" s="28" t="s">
        <v>757</v>
      </c>
      <c r="L374" s="126">
        <v>688750000</v>
      </c>
      <c r="M374" s="126">
        <v>0</v>
      </c>
      <c r="N374" s="434"/>
      <c r="O374" s="434" t="s">
        <v>2622</v>
      </c>
      <c r="P374" s="189">
        <v>0</v>
      </c>
      <c r="Q374" s="190">
        <v>50</v>
      </c>
      <c r="R374" s="190">
        <v>100</v>
      </c>
      <c r="S374" s="190">
        <v>100</v>
      </c>
      <c r="T374" s="190" t="s">
        <v>1543</v>
      </c>
      <c r="U374" s="61" t="s">
        <v>752</v>
      </c>
      <c r="V374" s="62">
        <v>0.2</v>
      </c>
      <c r="W374" s="63" t="s">
        <v>745</v>
      </c>
      <c r="X374" s="63"/>
      <c r="Y374" s="40" t="s">
        <v>2587</v>
      </c>
      <c r="Z374" s="28" t="s">
        <v>2406</v>
      </c>
      <c r="AA374" s="238">
        <f t="shared" si="56"/>
        <v>2.3256000000000001E-3</v>
      </c>
      <c r="AB374" s="252">
        <v>0</v>
      </c>
      <c r="AC374" s="278">
        <f>+(Tabla1[[#This Row],[Avance PDI]]*100%)/Tabla1[[#This Row],[ponderacion_meta]]</f>
        <v>0</v>
      </c>
      <c r="AD374" s="279">
        <v>0</v>
      </c>
      <c r="AE374" s="279">
        <v>2.3255999999999997E-3</v>
      </c>
      <c r="AF374" s="279">
        <v>4.6511999999999994E-3</v>
      </c>
      <c r="AG374" s="279">
        <v>4.6511999999999994E-3</v>
      </c>
      <c r="AH374" s="396">
        <f t="shared" si="54"/>
        <v>2.6596669999999999E-2</v>
      </c>
      <c r="AI374" s="396">
        <f t="shared" si="55"/>
        <v>8.2625000000000032E-2</v>
      </c>
      <c r="AJ374" s="317">
        <f t="shared" si="53"/>
        <v>8.2625000000000032E-2</v>
      </c>
      <c r="AK374" s="387">
        <v>9.7257000000000003E-3</v>
      </c>
      <c r="AL374" s="406">
        <f t="shared" si="58"/>
        <v>8.1250000000000003E-2</v>
      </c>
      <c r="AM374" s="325">
        <v>0</v>
      </c>
      <c r="AN374" s="411">
        <f t="shared" si="57"/>
        <v>0</v>
      </c>
      <c r="AO374" s="344" t="e">
        <f>+([1]!Tabla1[[#This Row],[ponderacion_accion]]/250)*AQ374</f>
        <v>#REF!</v>
      </c>
      <c r="AP374" s="344" t="e">
        <f>Tabla1[[#This Row],[ponderacion_meta]]*AO374</f>
        <v>#REF!</v>
      </c>
      <c r="AQ374" s="354"/>
      <c r="AR374" s="378">
        <v>0</v>
      </c>
      <c r="AS374" s="9"/>
      <c r="AT374" s="521">
        <v>0</v>
      </c>
    </row>
    <row r="375" spans="1:46" ht="15" customHeight="1" x14ac:dyDescent="0.35">
      <c r="A375" s="236" t="s">
        <v>1151</v>
      </c>
      <c r="B375" s="400" t="s">
        <v>567</v>
      </c>
      <c r="C375" s="399" t="s">
        <v>1720</v>
      </c>
      <c r="D375" s="237" t="s">
        <v>1164</v>
      </c>
      <c r="E375" s="179" t="s">
        <v>650</v>
      </c>
      <c r="F375" s="156" t="s">
        <v>2611</v>
      </c>
      <c r="G375" s="165" t="s">
        <v>740</v>
      </c>
      <c r="H375" s="165" t="s">
        <v>1745</v>
      </c>
      <c r="I375" s="30" t="s">
        <v>756</v>
      </c>
      <c r="J375" s="266">
        <v>1.1627999999999999E-2</v>
      </c>
      <c r="K375" s="28" t="s">
        <v>757</v>
      </c>
      <c r="L375" s="126">
        <v>688750000</v>
      </c>
      <c r="M375" s="126">
        <v>0</v>
      </c>
      <c r="N375" s="434"/>
      <c r="O375" s="434" t="s">
        <v>2622</v>
      </c>
      <c r="P375" s="189">
        <v>0</v>
      </c>
      <c r="Q375" s="190">
        <v>50</v>
      </c>
      <c r="R375" s="190">
        <v>100</v>
      </c>
      <c r="S375" s="190">
        <v>100</v>
      </c>
      <c r="T375" s="190" t="s">
        <v>1544</v>
      </c>
      <c r="U375" s="61" t="s">
        <v>758</v>
      </c>
      <c r="V375" s="62">
        <v>0.6</v>
      </c>
      <c r="W375" s="63" t="s">
        <v>132</v>
      </c>
      <c r="X375" s="63"/>
      <c r="Y375" s="40" t="s">
        <v>2587</v>
      </c>
      <c r="Z375" s="28" t="s">
        <v>2406</v>
      </c>
      <c r="AA375" s="238">
        <f t="shared" si="56"/>
        <v>6.9767999999999991E-3</v>
      </c>
      <c r="AB375" s="252">
        <v>0</v>
      </c>
      <c r="AC375" s="278">
        <f>+(Tabla1[[#This Row],[Avance PDI]]*100%)/Tabla1[[#This Row],[ponderacion_meta]]</f>
        <v>0</v>
      </c>
      <c r="AD375" s="279">
        <v>0</v>
      </c>
      <c r="AE375" s="279">
        <v>2.3255999999999997E-3</v>
      </c>
      <c r="AF375" s="279">
        <v>4.6511999999999994E-3</v>
      </c>
      <c r="AG375" s="279">
        <v>4.6511999999999994E-3</v>
      </c>
      <c r="AH375" s="396">
        <f t="shared" si="54"/>
        <v>2.6596669999999999E-2</v>
      </c>
      <c r="AI375" s="396">
        <f t="shared" si="55"/>
        <v>8.2625000000000032E-2</v>
      </c>
      <c r="AJ375" s="317">
        <f t="shared" si="53"/>
        <v>8.2625000000000032E-2</v>
      </c>
      <c r="AK375" s="387">
        <v>9.7257000000000003E-3</v>
      </c>
      <c r="AL375" s="406">
        <f t="shared" si="58"/>
        <v>8.1250000000000003E-2</v>
      </c>
      <c r="AM375" s="325">
        <v>0</v>
      </c>
      <c r="AN375" s="411">
        <f t="shared" si="57"/>
        <v>0</v>
      </c>
      <c r="AO375" s="345" t="e">
        <f>+([1]!Tabla1[[#This Row],[ponderacion_accion]]/250)*AQ375</f>
        <v>#REF!</v>
      </c>
      <c r="AP375" s="345" t="e">
        <f>Tabla1[[#This Row],[ponderacion_meta]]*AO375</f>
        <v>#REF!</v>
      </c>
      <c r="AQ375" s="357"/>
      <c r="AR375" s="379">
        <v>0</v>
      </c>
      <c r="AS375" s="9"/>
      <c r="AT375" s="521">
        <v>0</v>
      </c>
    </row>
    <row r="376" spans="1:46" ht="15" customHeight="1" x14ac:dyDescent="0.35">
      <c r="A376" s="236" t="s">
        <v>1151</v>
      </c>
      <c r="B376" s="400" t="s">
        <v>567</v>
      </c>
      <c r="C376" s="399" t="s">
        <v>1720</v>
      </c>
      <c r="D376" s="237" t="s">
        <v>1164</v>
      </c>
      <c r="E376" s="179" t="s">
        <v>650</v>
      </c>
      <c r="F376" s="156" t="s">
        <v>2611</v>
      </c>
      <c r="G376" s="165" t="s">
        <v>740</v>
      </c>
      <c r="H376" s="165" t="s">
        <v>1745</v>
      </c>
      <c r="I376" s="113" t="s">
        <v>759</v>
      </c>
      <c r="J376" s="274">
        <v>1.1627999999999999E-2</v>
      </c>
      <c r="K376" s="66" t="s">
        <v>760</v>
      </c>
      <c r="L376" s="138">
        <v>688750000</v>
      </c>
      <c r="M376" s="138">
        <v>0</v>
      </c>
      <c r="N376" s="446"/>
      <c r="O376" s="446" t="s">
        <v>2622</v>
      </c>
      <c r="P376" s="191">
        <v>0</v>
      </c>
      <c r="Q376" s="188">
        <v>501</v>
      </c>
      <c r="R376" s="188">
        <v>1002</v>
      </c>
      <c r="S376" s="188">
        <v>1002</v>
      </c>
      <c r="T376" s="188" t="s">
        <v>1545</v>
      </c>
      <c r="U376" s="64" t="s">
        <v>751</v>
      </c>
      <c r="V376" s="65">
        <v>0.1</v>
      </c>
      <c r="W376" s="66" t="s">
        <v>45</v>
      </c>
      <c r="X376" s="66"/>
      <c r="Y376" s="113" t="s">
        <v>2587</v>
      </c>
      <c r="Z376" s="104" t="s">
        <v>2406</v>
      </c>
      <c r="AA376" s="239">
        <f t="shared" si="56"/>
        <v>1.1628000000000001E-3</v>
      </c>
      <c r="AB376" s="252">
        <v>0</v>
      </c>
      <c r="AC376" s="262">
        <f>+(Tabla1[[#This Row],[Avance PDI]]*100%)/Tabla1[[#This Row],[ponderacion_meta]]</f>
        <v>0</v>
      </c>
      <c r="AD376" s="257">
        <f>+Tabla1[[#This Row],[ponderacion_meta]]*Tabla1[[#This Row],[proyeccion_año1]]</f>
        <v>0</v>
      </c>
      <c r="AE376" s="257">
        <f>+Tabla1[[#This Row],[ponderacion_meta]]/2505*Tabla1[[#This Row],[proyeccion_año2]]</f>
        <v>2.3255999999999997E-3</v>
      </c>
      <c r="AF376" s="257">
        <f>+Tabla1[[#This Row],[ponderacion_meta]]/2505*Tabla1[[#This Row],[proyeccion_año3]]</f>
        <v>4.6511999999999994E-3</v>
      </c>
      <c r="AG376" s="257">
        <f>+Tabla1[[#This Row],[ponderacion_meta]]/2505*Tabla1[[#This Row],[proyeccion_año4]]</f>
        <v>4.6511999999999994E-3</v>
      </c>
      <c r="AH376" s="396">
        <f t="shared" si="54"/>
        <v>2.6596669999999999E-2</v>
      </c>
      <c r="AI376" s="396">
        <f t="shared" si="55"/>
        <v>8.2625000000000032E-2</v>
      </c>
      <c r="AJ376" s="317">
        <f t="shared" si="53"/>
        <v>8.2625000000000032E-2</v>
      </c>
      <c r="AK376" s="387">
        <v>9.7257000000000003E-3</v>
      </c>
      <c r="AL376" s="406">
        <f t="shared" si="58"/>
        <v>8.1250000000000003E-2</v>
      </c>
      <c r="AM376" s="325">
        <v>0</v>
      </c>
      <c r="AN376" s="411">
        <f t="shared" si="57"/>
        <v>0</v>
      </c>
      <c r="AO376" s="358" t="e">
        <f>+([1]!Tabla1[[#This Row],[ponderacion_accion]]/2505)*AQ376</f>
        <v>#REF!</v>
      </c>
      <c r="AP376" s="335" t="e">
        <f>Tabla1[[#This Row],[ponderacion_meta]]*AO376</f>
        <v>#REF!</v>
      </c>
      <c r="AQ376" s="361"/>
      <c r="AR376" s="380">
        <v>0</v>
      </c>
      <c r="AS376" s="7" t="e">
        <f>+((SUM(AO376:AO379)*100)/44)</f>
        <v>#REF!</v>
      </c>
      <c r="AT376" s="521">
        <v>0</v>
      </c>
    </row>
    <row r="377" spans="1:46" ht="15" customHeight="1" x14ac:dyDescent="0.35">
      <c r="A377" s="236" t="s">
        <v>1151</v>
      </c>
      <c r="B377" s="400" t="s">
        <v>567</v>
      </c>
      <c r="C377" s="399" t="s">
        <v>1720</v>
      </c>
      <c r="D377" s="237" t="s">
        <v>1164</v>
      </c>
      <c r="E377" s="179" t="s">
        <v>650</v>
      </c>
      <c r="F377" s="156" t="s">
        <v>2611</v>
      </c>
      <c r="G377" s="165" t="s">
        <v>740</v>
      </c>
      <c r="H377" s="165" t="s">
        <v>1745</v>
      </c>
      <c r="I377" s="113" t="s">
        <v>759</v>
      </c>
      <c r="J377" s="274">
        <v>1.1627999999999999E-2</v>
      </c>
      <c r="K377" s="66" t="s">
        <v>760</v>
      </c>
      <c r="L377" s="138">
        <v>688750000</v>
      </c>
      <c r="M377" s="138">
        <v>0</v>
      </c>
      <c r="N377" s="446"/>
      <c r="O377" s="446" t="s">
        <v>2622</v>
      </c>
      <c r="P377" s="191">
        <v>0</v>
      </c>
      <c r="Q377" s="188">
        <v>501</v>
      </c>
      <c r="R377" s="188">
        <v>1002</v>
      </c>
      <c r="S377" s="188">
        <v>1002</v>
      </c>
      <c r="T377" s="188" t="s">
        <v>1546</v>
      </c>
      <c r="U377" s="64" t="s">
        <v>752</v>
      </c>
      <c r="V377" s="65">
        <v>0.2</v>
      </c>
      <c r="W377" s="66" t="s">
        <v>745</v>
      </c>
      <c r="X377" s="66"/>
      <c r="Y377" s="113" t="s">
        <v>2587</v>
      </c>
      <c r="Z377" s="98" t="s">
        <v>2406</v>
      </c>
      <c r="AA377" s="239">
        <f t="shared" si="56"/>
        <v>2.3256000000000001E-3</v>
      </c>
      <c r="AB377" s="252">
        <v>0</v>
      </c>
      <c r="AC377" s="262">
        <f>+(Tabla1[[#This Row],[Avance PDI]]*100%)/Tabla1[[#This Row],[ponderacion_meta]]</f>
        <v>0</v>
      </c>
      <c r="AD377" s="257">
        <v>0</v>
      </c>
      <c r="AE377" s="257">
        <v>2.3255999999999997E-3</v>
      </c>
      <c r="AF377" s="257">
        <v>4.6511999999999994E-3</v>
      </c>
      <c r="AG377" s="257">
        <v>4.6511999999999994E-3</v>
      </c>
      <c r="AH377" s="396">
        <f t="shared" si="54"/>
        <v>2.6596669999999999E-2</v>
      </c>
      <c r="AI377" s="396">
        <f t="shared" si="55"/>
        <v>8.2625000000000032E-2</v>
      </c>
      <c r="AJ377" s="317">
        <f t="shared" si="53"/>
        <v>8.2625000000000032E-2</v>
      </c>
      <c r="AK377" s="387">
        <v>9.7257000000000003E-3</v>
      </c>
      <c r="AL377" s="406">
        <f t="shared" si="58"/>
        <v>8.1250000000000003E-2</v>
      </c>
      <c r="AM377" s="325">
        <v>0</v>
      </c>
      <c r="AN377" s="411">
        <f t="shared" si="57"/>
        <v>0</v>
      </c>
      <c r="AO377" s="359" t="e">
        <f>+([1]!Tabla1[[#This Row],[ponderacion_accion]]/2505)*AQ377</f>
        <v>#REF!</v>
      </c>
      <c r="AP377" s="335" t="e">
        <f>Tabla1[[#This Row],[ponderacion_meta]]*AO377</f>
        <v>#REF!</v>
      </c>
      <c r="AQ377" s="351"/>
      <c r="AR377" s="380">
        <v>0</v>
      </c>
      <c r="AS377" s="9"/>
      <c r="AT377" s="521">
        <v>0</v>
      </c>
    </row>
    <row r="378" spans="1:46" ht="15" customHeight="1" x14ac:dyDescent="0.35">
      <c r="A378" s="236" t="s">
        <v>1151</v>
      </c>
      <c r="B378" s="400" t="s">
        <v>567</v>
      </c>
      <c r="C378" s="399" t="s">
        <v>1720</v>
      </c>
      <c r="D378" s="237" t="s">
        <v>1164</v>
      </c>
      <c r="E378" s="179" t="s">
        <v>650</v>
      </c>
      <c r="F378" s="156" t="s">
        <v>2611</v>
      </c>
      <c r="G378" s="165" t="s">
        <v>740</v>
      </c>
      <c r="H378" s="165" t="s">
        <v>1745</v>
      </c>
      <c r="I378" s="113" t="s">
        <v>759</v>
      </c>
      <c r="J378" s="274">
        <v>1.1627999999999999E-2</v>
      </c>
      <c r="K378" s="66" t="s">
        <v>760</v>
      </c>
      <c r="L378" s="138">
        <v>688750000</v>
      </c>
      <c r="M378" s="138">
        <v>0</v>
      </c>
      <c r="N378" s="446"/>
      <c r="O378" s="446" t="s">
        <v>2622</v>
      </c>
      <c r="P378" s="191">
        <v>0</v>
      </c>
      <c r="Q378" s="188">
        <v>501</v>
      </c>
      <c r="R378" s="188">
        <v>1002</v>
      </c>
      <c r="S378" s="188">
        <v>1002</v>
      </c>
      <c r="T378" s="188" t="s">
        <v>1547</v>
      </c>
      <c r="U378" s="64" t="s">
        <v>761</v>
      </c>
      <c r="V378" s="65">
        <v>0.6</v>
      </c>
      <c r="W378" s="66" t="s">
        <v>132</v>
      </c>
      <c r="X378" s="66"/>
      <c r="Y378" s="113" t="s">
        <v>2587</v>
      </c>
      <c r="Z378" s="98" t="s">
        <v>2406</v>
      </c>
      <c r="AA378" s="239">
        <f t="shared" si="56"/>
        <v>6.9767999999999991E-3</v>
      </c>
      <c r="AB378" s="252">
        <v>0</v>
      </c>
      <c r="AC378" s="262">
        <f>+(Tabla1[[#This Row],[Avance PDI]]*100%)/Tabla1[[#This Row],[ponderacion_meta]]</f>
        <v>0</v>
      </c>
      <c r="AD378" s="257">
        <v>0</v>
      </c>
      <c r="AE378" s="257">
        <v>2.3255999999999997E-3</v>
      </c>
      <c r="AF378" s="257">
        <v>4.6511999999999994E-3</v>
      </c>
      <c r="AG378" s="257">
        <v>4.6511999999999994E-3</v>
      </c>
      <c r="AH378" s="396">
        <f t="shared" si="54"/>
        <v>2.6596669999999999E-2</v>
      </c>
      <c r="AI378" s="396">
        <f t="shared" si="55"/>
        <v>8.2625000000000032E-2</v>
      </c>
      <c r="AJ378" s="317">
        <f t="shared" si="53"/>
        <v>8.2625000000000032E-2</v>
      </c>
      <c r="AK378" s="387">
        <v>9.7257000000000003E-3</v>
      </c>
      <c r="AL378" s="406">
        <f t="shared" si="58"/>
        <v>8.1250000000000003E-2</v>
      </c>
      <c r="AM378" s="325">
        <v>0</v>
      </c>
      <c r="AN378" s="411">
        <f t="shared" si="57"/>
        <v>0</v>
      </c>
      <c r="AO378" s="359" t="e">
        <f>+([1]!Tabla1[[#This Row],[ponderacion_accion]]/2505)*AQ378</f>
        <v>#REF!</v>
      </c>
      <c r="AP378" s="335" t="e">
        <f>Tabla1[[#This Row],[ponderacion_meta]]*AO378</f>
        <v>#REF!</v>
      </c>
      <c r="AQ378" s="351"/>
      <c r="AR378" s="380">
        <v>0</v>
      </c>
      <c r="AS378" s="9"/>
      <c r="AT378" s="521">
        <v>0</v>
      </c>
    </row>
    <row r="379" spans="1:46" ht="15" customHeight="1" x14ac:dyDescent="0.35">
      <c r="A379" s="236" t="s">
        <v>1151</v>
      </c>
      <c r="B379" s="400" t="s">
        <v>567</v>
      </c>
      <c r="C379" s="399" t="s">
        <v>1720</v>
      </c>
      <c r="D379" s="237" t="s">
        <v>1164</v>
      </c>
      <c r="E379" s="179" t="s">
        <v>650</v>
      </c>
      <c r="F379" s="156" t="s">
        <v>2611</v>
      </c>
      <c r="G379" s="165" t="s">
        <v>740</v>
      </c>
      <c r="H379" s="165" t="s">
        <v>1745</v>
      </c>
      <c r="I379" s="113" t="s">
        <v>759</v>
      </c>
      <c r="J379" s="274">
        <v>1.1627999999999999E-2</v>
      </c>
      <c r="K379" s="66" t="s">
        <v>760</v>
      </c>
      <c r="L379" s="138">
        <v>688750000</v>
      </c>
      <c r="M379" s="138">
        <v>0</v>
      </c>
      <c r="N379" s="446"/>
      <c r="O379" s="446" t="s">
        <v>2622</v>
      </c>
      <c r="P379" s="191">
        <v>0</v>
      </c>
      <c r="Q379" s="188">
        <v>501</v>
      </c>
      <c r="R379" s="188">
        <v>1002</v>
      </c>
      <c r="S379" s="188">
        <v>1002</v>
      </c>
      <c r="T379" s="188" t="s">
        <v>1548</v>
      </c>
      <c r="U379" s="64" t="s">
        <v>762</v>
      </c>
      <c r="V379" s="65">
        <v>0.1</v>
      </c>
      <c r="W379" s="66" t="s">
        <v>763</v>
      </c>
      <c r="X379" s="66"/>
      <c r="Y379" s="113" t="s">
        <v>2587</v>
      </c>
      <c r="Z379" s="98" t="s">
        <v>2406</v>
      </c>
      <c r="AA379" s="239">
        <f t="shared" si="56"/>
        <v>1.1628000000000001E-3</v>
      </c>
      <c r="AB379" s="252">
        <v>0</v>
      </c>
      <c r="AC379" s="262">
        <f>+(Tabla1[[#This Row],[Avance PDI]]*100%)/Tabla1[[#This Row],[ponderacion_meta]]</f>
        <v>0</v>
      </c>
      <c r="AD379" s="257">
        <v>0</v>
      </c>
      <c r="AE379" s="257">
        <v>2.3255999999999997E-3</v>
      </c>
      <c r="AF379" s="257">
        <v>4.6511999999999994E-3</v>
      </c>
      <c r="AG379" s="257">
        <v>4.6511999999999994E-3</v>
      </c>
      <c r="AH379" s="396">
        <f t="shared" si="54"/>
        <v>2.6596669999999999E-2</v>
      </c>
      <c r="AI379" s="396">
        <f t="shared" si="55"/>
        <v>8.2625000000000032E-2</v>
      </c>
      <c r="AJ379" s="317">
        <f t="shared" si="53"/>
        <v>8.2625000000000032E-2</v>
      </c>
      <c r="AK379" s="387">
        <v>9.7257000000000003E-3</v>
      </c>
      <c r="AL379" s="406">
        <f t="shared" si="58"/>
        <v>8.1250000000000003E-2</v>
      </c>
      <c r="AM379" s="325">
        <v>0</v>
      </c>
      <c r="AN379" s="411">
        <f t="shared" si="57"/>
        <v>0</v>
      </c>
      <c r="AO379" s="360" t="e">
        <f>+([1]!Tabla1[[#This Row],[ponderacion_accion]]/2505)*AQ379</f>
        <v>#REF!</v>
      </c>
      <c r="AP379" s="335" t="e">
        <f>Tabla1[[#This Row],[ponderacion_meta]]*AO379</f>
        <v>#REF!</v>
      </c>
      <c r="AQ379" s="356"/>
      <c r="AR379" s="380">
        <v>0</v>
      </c>
      <c r="AS379" s="9"/>
      <c r="AT379" s="521">
        <v>0</v>
      </c>
    </row>
    <row r="380" spans="1:46" ht="15" customHeight="1" x14ac:dyDescent="0.35">
      <c r="A380" s="236" t="s">
        <v>1151</v>
      </c>
      <c r="B380" s="400" t="s">
        <v>567</v>
      </c>
      <c r="C380" s="399" t="s">
        <v>1720</v>
      </c>
      <c r="D380" s="237" t="s">
        <v>1165</v>
      </c>
      <c r="E380" s="175" t="s">
        <v>764</v>
      </c>
      <c r="F380" s="176" t="s">
        <v>2612</v>
      </c>
      <c r="G380" s="166" t="s">
        <v>765</v>
      </c>
      <c r="H380" s="424" t="s">
        <v>1746</v>
      </c>
      <c r="I380" s="42" t="s">
        <v>766</v>
      </c>
      <c r="J380" s="266">
        <v>6.4939999999999998E-3</v>
      </c>
      <c r="K380" s="106" t="s">
        <v>767</v>
      </c>
      <c r="L380" s="139">
        <v>1490563000</v>
      </c>
      <c r="M380" s="139">
        <v>0</v>
      </c>
      <c r="N380" s="447"/>
      <c r="O380" s="447" t="s">
        <v>1753</v>
      </c>
      <c r="P380" s="213">
        <v>0.1</v>
      </c>
      <c r="Q380" s="184">
        <v>0.3</v>
      </c>
      <c r="R380" s="184">
        <v>0.4</v>
      </c>
      <c r="S380" s="184">
        <v>0.2</v>
      </c>
      <c r="T380" s="184" t="s">
        <v>1549</v>
      </c>
      <c r="U380" s="68" t="s">
        <v>768</v>
      </c>
      <c r="V380" s="67">
        <v>0.25</v>
      </c>
      <c r="W380" s="69" t="s">
        <v>769</v>
      </c>
      <c r="X380" s="69"/>
      <c r="Y380" s="73" t="s">
        <v>2587</v>
      </c>
      <c r="Z380" s="69" t="s">
        <v>2286</v>
      </c>
      <c r="AA380" s="238">
        <f t="shared" si="56"/>
        <v>1.6234999999999999E-3</v>
      </c>
      <c r="AB380" s="254">
        <f>+(Tabla1[[#This Row],[ponderacion_meta]]*Tabla1[[#This Row],[ponderacion_accion]])/2</f>
        <v>8.1174999999999997E-4</v>
      </c>
      <c r="AC380" s="278">
        <f>+(Tabla1[[#This Row],[Avance PDI]]*100%)/Tabla1[[#This Row],[ponderacion_meta]]</f>
        <v>0.125</v>
      </c>
      <c r="AD380" s="279">
        <f>+Tabla1[[#This Row],[ponderacion_meta]]*Tabla1[[#This Row],[proyeccion_año1]]</f>
        <v>6.4940000000000006E-4</v>
      </c>
      <c r="AE380" s="279">
        <f>+Tabla1[[#This Row],[ponderacion_meta]]*Tabla1[[#This Row],[proyeccion_año2]]</f>
        <v>1.9481999999999998E-3</v>
      </c>
      <c r="AF380" s="279">
        <f>+Tabla1[[#This Row],[ponderacion_meta]]*Tabla1[[#This Row],[proyeccion_año3]]</f>
        <v>2.5976000000000003E-3</v>
      </c>
      <c r="AG380" s="279">
        <f>+Tabla1[[#This Row],[ponderacion_meta]]*Tabla1[[#This Row],[proyeccion_año4]]</f>
        <v>1.2988000000000001E-3</v>
      </c>
      <c r="AH380" s="396">
        <f t="shared" si="54"/>
        <v>2.6596669999999999E-2</v>
      </c>
      <c r="AI380" s="396">
        <f t="shared" si="55"/>
        <v>8.2625000000000032E-2</v>
      </c>
      <c r="AJ380" s="317">
        <f t="shared" si="53"/>
        <v>8.2625000000000032E-2</v>
      </c>
      <c r="AK380" s="384">
        <f>+SUM(AB380:AB431)</f>
        <v>1.2974570000000001E-2</v>
      </c>
      <c r="AL380" s="322">
        <f>+SUM(AC380:AC431)/15</f>
        <v>9.366666666666669E-2</v>
      </c>
      <c r="AM380" s="331">
        <f>+SUM(AB380:AB397)</f>
        <v>4.2535699999999999E-3</v>
      </c>
      <c r="AN380" s="410">
        <f>+SUM(AC380:AC397)/6</f>
        <v>0.10916666666666669</v>
      </c>
      <c r="AO380" s="343" t="e">
        <f>+([1]!Tabla1[[#This Row],[ponderacion_accion]]/25%)*AQ380</f>
        <v>#REF!</v>
      </c>
      <c r="AP380" s="343" t="e">
        <f>Tabla1[[#This Row],[ponderacion_meta]]*AO380</f>
        <v>#REF!</v>
      </c>
      <c r="AQ380" s="369">
        <v>0.125</v>
      </c>
      <c r="AR380" s="377">
        <v>75173476</v>
      </c>
      <c r="AS380" s="7" t="e">
        <f>+((SUM(AO380:AO382)*100)/100)</f>
        <v>#REF!</v>
      </c>
      <c r="AT380" s="521">
        <v>0</v>
      </c>
    </row>
    <row r="381" spans="1:46" ht="15" customHeight="1" x14ac:dyDescent="0.35">
      <c r="A381" s="236" t="s">
        <v>1151</v>
      </c>
      <c r="B381" s="400" t="s">
        <v>567</v>
      </c>
      <c r="C381" s="399" t="s">
        <v>1720</v>
      </c>
      <c r="D381" s="237" t="s">
        <v>1165</v>
      </c>
      <c r="E381" s="175" t="s">
        <v>764</v>
      </c>
      <c r="F381" s="176" t="s">
        <v>2612</v>
      </c>
      <c r="G381" s="166" t="s">
        <v>765</v>
      </c>
      <c r="H381" s="166" t="s">
        <v>1746</v>
      </c>
      <c r="I381" s="42" t="s">
        <v>766</v>
      </c>
      <c r="J381" s="266">
        <v>6.4939999999999998E-3</v>
      </c>
      <c r="K381" s="107" t="s">
        <v>767</v>
      </c>
      <c r="L381" s="140">
        <v>1490563000</v>
      </c>
      <c r="M381" s="140">
        <v>0</v>
      </c>
      <c r="N381" s="448"/>
      <c r="O381" s="448" t="s">
        <v>1753</v>
      </c>
      <c r="P381" s="213">
        <v>0.1</v>
      </c>
      <c r="Q381" s="214">
        <v>0.3</v>
      </c>
      <c r="R381" s="214">
        <v>0.4</v>
      </c>
      <c r="S381" s="184">
        <v>0.2</v>
      </c>
      <c r="T381" s="184" t="s">
        <v>1550</v>
      </c>
      <c r="U381" s="68" t="s">
        <v>770</v>
      </c>
      <c r="V381" s="67">
        <v>0.5</v>
      </c>
      <c r="W381" s="69" t="s">
        <v>771</v>
      </c>
      <c r="X381" s="69"/>
      <c r="Y381" s="73" t="s">
        <v>2587</v>
      </c>
      <c r="Z381" s="69" t="s">
        <v>2286</v>
      </c>
      <c r="AA381" s="238">
        <f t="shared" si="56"/>
        <v>3.2469999999999999E-3</v>
      </c>
      <c r="AB381" s="252">
        <v>0</v>
      </c>
      <c r="AC381" s="278">
        <f>+(Tabla1[[#This Row],[Avance PDI]]*100%)/Tabla1[[#This Row],[ponderacion_meta]]</f>
        <v>0</v>
      </c>
      <c r="AD381" s="279">
        <v>6.4940000000000006E-4</v>
      </c>
      <c r="AE381" s="279">
        <v>1.9481999999999998E-3</v>
      </c>
      <c r="AF381" s="279">
        <v>2.5976000000000003E-3</v>
      </c>
      <c r="AG381" s="279">
        <v>1.2988000000000001E-3</v>
      </c>
      <c r="AH381" s="396">
        <f t="shared" si="54"/>
        <v>2.6596669999999999E-2</v>
      </c>
      <c r="AI381" s="396">
        <f t="shared" si="55"/>
        <v>8.2625000000000032E-2</v>
      </c>
      <c r="AJ381" s="317">
        <f t="shared" si="53"/>
        <v>8.2625000000000032E-2</v>
      </c>
      <c r="AK381" s="385">
        <v>1.2974570000000001E-2</v>
      </c>
      <c r="AL381" s="402">
        <f>$AL$380</f>
        <v>9.366666666666669E-2</v>
      </c>
      <c r="AM381" s="327">
        <v>0</v>
      </c>
      <c r="AN381" s="410">
        <f>$AN$380</f>
        <v>0.10916666666666669</v>
      </c>
      <c r="AO381" s="344" t="e">
        <f>+([1]!Tabla1[[#This Row],[ponderacion_accion]]/25%)*AQ381</f>
        <v>#REF!</v>
      </c>
      <c r="AP381" s="344" t="e">
        <f>Tabla1[[#This Row],[ponderacion_meta]]*AO381</f>
        <v>#REF!</v>
      </c>
      <c r="AQ381" s="354"/>
      <c r="AR381" s="378">
        <v>0</v>
      </c>
      <c r="AS381" s="7"/>
      <c r="AT381" s="521">
        <v>0</v>
      </c>
    </row>
    <row r="382" spans="1:46" ht="15" customHeight="1" x14ac:dyDescent="0.35">
      <c r="A382" s="236" t="s">
        <v>1151</v>
      </c>
      <c r="B382" s="400" t="s">
        <v>567</v>
      </c>
      <c r="C382" s="399" t="s">
        <v>1720</v>
      </c>
      <c r="D382" s="237" t="s">
        <v>1165</v>
      </c>
      <c r="E382" s="175" t="s">
        <v>764</v>
      </c>
      <c r="F382" s="176" t="s">
        <v>2612</v>
      </c>
      <c r="G382" s="166" t="s">
        <v>765</v>
      </c>
      <c r="H382" s="166" t="s">
        <v>1746</v>
      </c>
      <c r="I382" s="42" t="s">
        <v>766</v>
      </c>
      <c r="J382" s="266">
        <v>6.4939999999999998E-3</v>
      </c>
      <c r="K382" s="107" t="s">
        <v>767</v>
      </c>
      <c r="L382" s="140">
        <v>1490563000</v>
      </c>
      <c r="M382" s="140">
        <v>0</v>
      </c>
      <c r="N382" s="448"/>
      <c r="O382" s="448" t="s">
        <v>1753</v>
      </c>
      <c r="P382" s="213">
        <v>0.1</v>
      </c>
      <c r="Q382" s="214">
        <v>0.3</v>
      </c>
      <c r="R382" s="214">
        <v>0.4</v>
      </c>
      <c r="S382" s="184">
        <v>0.2</v>
      </c>
      <c r="T382" s="184" t="s">
        <v>1551</v>
      </c>
      <c r="U382" s="68" t="s">
        <v>772</v>
      </c>
      <c r="V382" s="67">
        <v>0.25</v>
      </c>
      <c r="W382" s="69" t="s">
        <v>132</v>
      </c>
      <c r="X382" s="69"/>
      <c r="Y382" s="73" t="s">
        <v>2587</v>
      </c>
      <c r="Z382" s="69" t="s">
        <v>2286</v>
      </c>
      <c r="AA382" s="238">
        <f t="shared" si="56"/>
        <v>1.6234999999999999E-3</v>
      </c>
      <c r="AB382" s="252">
        <v>0</v>
      </c>
      <c r="AC382" s="262">
        <f>+(Tabla1[[#This Row],[Avance PDI]]*100%)/Tabla1[[#This Row],[ponderacion_meta]]</f>
        <v>0</v>
      </c>
      <c r="AD382" s="257">
        <v>6.4940000000000006E-4</v>
      </c>
      <c r="AE382" s="257">
        <v>1.9481999999999998E-3</v>
      </c>
      <c r="AF382" s="257">
        <v>2.5976000000000003E-3</v>
      </c>
      <c r="AG382" s="257">
        <v>1.2988000000000001E-3</v>
      </c>
      <c r="AH382" s="396">
        <f t="shared" si="54"/>
        <v>2.6596669999999999E-2</v>
      </c>
      <c r="AI382" s="396">
        <f t="shared" si="55"/>
        <v>8.2625000000000032E-2</v>
      </c>
      <c r="AJ382" s="317">
        <f t="shared" si="53"/>
        <v>8.2625000000000032E-2</v>
      </c>
      <c r="AK382" s="385">
        <v>1.2974570000000001E-2</v>
      </c>
      <c r="AL382" s="402">
        <f t="shared" ref="AL382:AL431" si="59">$AL$380</f>
        <v>9.366666666666669E-2</v>
      </c>
      <c r="AM382" s="327">
        <v>0</v>
      </c>
      <c r="AN382" s="410">
        <f t="shared" ref="AN382:AN397" si="60">$AN$380</f>
        <v>0.10916666666666669</v>
      </c>
      <c r="AO382" s="345" t="e">
        <f>+([1]!Tabla1[[#This Row],[ponderacion_accion]]/25%)*AQ382</f>
        <v>#REF!</v>
      </c>
      <c r="AP382" s="345" t="e">
        <f>Tabla1[[#This Row],[ponderacion_meta]]*AO382</f>
        <v>#REF!</v>
      </c>
      <c r="AQ382" s="357"/>
      <c r="AR382" s="379">
        <v>0</v>
      </c>
      <c r="AS382" s="7"/>
      <c r="AT382" s="521">
        <v>0</v>
      </c>
    </row>
    <row r="383" spans="1:46" ht="15" customHeight="1" x14ac:dyDescent="0.35">
      <c r="A383" s="236" t="s">
        <v>1151</v>
      </c>
      <c r="B383" s="400" t="s">
        <v>567</v>
      </c>
      <c r="C383" s="399" t="s">
        <v>1720</v>
      </c>
      <c r="D383" s="237" t="s">
        <v>1165</v>
      </c>
      <c r="E383" s="175" t="s">
        <v>764</v>
      </c>
      <c r="F383" s="176" t="s">
        <v>2612</v>
      </c>
      <c r="G383" s="166" t="s">
        <v>765</v>
      </c>
      <c r="H383" s="166" t="s">
        <v>1746</v>
      </c>
      <c r="I383" s="70" t="s">
        <v>773</v>
      </c>
      <c r="J383" s="265">
        <v>6.4939999999999998E-3</v>
      </c>
      <c r="K383" s="108" t="s">
        <v>774</v>
      </c>
      <c r="L383" s="141">
        <v>0</v>
      </c>
      <c r="M383" s="141">
        <v>0</v>
      </c>
      <c r="N383" s="449"/>
      <c r="O383" s="449" t="s">
        <v>2622</v>
      </c>
      <c r="P383" s="194">
        <v>2</v>
      </c>
      <c r="Q383" s="195">
        <v>4</v>
      </c>
      <c r="R383" s="195">
        <v>6</v>
      </c>
      <c r="S383" s="195">
        <v>8</v>
      </c>
      <c r="T383" s="195" t="s">
        <v>1552</v>
      </c>
      <c r="U383" s="71" t="s">
        <v>775</v>
      </c>
      <c r="V383" s="43">
        <v>0.1</v>
      </c>
      <c r="W383" s="72" t="s">
        <v>45</v>
      </c>
      <c r="X383" s="72"/>
      <c r="Y383" s="70" t="s">
        <v>2587</v>
      </c>
      <c r="Z383" s="493" t="s">
        <v>2570</v>
      </c>
      <c r="AA383" s="239">
        <f t="shared" si="56"/>
        <v>6.4940000000000006E-4</v>
      </c>
      <c r="AB383" s="254">
        <f>+(Tabla1[[#This Row],[ponderacion_meta]]*Tabla1[[#This Row],[ponderacion_accion]])</f>
        <v>6.4940000000000006E-4</v>
      </c>
      <c r="AC383" s="262">
        <f>+(Tabla1[[#This Row],[Avance PDI]]*100%)/Tabla1[[#This Row],[ponderacion_meta]]</f>
        <v>0.10000000000000002</v>
      </c>
      <c r="AD383" s="257">
        <f>+Tabla1[[#This Row],[ponderacion_meta]]/20*Tabla1[[#This Row],[proyeccion_año1]]</f>
        <v>6.4939999999999996E-4</v>
      </c>
      <c r="AE383" s="257">
        <f>+Tabla1[[#This Row],[ponderacion_meta]]/20*Tabla1[[#This Row],[proyeccion_año2]]</f>
        <v>1.2987999999999999E-3</v>
      </c>
      <c r="AF383" s="257">
        <f>+Tabla1[[#This Row],[ponderacion_meta]]/20*Tabla1[[#This Row],[proyeccion_año3]]</f>
        <v>1.9481999999999998E-3</v>
      </c>
      <c r="AG383" s="257">
        <f>+Tabla1[[#This Row],[ponderacion_meta]]/20*Tabla1[[#This Row],[proyeccion_año4]]</f>
        <v>2.5975999999999998E-3</v>
      </c>
      <c r="AH383" s="396">
        <f t="shared" si="54"/>
        <v>2.6596669999999999E-2</v>
      </c>
      <c r="AI383" s="396">
        <f t="shared" si="55"/>
        <v>8.2625000000000032E-2</v>
      </c>
      <c r="AJ383" s="317">
        <f t="shared" si="53"/>
        <v>8.2625000000000032E-2</v>
      </c>
      <c r="AK383" s="385">
        <v>1.2974570000000001E-2</v>
      </c>
      <c r="AL383" s="402">
        <f t="shared" si="59"/>
        <v>9.366666666666669E-2</v>
      </c>
      <c r="AM383" s="327">
        <v>0</v>
      </c>
      <c r="AN383" s="410">
        <f t="shared" si="60"/>
        <v>0.10916666666666669</v>
      </c>
      <c r="AO383" s="358" t="e">
        <f>+([1]!Tabla1[[#This Row],[ponderacion_accion]]/8)*AQ383</f>
        <v>#REF!</v>
      </c>
      <c r="AP383" s="335" t="e">
        <f>Tabla1[[#This Row],[ponderacion_meta]]*AO383</f>
        <v>#REF!</v>
      </c>
      <c r="AQ383" s="361">
        <v>8</v>
      </c>
      <c r="AR383" s="380">
        <v>0</v>
      </c>
      <c r="AS383" s="515" t="e">
        <f>+((SUM(AO383:AO386)*100)/65)</f>
        <v>#REF!</v>
      </c>
      <c r="AT383" s="521">
        <v>0</v>
      </c>
    </row>
    <row r="384" spans="1:46" ht="15" customHeight="1" x14ac:dyDescent="0.35">
      <c r="A384" s="236" t="s">
        <v>1151</v>
      </c>
      <c r="B384" s="400" t="s">
        <v>567</v>
      </c>
      <c r="C384" s="399" t="s">
        <v>1720</v>
      </c>
      <c r="D384" s="237" t="s">
        <v>1165</v>
      </c>
      <c r="E384" s="175" t="s">
        <v>764</v>
      </c>
      <c r="F384" s="176" t="s">
        <v>2612</v>
      </c>
      <c r="G384" s="166" t="s">
        <v>765</v>
      </c>
      <c r="H384" s="166" t="s">
        <v>1746</v>
      </c>
      <c r="I384" s="41" t="s">
        <v>773</v>
      </c>
      <c r="J384" s="267">
        <v>6.4939999999999998E-3</v>
      </c>
      <c r="K384" s="108" t="s">
        <v>774</v>
      </c>
      <c r="L384" s="142">
        <v>0</v>
      </c>
      <c r="M384" s="142">
        <v>0</v>
      </c>
      <c r="N384" s="450"/>
      <c r="O384" s="450" t="s">
        <v>2622</v>
      </c>
      <c r="P384" s="191">
        <v>2</v>
      </c>
      <c r="Q384" s="188">
        <v>4</v>
      </c>
      <c r="R384" s="188">
        <v>6</v>
      </c>
      <c r="S384" s="188">
        <v>8</v>
      </c>
      <c r="T384" s="188" t="s">
        <v>1553</v>
      </c>
      <c r="U384" s="71" t="s">
        <v>776</v>
      </c>
      <c r="V384" s="43">
        <v>0.2</v>
      </c>
      <c r="W384" s="72" t="s">
        <v>777</v>
      </c>
      <c r="X384" s="72"/>
      <c r="Y384" s="70" t="s">
        <v>2587</v>
      </c>
      <c r="Z384" s="493" t="s">
        <v>2570</v>
      </c>
      <c r="AA384" s="239">
        <f t="shared" si="56"/>
        <v>1.2988000000000001E-3</v>
      </c>
      <c r="AB384" s="254">
        <f>+(Tabla1[[#This Row],[ponderacion_meta]]*Tabla1[[#This Row],[ponderacion_accion]])/20*13</f>
        <v>8.4422000000000013E-4</v>
      </c>
      <c r="AC384" s="262">
        <f>+(Tabla1[[#This Row],[Avance PDI]]*100%)/Tabla1[[#This Row],[ponderacion_meta]]</f>
        <v>0.13000000000000003</v>
      </c>
      <c r="AD384" s="257">
        <v>6.4939999999999996E-4</v>
      </c>
      <c r="AE384" s="257">
        <v>1.2987999999999999E-3</v>
      </c>
      <c r="AF384" s="257">
        <v>1.9481999999999998E-3</v>
      </c>
      <c r="AG384" s="257">
        <v>2.5975999999999998E-3</v>
      </c>
      <c r="AH384" s="396">
        <f t="shared" si="54"/>
        <v>2.6596669999999999E-2</v>
      </c>
      <c r="AI384" s="396">
        <f t="shared" si="55"/>
        <v>8.2625000000000032E-2</v>
      </c>
      <c r="AJ384" s="317">
        <f t="shared" si="53"/>
        <v>8.2625000000000032E-2</v>
      </c>
      <c r="AK384" s="385">
        <v>1.2974570000000001E-2</v>
      </c>
      <c r="AL384" s="402">
        <f t="shared" si="59"/>
        <v>9.366666666666669E-2</v>
      </c>
      <c r="AM384" s="327">
        <v>0</v>
      </c>
      <c r="AN384" s="410">
        <f t="shared" si="60"/>
        <v>0.10916666666666669</v>
      </c>
      <c r="AO384" s="359" t="e">
        <f>+([1]!Tabla1[[#This Row],[ponderacion_accion]]/8)*AQ384</f>
        <v>#REF!</v>
      </c>
      <c r="AP384" s="335" t="e">
        <f>Tabla1[[#This Row],[ponderacion_meta]]*AO384</f>
        <v>#REF!</v>
      </c>
      <c r="AQ384" s="351">
        <v>5.2</v>
      </c>
      <c r="AR384" s="380">
        <v>0</v>
      </c>
      <c r="AS384" s="9"/>
      <c r="AT384" s="521">
        <v>0</v>
      </c>
    </row>
    <row r="385" spans="1:46" ht="15" customHeight="1" x14ac:dyDescent="0.35">
      <c r="A385" s="236" t="s">
        <v>1151</v>
      </c>
      <c r="B385" s="400" t="s">
        <v>567</v>
      </c>
      <c r="C385" s="399" t="s">
        <v>1720</v>
      </c>
      <c r="D385" s="237" t="s">
        <v>1165</v>
      </c>
      <c r="E385" s="175" t="s">
        <v>764</v>
      </c>
      <c r="F385" s="176" t="s">
        <v>2612</v>
      </c>
      <c r="G385" s="166" t="s">
        <v>765</v>
      </c>
      <c r="H385" s="166" t="s">
        <v>1746</v>
      </c>
      <c r="I385" s="41" t="s">
        <v>773</v>
      </c>
      <c r="J385" s="267">
        <v>6.4939999999999998E-3</v>
      </c>
      <c r="K385" s="108" t="s">
        <v>774</v>
      </c>
      <c r="L385" s="142">
        <v>0</v>
      </c>
      <c r="M385" s="142">
        <v>0</v>
      </c>
      <c r="N385" s="450"/>
      <c r="O385" s="450" t="s">
        <v>2622</v>
      </c>
      <c r="P385" s="191">
        <v>2</v>
      </c>
      <c r="Q385" s="188">
        <v>4</v>
      </c>
      <c r="R385" s="188">
        <v>6</v>
      </c>
      <c r="S385" s="188">
        <v>8</v>
      </c>
      <c r="T385" s="188" t="s">
        <v>1554</v>
      </c>
      <c r="U385" s="71" t="s">
        <v>778</v>
      </c>
      <c r="V385" s="43">
        <v>0.6</v>
      </c>
      <c r="W385" s="72" t="s">
        <v>779</v>
      </c>
      <c r="X385" s="72"/>
      <c r="Y385" s="70" t="s">
        <v>2587</v>
      </c>
      <c r="Z385" s="493" t="s">
        <v>2570</v>
      </c>
      <c r="AA385" s="239">
        <f t="shared" si="56"/>
        <v>3.8963999999999995E-3</v>
      </c>
      <c r="AB385" s="252">
        <v>0</v>
      </c>
      <c r="AC385" s="262">
        <f>+(Tabla1[[#This Row],[Avance PDI]]*100%)/Tabla1[[#This Row],[ponderacion_meta]]</f>
        <v>0</v>
      </c>
      <c r="AD385" s="257">
        <v>6.4939999999999996E-4</v>
      </c>
      <c r="AE385" s="257">
        <v>1.2987999999999999E-3</v>
      </c>
      <c r="AF385" s="257">
        <v>1.9481999999999998E-3</v>
      </c>
      <c r="AG385" s="257">
        <v>2.5975999999999998E-3</v>
      </c>
      <c r="AH385" s="396">
        <f t="shared" si="54"/>
        <v>2.6596669999999999E-2</v>
      </c>
      <c r="AI385" s="396">
        <f t="shared" si="55"/>
        <v>8.2625000000000032E-2</v>
      </c>
      <c r="AJ385" s="317">
        <f t="shared" si="53"/>
        <v>8.2625000000000032E-2</v>
      </c>
      <c r="AK385" s="385">
        <v>1.2974570000000001E-2</v>
      </c>
      <c r="AL385" s="402">
        <f t="shared" si="59"/>
        <v>9.366666666666669E-2</v>
      </c>
      <c r="AM385" s="327">
        <v>0</v>
      </c>
      <c r="AN385" s="410">
        <f t="shared" si="60"/>
        <v>0.10916666666666669</v>
      </c>
      <c r="AO385" s="359" t="e">
        <f>+([1]!Tabla1[[#This Row],[ponderacion_accion]]/8)*AQ385</f>
        <v>#REF!</v>
      </c>
      <c r="AP385" s="335" t="e">
        <f>Tabla1[[#This Row],[ponderacion_meta]]*AO385</f>
        <v>#REF!</v>
      </c>
      <c r="AQ385" s="351"/>
      <c r="AR385" s="380">
        <v>0</v>
      </c>
      <c r="AS385" s="9"/>
      <c r="AT385" s="521">
        <v>0</v>
      </c>
    </row>
    <row r="386" spans="1:46" ht="15" customHeight="1" x14ac:dyDescent="0.35">
      <c r="A386" s="236" t="s">
        <v>1151</v>
      </c>
      <c r="B386" s="400" t="s">
        <v>567</v>
      </c>
      <c r="C386" s="399" t="s">
        <v>1720</v>
      </c>
      <c r="D386" s="237" t="s">
        <v>1165</v>
      </c>
      <c r="E386" s="175" t="s">
        <v>764</v>
      </c>
      <c r="F386" s="176" t="s">
        <v>2612</v>
      </c>
      <c r="G386" s="166" t="s">
        <v>765</v>
      </c>
      <c r="H386" s="166" t="s">
        <v>1746</v>
      </c>
      <c r="I386" s="41" t="s">
        <v>773</v>
      </c>
      <c r="J386" s="267">
        <v>6.4939999999999998E-3</v>
      </c>
      <c r="K386" s="108" t="s">
        <v>774</v>
      </c>
      <c r="L386" s="142">
        <v>0</v>
      </c>
      <c r="M386" s="142">
        <v>0</v>
      </c>
      <c r="N386" s="450"/>
      <c r="O386" s="450" t="s">
        <v>2622</v>
      </c>
      <c r="P386" s="191">
        <v>2</v>
      </c>
      <c r="Q386" s="188">
        <v>4</v>
      </c>
      <c r="R386" s="188">
        <v>6</v>
      </c>
      <c r="S386" s="188">
        <v>8</v>
      </c>
      <c r="T386" s="188" t="s">
        <v>1555</v>
      </c>
      <c r="U386" s="71" t="s">
        <v>780</v>
      </c>
      <c r="V386" s="43">
        <v>0.1</v>
      </c>
      <c r="W386" s="72" t="s">
        <v>781</v>
      </c>
      <c r="X386" s="72"/>
      <c r="Y386" s="70" t="s">
        <v>2587</v>
      </c>
      <c r="Z386" s="493" t="s">
        <v>2570</v>
      </c>
      <c r="AA386" s="239">
        <f t="shared" si="56"/>
        <v>6.4940000000000006E-4</v>
      </c>
      <c r="AB386" s="252">
        <v>0</v>
      </c>
      <c r="AC386" s="262">
        <f>+(Tabla1[[#This Row],[Avance PDI]]*100%)/Tabla1[[#This Row],[ponderacion_meta]]</f>
        <v>0</v>
      </c>
      <c r="AD386" s="257">
        <v>6.4939999999999996E-4</v>
      </c>
      <c r="AE386" s="257">
        <v>1.2987999999999999E-3</v>
      </c>
      <c r="AF386" s="257">
        <v>1.9481999999999998E-3</v>
      </c>
      <c r="AG386" s="257">
        <v>2.5975999999999998E-3</v>
      </c>
      <c r="AH386" s="396">
        <f t="shared" si="54"/>
        <v>2.6596669999999999E-2</v>
      </c>
      <c r="AI386" s="396">
        <f t="shared" si="55"/>
        <v>8.2625000000000032E-2</v>
      </c>
      <c r="AJ386" s="317">
        <f t="shared" si="53"/>
        <v>8.2625000000000032E-2</v>
      </c>
      <c r="AK386" s="385">
        <v>1.2974570000000001E-2</v>
      </c>
      <c r="AL386" s="402">
        <f t="shared" si="59"/>
        <v>9.366666666666669E-2</v>
      </c>
      <c r="AM386" s="327">
        <v>0</v>
      </c>
      <c r="AN386" s="410">
        <f t="shared" si="60"/>
        <v>0.10916666666666669</v>
      </c>
      <c r="AO386" s="360" t="e">
        <f>+([1]!Tabla1[[#This Row],[ponderacion_accion]]/8)*AQ386</f>
        <v>#REF!</v>
      </c>
      <c r="AP386" s="335" t="e">
        <f>Tabla1[[#This Row],[ponderacion_meta]]*AO386</f>
        <v>#REF!</v>
      </c>
      <c r="AQ386" s="356"/>
      <c r="AR386" s="380">
        <v>0</v>
      </c>
      <c r="AS386" s="9"/>
      <c r="AT386" s="521">
        <v>0</v>
      </c>
    </row>
    <row r="387" spans="1:46" ht="15" customHeight="1" x14ac:dyDescent="0.35">
      <c r="A387" s="236" t="s">
        <v>1151</v>
      </c>
      <c r="B387" s="400" t="s">
        <v>567</v>
      </c>
      <c r="C387" s="399" t="s">
        <v>1720</v>
      </c>
      <c r="D387" s="237" t="s">
        <v>1165</v>
      </c>
      <c r="E387" s="175" t="s">
        <v>764</v>
      </c>
      <c r="F387" s="176" t="s">
        <v>2612</v>
      </c>
      <c r="G387" s="166" t="s">
        <v>765</v>
      </c>
      <c r="H387" s="166" t="s">
        <v>1746</v>
      </c>
      <c r="I387" s="73" t="s">
        <v>782</v>
      </c>
      <c r="J387" s="264">
        <v>6.4939999999999998E-3</v>
      </c>
      <c r="K387" s="106" t="s">
        <v>783</v>
      </c>
      <c r="L387" s="139">
        <v>418362700</v>
      </c>
      <c r="M387" s="139">
        <v>0</v>
      </c>
      <c r="N387" s="447"/>
      <c r="O387" s="447" t="s">
        <v>2622</v>
      </c>
      <c r="P387" s="192">
        <v>10</v>
      </c>
      <c r="Q387" s="193">
        <v>10</v>
      </c>
      <c r="R387" s="193">
        <v>10</v>
      </c>
      <c r="S387" s="193">
        <v>10</v>
      </c>
      <c r="T387" s="193" t="s">
        <v>1556</v>
      </c>
      <c r="U387" s="74" t="s">
        <v>784</v>
      </c>
      <c r="V387" s="67">
        <v>0.2</v>
      </c>
      <c r="W387" s="69" t="s">
        <v>785</v>
      </c>
      <c r="X387" s="69"/>
      <c r="Y387" s="73" t="s">
        <v>2587</v>
      </c>
      <c r="Z387" s="493" t="s">
        <v>2570</v>
      </c>
      <c r="AA387" s="238">
        <f t="shared" si="56"/>
        <v>1.2988000000000001E-3</v>
      </c>
      <c r="AB387" s="252">
        <v>0</v>
      </c>
      <c r="AC387" s="278">
        <f>+(Tabla1[[#This Row],[Avance PDI]]*100%)/Tabla1[[#This Row],[ponderacion_meta]]</f>
        <v>0</v>
      </c>
      <c r="AD387" s="279">
        <f>+Tabla1[[#This Row],[ponderacion_meta]]/40*Tabla1[[#This Row],[proyeccion_año1]]</f>
        <v>1.6234999999999999E-3</v>
      </c>
      <c r="AE387" s="279">
        <f>+Tabla1[[#This Row],[ponderacion_meta]]/40*Tabla1[[#This Row],[proyeccion_año2]]</f>
        <v>1.6234999999999999E-3</v>
      </c>
      <c r="AF387" s="279">
        <f>+Tabla1[[#This Row],[ponderacion_meta]]/40*Tabla1[[#This Row],[proyeccion_año3]]</f>
        <v>1.6234999999999999E-3</v>
      </c>
      <c r="AG387" s="279">
        <f>+Tabla1[[#This Row],[ponderacion_meta]]/40*Tabla1[[#This Row],[proyeccion_año4]]</f>
        <v>1.6234999999999999E-3</v>
      </c>
      <c r="AH387" s="396">
        <f t="shared" si="54"/>
        <v>2.6596669999999999E-2</v>
      </c>
      <c r="AI387" s="396">
        <f t="shared" si="55"/>
        <v>8.2625000000000032E-2</v>
      </c>
      <c r="AJ387" s="317">
        <f t="shared" ref="AJ387:AJ431" si="61">+SUM($AC$258:$AC$431)/40</f>
        <v>8.2625000000000032E-2</v>
      </c>
      <c r="AK387" s="385">
        <v>1.2974570000000001E-2</v>
      </c>
      <c r="AL387" s="402">
        <f t="shared" si="59"/>
        <v>9.366666666666669E-2</v>
      </c>
      <c r="AM387" s="327">
        <v>0</v>
      </c>
      <c r="AN387" s="410">
        <f t="shared" si="60"/>
        <v>0.10916666666666669</v>
      </c>
      <c r="AO387" s="343" t="e">
        <f>+([1]!Tabla1[[#This Row],[ponderacion_accion]]/40)*AQ387</f>
        <v>#REF!</v>
      </c>
      <c r="AP387" s="343" t="e">
        <f>Tabla1[[#This Row],[ponderacion_meta]]*AO387</f>
        <v>#REF!</v>
      </c>
      <c r="AQ387" s="353"/>
      <c r="AR387" s="377">
        <v>134682680</v>
      </c>
      <c r="AS387" s="7" t="e">
        <f>+((SUM(AO387:AO388)*100)/25)</f>
        <v>#REF!</v>
      </c>
      <c r="AT387" s="521">
        <v>0</v>
      </c>
    </row>
    <row r="388" spans="1:46" ht="15" customHeight="1" x14ac:dyDescent="0.35">
      <c r="A388" s="236" t="s">
        <v>1151</v>
      </c>
      <c r="B388" s="400" t="s">
        <v>567</v>
      </c>
      <c r="C388" s="399" t="s">
        <v>1720</v>
      </c>
      <c r="D388" s="237" t="s">
        <v>1165</v>
      </c>
      <c r="E388" s="175" t="s">
        <v>764</v>
      </c>
      <c r="F388" s="176" t="s">
        <v>2612</v>
      </c>
      <c r="G388" s="166" t="s">
        <v>765</v>
      </c>
      <c r="H388" s="166" t="s">
        <v>1746</v>
      </c>
      <c r="I388" s="42" t="s">
        <v>782</v>
      </c>
      <c r="J388" s="266">
        <v>6.4939999999999998E-3</v>
      </c>
      <c r="K388" s="106" t="s">
        <v>783</v>
      </c>
      <c r="L388" s="140">
        <v>418362700</v>
      </c>
      <c r="M388" s="140">
        <v>0</v>
      </c>
      <c r="N388" s="448"/>
      <c r="O388" s="448" t="s">
        <v>2622</v>
      </c>
      <c r="P388" s="189">
        <v>10</v>
      </c>
      <c r="Q388" s="190">
        <v>10</v>
      </c>
      <c r="R388" s="190">
        <v>10</v>
      </c>
      <c r="S388" s="190">
        <v>10</v>
      </c>
      <c r="T388" s="190" t="s">
        <v>1557</v>
      </c>
      <c r="U388" s="74" t="s">
        <v>786</v>
      </c>
      <c r="V388" s="67">
        <v>0.8</v>
      </c>
      <c r="W388" s="69" t="s">
        <v>24</v>
      </c>
      <c r="X388" s="69"/>
      <c r="Y388" s="73" t="s">
        <v>2587</v>
      </c>
      <c r="Z388" s="493" t="s">
        <v>2570</v>
      </c>
      <c r="AA388" s="238">
        <f t="shared" si="56"/>
        <v>5.1952000000000005E-3</v>
      </c>
      <c r="AB388" s="252">
        <v>0</v>
      </c>
      <c r="AC388" s="278">
        <f>+(Tabla1[[#This Row],[Avance PDI]]*100%)/Tabla1[[#This Row],[ponderacion_meta]]</f>
        <v>0</v>
      </c>
      <c r="AD388" s="279">
        <v>1.6234999999999999E-3</v>
      </c>
      <c r="AE388" s="279">
        <v>1.6234999999999999E-3</v>
      </c>
      <c r="AF388" s="279">
        <v>1.6234999999999999E-3</v>
      </c>
      <c r="AG388" s="279">
        <v>1.6234999999999999E-3</v>
      </c>
      <c r="AH388" s="396">
        <f t="shared" ref="AH388:AH431" si="62">$AH$258</f>
        <v>2.6596669999999999E-2</v>
      </c>
      <c r="AI388" s="396">
        <f t="shared" ref="AI388:AI430" si="63">$AI$258</f>
        <v>8.2625000000000032E-2</v>
      </c>
      <c r="AJ388" s="317">
        <f t="shared" si="61"/>
        <v>8.2625000000000032E-2</v>
      </c>
      <c r="AK388" s="385">
        <v>1.2974570000000001E-2</v>
      </c>
      <c r="AL388" s="402">
        <f t="shared" si="59"/>
        <v>9.366666666666669E-2</v>
      </c>
      <c r="AM388" s="327">
        <v>0</v>
      </c>
      <c r="AN388" s="410">
        <f t="shared" si="60"/>
        <v>0.10916666666666669</v>
      </c>
      <c r="AO388" s="345" t="e">
        <f>+([1]!Tabla1[[#This Row],[ponderacion_accion]]/40)*AQ388</f>
        <v>#REF!</v>
      </c>
      <c r="AP388" s="345" t="e">
        <f>Tabla1[[#This Row],[ponderacion_meta]]*AO388</f>
        <v>#REF!</v>
      </c>
      <c r="AQ388" s="357"/>
      <c r="AR388" s="379">
        <v>0</v>
      </c>
      <c r="AS388" s="9"/>
      <c r="AT388" s="521">
        <v>0</v>
      </c>
    </row>
    <row r="389" spans="1:46" ht="15" customHeight="1" x14ac:dyDescent="0.35">
      <c r="A389" s="236" t="s">
        <v>1151</v>
      </c>
      <c r="B389" s="400" t="s">
        <v>567</v>
      </c>
      <c r="C389" s="399" t="s">
        <v>1720</v>
      </c>
      <c r="D389" s="237" t="s">
        <v>1165</v>
      </c>
      <c r="E389" s="175" t="s">
        <v>764</v>
      </c>
      <c r="F389" s="176" t="s">
        <v>2612</v>
      </c>
      <c r="G389" s="166" t="s">
        <v>765</v>
      </c>
      <c r="H389" s="166" t="s">
        <v>1746</v>
      </c>
      <c r="I389" s="70" t="s">
        <v>787</v>
      </c>
      <c r="J389" s="265">
        <v>6.4939999999999998E-3</v>
      </c>
      <c r="K389" s="108" t="s">
        <v>788</v>
      </c>
      <c r="L389" s="141">
        <v>0</v>
      </c>
      <c r="M389" s="141">
        <v>0</v>
      </c>
      <c r="N389" s="449"/>
      <c r="O389" s="449" t="s">
        <v>2622</v>
      </c>
      <c r="P389" s="194">
        <v>2</v>
      </c>
      <c r="Q389" s="195">
        <v>2</v>
      </c>
      <c r="R389" s="195">
        <v>2</v>
      </c>
      <c r="S389" s="195">
        <v>2</v>
      </c>
      <c r="T389" s="195" t="s">
        <v>1558</v>
      </c>
      <c r="U389" s="71" t="s">
        <v>775</v>
      </c>
      <c r="V389" s="43">
        <v>0.1</v>
      </c>
      <c r="W389" s="72" t="s">
        <v>45</v>
      </c>
      <c r="X389" s="72"/>
      <c r="Y389" s="70" t="s">
        <v>2587</v>
      </c>
      <c r="Z389" s="493" t="s">
        <v>2570</v>
      </c>
      <c r="AA389" s="239">
        <f t="shared" si="56"/>
        <v>6.4940000000000006E-4</v>
      </c>
      <c r="AB389" s="254">
        <f>+Tabla1[[#This Row],[ponderacion_meta]]*Tabla1[[#This Row],[ponderacion_accion]]</f>
        <v>6.4940000000000006E-4</v>
      </c>
      <c r="AC389" s="262">
        <f>+(Tabla1[[#This Row],[Avance PDI]]*100%)/Tabla1[[#This Row],[ponderacion_meta]]</f>
        <v>0.10000000000000002</v>
      </c>
      <c r="AD389" s="257">
        <f>+Tabla1[[#This Row],[ponderacion_meta]]/8*Tabla1[[#This Row],[proyeccion_año1]]</f>
        <v>1.6234999999999999E-3</v>
      </c>
      <c r="AE389" s="257">
        <f>+Tabla1[[#This Row],[ponderacion_meta]]/8*Tabla1[[#This Row],[proyeccion_año2]]</f>
        <v>1.6234999999999999E-3</v>
      </c>
      <c r="AF389" s="257">
        <f>+Tabla1[[#This Row],[ponderacion_meta]]/8*Tabla1[[#This Row],[proyeccion_año3]]</f>
        <v>1.6234999999999999E-3</v>
      </c>
      <c r="AG389" s="257">
        <f>+Tabla1[[#This Row],[ponderacion_meta]]/8*Tabla1[[#This Row],[proyeccion_año4]]</f>
        <v>1.6234999999999999E-3</v>
      </c>
      <c r="AH389" s="396">
        <f t="shared" si="62"/>
        <v>2.6596669999999999E-2</v>
      </c>
      <c r="AI389" s="396">
        <f t="shared" si="63"/>
        <v>8.2625000000000032E-2</v>
      </c>
      <c r="AJ389" s="317">
        <f t="shared" si="61"/>
        <v>8.2625000000000032E-2</v>
      </c>
      <c r="AK389" s="385">
        <v>1.2974570000000001E-2</v>
      </c>
      <c r="AL389" s="402">
        <f t="shared" si="59"/>
        <v>9.366666666666669E-2</v>
      </c>
      <c r="AM389" s="327">
        <v>0</v>
      </c>
      <c r="AN389" s="410">
        <f t="shared" si="60"/>
        <v>0.10916666666666669</v>
      </c>
      <c r="AO389" s="358" t="e">
        <f>+([1]!Tabla1[[#This Row],[ponderacion_accion]]/8)*AQ389</f>
        <v>#REF!</v>
      </c>
      <c r="AP389" s="335" t="e">
        <f>Tabla1[[#This Row],[ponderacion_meta]]*AO389</f>
        <v>#REF!</v>
      </c>
      <c r="AQ389" s="361">
        <v>8</v>
      </c>
      <c r="AR389" s="380">
        <v>0</v>
      </c>
      <c r="AS389" s="516" t="e">
        <f>+((SUM(AO389:AO392)*100)/47.5)</f>
        <v>#REF!</v>
      </c>
      <c r="AT389" s="521">
        <v>0</v>
      </c>
    </row>
    <row r="390" spans="1:46" ht="15" customHeight="1" x14ac:dyDescent="0.35">
      <c r="A390" s="236" t="s">
        <v>1151</v>
      </c>
      <c r="B390" s="400" t="s">
        <v>567</v>
      </c>
      <c r="C390" s="399" t="s">
        <v>1720</v>
      </c>
      <c r="D390" s="237" t="s">
        <v>1165</v>
      </c>
      <c r="E390" s="175" t="s">
        <v>764</v>
      </c>
      <c r="F390" s="176" t="s">
        <v>2612</v>
      </c>
      <c r="G390" s="166" t="s">
        <v>765</v>
      </c>
      <c r="H390" s="166" t="s">
        <v>1746</v>
      </c>
      <c r="I390" s="41" t="s">
        <v>787</v>
      </c>
      <c r="J390" s="267">
        <v>6.4939999999999998E-3</v>
      </c>
      <c r="K390" s="108" t="s">
        <v>788</v>
      </c>
      <c r="L390" s="142">
        <v>0</v>
      </c>
      <c r="M390" s="142">
        <v>0</v>
      </c>
      <c r="N390" s="450"/>
      <c r="O390" s="450" t="s">
        <v>2622</v>
      </c>
      <c r="P390" s="191">
        <v>2</v>
      </c>
      <c r="Q390" s="188">
        <v>2</v>
      </c>
      <c r="R390" s="188">
        <v>2</v>
      </c>
      <c r="S390" s="188">
        <v>2</v>
      </c>
      <c r="T390" s="188" t="s">
        <v>1559</v>
      </c>
      <c r="U390" s="71" t="s">
        <v>776</v>
      </c>
      <c r="V390" s="43">
        <v>0.2</v>
      </c>
      <c r="W390" s="72" t="s">
        <v>789</v>
      </c>
      <c r="X390" s="72"/>
      <c r="Y390" s="70" t="s">
        <v>2587</v>
      </c>
      <c r="Z390" s="493" t="s">
        <v>2570</v>
      </c>
      <c r="AA390" s="239">
        <f t="shared" si="56"/>
        <v>1.2988000000000001E-3</v>
      </c>
      <c r="AB390" s="254">
        <f>+Tabla1[[#This Row],[ponderacion_meta]]*Tabla1[[#This Row],[ponderacion_accion]]</f>
        <v>1.2988000000000001E-3</v>
      </c>
      <c r="AC390" s="262">
        <f>+(Tabla1[[#This Row],[Avance PDI]]*100%)/Tabla1[[#This Row],[ponderacion_meta]]</f>
        <v>0.20000000000000004</v>
      </c>
      <c r="AD390" s="257">
        <v>1.6234999999999999E-3</v>
      </c>
      <c r="AE390" s="257">
        <v>1.6234999999999999E-3</v>
      </c>
      <c r="AF390" s="257">
        <v>1.6234999999999999E-3</v>
      </c>
      <c r="AG390" s="257">
        <v>1.6234999999999999E-3</v>
      </c>
      <c r="AH390" s="396">
        <f t="shared" si="62"/>
        <v>2.6596669999999999E-2</v>
      </c>
      <c r="AI390" s="396">
        <f t="shared" si="63"/>
        <v>8.2625000000000032E-2</v>
      </c>
      <c r="AJ390" s="317">
        <f t="shared" si="61"/>
        <v>8.2625000000000032E-2</v>
      </c>
      <c r="AK390" s="385">
        <v>1.2974570000000001E-2</v>
      </c>
      <c r="AL390" s="402">
        <f t="shared" si="59"/>
        <v>9.366666666666669E-2</v>
      </c>
      <c r="AM390" s="327">
        <v>0</v>
      </c>
      <c r="AN390" s="410">
        <f t="shared" si="60"/>
        <v>0.10916666666666669</v>
      </c>
      <c r="AO390" s="359" t="e">
        <f>+([1]!Tabla1[[#This Row],[ponderacion_accion]]/8)*AQ390</f>
        <v>#REF!</v>
      </c>
      <c r="AP390" s="335" t="e">
        <f>Tabla1[[#This Row],[ponderacion_meta]]*AO390</f>
        <v>#REF!</v>
      </c>
      <c r="AQ390" s="351">
        <v>8</v>
      </c>
      <c r="AR390" s="380">
        <v>0</v>
      </c>
      <c r="AS390" s="9"/>
      <c r="AT390" s="521">
        <v>0</v>
      </c>
    </row>
    <row r="391" spans="1:46" ht="15" customHeight="1" x14ac:dyDescent="0.35">
      <c r="A391" s="236" t="s">
        <v>1151</v>
      </c>
      <c r="B391" s="400" t="s">
        <v>567</v>
      </c>
      <c r="C391" s="399" t="s">
        <v>1720</v>
      </c>
      <c r="D391" s="237" t="s">
        <v>1165</v>
      </c>
      <c r="E391" s="175" t="s">
        <v>764</v>
      </c>
      <c r="F391" s="176" t="s">
        <v>2612</v>
      </c>
      <c r="G391" s="166" t="s">
        <v>765</v>
      </c>
      <c r="H391" s="166" t="s">
        <v>1746</v>
      </c>
      <c r="I391" s="41" t="s">
        <v>787</v>
      </c>
      <c r="J391" s="267">
        <v>6.4939999999999998E-3</v>
      </c>
      <c r="K391" s="108" t="s">
        <v>788</v>
      </c>
      <c r="L391" s="142">
        <v>0</v>
      </c>
      <c r="M391" s="142">
        <v>0</v>
      </c>
      <c r="N391" s="450"/>
      <c r="O391" s="450" t="s">
        <v>2622</v>
      </c>
      <c r="P391" s="191">
        <v>2</v>
      </c>
      <c r="Q391" s="188">
        <v>2</v>
      </c>
      <c r="R391" s="188">
        <v>2</v>
      </c>
      <c r="S391" s="188">
        <v>2</v>
      </c>
      <c r="T391" s="188" t="s">
        <v>1560</v>
      </c>
      <c r="U391" s="71" t="s">
        <v>790</v>
      </c>
      <c r="V391" s="43">
        <v>0.6</v>
      </c>
      <c r="W391" s="72" t="s">
        <v>779</v>
      </c>
      <c r="X391" s="72"/>
      <c r="Y391" s="70" t="s">
        <v>2587</v>
      </c>
      <c r="Z391" s="493" t="s">
        <v>2570</v>
      </c>
      <c r="AA391" s="239">
        <f t="shared" si="56"/>
        <v>3.8963999999999995E-3</v>
      </c>
      <c r="AB391" s="252">
        <v>0</v>
      </c>
      <c r="AC391" s="262">
        <f>+(Tabla1[[#This Row],[Avance PDI]]*100%)/Tabla1[[#This Row],[ponderacion_meta]]</f>
        <v>0</v>
      </c>
      <c r="AD391" s="257">
        <v>1.6234999999999999E-3</v>
      </c>
      <c r="AE391" s="257">
        <v>1.6234999999999999E-3</v>
      </c>
      <c r="AF391" s="257">
        <v>1.6234999999999999E-3</v>
      </c>
      <c r="AG391" s="257">
        <v>1.6234999999999999E-3</v>
      </c>
      <c r="AH391" s="396">
        <f t="shared" si="62"/>
        <v>2.6596669999999999E-2</v>
      </c>
      <c r="AI391" s="396">
        <f t="shared" si="63"/>
        <v>8.2625000000000032E-2</v>
      </c>
      <c r="AJ391" s="317">
        <f t="shared" si="61"/>
        <v>8.2625000000000032E-2</v>
      </c>
      <c r="AK391" s="385">
        <v>1.2974570000000001E-2</v>
      </c>
      <c r="AL391" s="402">
        <f t="shared" si="59"/>
        <v>9.366666666666669E-2</v>
      </c>
      <c r="AM391" s="327">
        <v>0</v>
      </c>
      <c r="AN391" s="410">
        <f t="shared" si="60"/>
        <v>0.10916666666666669</v>
      </c>
      <c r="AO391" s="359" t="e">
        <f>+([1]!Tabla1[[#This Row],[ponderacion_accion]]/8)*AQ391</f>
        <v>#REF!</v>
      </c>
      <c r="AP391" s="335" t="e">
        <f>Tabla1[[#This Row],[ponderacion_meta]]*AO391</f>
        <v>#REF!</v>
      </c>
      <c r="AQ391" s="351"/>
      <c r="AR391" s="380">
        <v>0</v>
      </c>
      <c r="AS391" s="9"/>
      <c r="AT391" s="521">
        <v>0</v>
      </c>
    </row>
    <row r="392" spans="1:46" ht="15" customHeight="1" x14ac:dyDescent="0.35">
      <c r="A392" s="236" t="s">
        <v>1151</v>
      </c>
      <c r="B392" s="400" t="s">
        <v>567</v>
      </c>
      <c r="C392" s="399" t="s">
        <v>1720</v>
      </c>
      <c r="D392" s="237" t="s">
        <v>1165</v>
      </c>
      <c r="E392" s="175" t="s">
        <v>764</v>
      </c>
      <c r="F392" s="176" t="s">
        <v>2612</v>
      </c>
      <c r="G392" s="166" t="s">
        <v>765</v>
      </c>
      <c r="H392" s="166" t="s">
        <v>1746</v>
      </c>
      <c r="I392" s="41" t="s">
        <v>787</v>
      </c>
      <c r="J392" s="267">
        <v>6.4939999999999998E-3</v>
      </c>
      <c r="K392" s="108" t="s">
        <v>788</v>
      </c>
      <c r="L392" s="142">
        <v>0</v>
      </c>
      <c r="M392" s="142">
        <v>0</v>
      </c>
      <c r="N392" s="450"/>
      <c r="O392" s="450" t="s">
        <v>2622</v>
      </c>
      <c r="P392" s="191">
        <v>2</v>
      </c>
      <c r="Q392" s="188">
        <v>2</v>
      </c>
      <c r="R392" s="188">
        <v>2</v>
      </c>
      <c r="S392" s="188">
        <v>2</v>
      </c>
      <c r="T392" s="188" t="s">
        <v>1561</v>
      </c>
      <c r="U392" s="71" t="s">
        <v>780</v>
      </c>
      <c r="V392" s="43">
        <v>0.1</v>
      </c>
      <c r="W392" s="72" t="s">
        <v>781</v>
      </c>
      <c r="X392" s="72"/>
      <c r="Y392" s="70" t="s">
        <v>2587</v>
      </c>
      <c r="Z392" s="493" t="s">
        <v>2570</v>
      </c>
      <c r="AA392" s="239">
        <f t="shared" si="56"/>
        <v>6.4940000000000006E-4</v>
      </c>
      <c r="AB392" s="252">
        <v>0</v>
      </c>
      <c r="AC392" s="262">
        <f>+(Tabla1[[#This Row],[Avance PDI]]*100%)/Tabla1[[#This Row],[ponderacion_meta]]</f>
        <v>0</v>
      </c>
      <c r="AD392" s="257">
        <v>1.6234999999999999E-3</v>
      </c>
      <c r="AE392" s="257">
        <v>1.6234999999999999E-3</v>
      </c>
      <c r="AF392" s="257">
        <v>1.6234999999999999E-3</v>
      </c>
      <c r="AG392" s="257">
        <v>1.6234999999999999E-3</v>
      </c>
      <c r="AH392" s="396">
        <f t="shared" si="62"/>
        <v>2.6596669999999999E-2</v>
      </c>
      <c r="AI392" s="396">
        <f t="shared" si="63"/>
        <v>8.2625000000000032E-2</v>
      </c>
      <c r="AJ392" s="317">
        <f t="shared" si="61"/>
        <v>8.2625000000000032E-2</v>
      </c>
      <c r="AK392" s="385">
        <v>1.2974570000000001E-2</v>
      </c>
      <c r="AL392" s="402">
        <f t="shared" si="59"/>
        <v>9.366666666666669E-2</v>
      </c>
      <c r="AM392" s="327">
        <v>0</v>
      </c>
      <c r="AN392" s="410">
        <f t="shared" si="60"/>
        <v>0.10916666666666669</v>
      </c>
      <c r="AO392" s="360" t="e">
        <f>+([1]!Tabla1[[#This Row],[ponderacion_accion]]/8)*AQ392</f>
        <v>#REF!</v>
      </c>
      <c r="AP392" s="335" t="e">
        <f>Tabla1[[#This Row],[ponderacion_meta]]*AO392</f>
        <v>#REF!</v>
      </c>
      <c r="AQ392" s="356"/>
      <c r="AR392" s="380">
        <v>0</v>
      </c>
      <c r="AS392" s="9"/>
      <c r="AT392" s="521">
        <v>0</v>
      </c>
    </row>
    <row r="393" spans="1:46" ht="15" customHeight="1" x14ac:dyDescent="0.35">
      <c r="A393" s="236" t="s">
        <v>1151</v>
      </c>
      <c r="B393" s="400" t="s">
        <v>567</v>
      </c>
      <c r="C393" s="399" t="s">
        <v>1720</v>
      </c>
      <c r="D393" s="237" t="s">
        <v>1165</v>
      </c>
      <c r="E393" s="175" t="s">
        <v>764</v>
      </c>
      <c r="F393" s="176" t="s">
        <v>2612</v>
      </c>
      <c r="G393" s="166" t="s">
        <v>765</v>
      </c>
      <c r="H393" s="166" t="s">
        <v>1746</v>
      </c>
      <c r="I393" s="73" t="s">
        <v>791</v>
      </c>
      <c r="J393" s="264">
        <v>6.4939999999999998E-3</v>
      </c>
      <c r="K393" s="106" t="s">
        <v>792</v>
      </c>
      <c r="L393" s="139">
        <v>753052860</v>
      </c>
      <c r="M393" s="139">
        <v>0</v>
      </c>
      <c r="N393" s="447"/>
      <c r="O393" s="447" t="s">
        <v>2622</v>
      </c>
      <c r="P393" s="192">
        <v>5</v>
      </c>
      <c r="Q393" s="193">
        <v>5</v>
      </c>
      <c r="R393" s="193">
        <v>5</v>
      </c>
      <c r="S393" s="193">
        <v>5</v>
      </c>
      <c r="T393" s="193" t="s">
        <v>1562</v>
      </c>
      <c r="U393" s="74" t="s">
        <v>793</v>
      </c>
      <c r="V393" s="67">
        <v>0.2</v>
      </c>
      <c r="W393" s="69" t="s">
        <v>785</v>
      </c>
      <c r="X393" s="69"/>
      <c r="Y393" s="73" t="s">
        <v>2587</v>
      </c>
      <c r="Z393" s="493" t="s">
        <v>2570</v>
      </c>
      <c r="AA393" s="238">
        <f t="shared" si="56"/>
        <v>1.2988000000000001E-3</v>
      </c>
      <c r="AB393" s="252">
        <v>0</v>
      </c>
      <c r="AC393" s="278">
        <f>+(Tabla1[[#This Row],[Avance PDI]]*100%)/Tabla1[[#This Row],[ponderacion_meta]]</f>
        <v>0</v>
      </c>
      <c r="AD393" s="279">
        <f>+Tabla1[[#This Row],[ponderacion_meta]]/20*Tabla1[[#This Row],[proyeccion_año1]]</f>
        <v>1.6234999999999999E-3</v>
      </c>
      <c r="AE393" s="279">
        <f>+Tabla1[[#This Row],[ponderacion_meta]]/20*Tabla1[[#This Row],[proyeccion_año2]]</f>
        <v>1.6234999999999999E-3</v>
      </c>
      <c r="AF393" s="279">
        <f>+Tabla1[[#This Row],[ponderacion_meta]]/20*Tabla1[[#This Row],[proyeccion_año3]]</f>
        <v>1.6234999999999999E-3</v>
      </c>
      <c r="AG393" s="279">
        <f>+Tabla1[[#This Row],[ponderacion_meta]]/20*Tabla1[[#This Row],[proyeccion_año4]]</f>
        <v>1.6234999999999999E-3</v>
      </c>
      <c r="AH393" s="396">
        <f t="shared" si="62"/>
        <v>2.6596669999999999E-2</v>
      </c>
      <c r="AI393" s="396">
        <f t="shared" si="63"/>
        <v>8.2625000000000032E-2</v>
      </c>
      <c r="AJ393" s="317">
        <f t="shared" si="61"/>
        <v>8.2625000000000032E-2</v>
      </c>
      <c r="AK393" s="385">
        <v>1.2974570000000001E-2</v>
      </c>
      <c r="AL393" s="402">
        <f t="shared" si="59"/>
        <v>9.366666666666669E-2</v>
      </c>
      <c r="AM393" s="327">
        <v>0</v>
      </c>
      <c r="AN393" s="410">
        <f t="shared" si="60"/>
        <v>0.10916666666666669</v>
      </c>
      <c r="AO393" s="343" t="e">
        <f>+([1]!Tabla1[[#This Row],[ponderacion_accion]]/20)*AQ393</f>
        <v>#REF!</v>
      </c>
      <c r="AP393" s="343" t="e">
        <f>Tabla1[[#This Row],[ponderacion_meta]]*AO393</f>
        <v>#REF!</v>
      </c>
      <c r="AQ393" s="353"/>
      <c r="AR393" s="377">
        <v>230566230</v>
      </c>
      <c r="AS393" s="7" t="e">
        <f>+((SUM(AO393:AO394)*100)/40)</f>
        <v>#REF!</v>
      </c>
      <c r="AT393" s="521">
        <v>0</v>
      </c>
    </row>
    <row r="394" spans="1:46" ht="15" customHeight="1" x14ac:dyDescent="0.35">
      <c r="A394" s="236" t="s">
        <v>1151</v>
      </c>
      <c r="B394" s="400" t="s">
        <v>567</v>
      </c>
      <c r="C394" s="399" t="s">
        <v>1720</v>
      </c>
      <c r="D394" s="237" t="s">
        <v>1165</v>
      </c>
      <c r="E394" s="175" t="s">
        <v>764</v>
      </c>
      <c r="F394" s="176" t="s">
        <v>2612</v>
      </c>
      <c r="G394" s="166" t="s">
        <v>765</v>
      </c>
      <c r="H394" s="166" t="s">
        <v>1746</v>
      </c>
      <c r="I394" s="42" t="s">
        <v>791</v>
      </c>
      <c r="J394" s="266">
        <v>6.4939999999999998E-3</v>
      </c>
      <c r="K394" s="106" t="s">
        <v>792</v>
      </c>
      <c r="L394" s="140">
        <v>753052860</v>
      </c>
      <c r="M394" s="140">
        <v>0</v>
      </c>
      <c r="N394" s="448"/>
      <c r="O394" s="448" t="s">
        <v>2622</v>
      </c>
      <c r="P394" s="189">
        <v>5</v>
      </c>
      <c r="Q394" s="190">
        <v>5</v>
      </c>
      <c r="R394" s="190">
        <v>5</v>
      </c>
      <c r="S394" s="190">
        <v>5</v>
      </c>
      <c r="T394" s="190" t="s">
        <v>1563</v>
      </c>
      <c r="U394" s="74" t="s">
        <v>794</v>
      </c>
      <c r="V394" s="67">
        <v>0.8</v>
      </c>
      <c r="W394" s="69" t="s">
        <v>24</v>
      </c>
      <c r="X394" s="69"/>
      <c r="Y394" s="73" t="s">
        <v>2587</v>
      </c>
      <c r="Z394" s="493" t="s">
        <v>2570</v>
      </c>
      <c r="AA394" s="238">
        <f t="shared" si="56"/>
        <v>5.1952000000000005E-3</v>
      </c>
      <c r="AB394" s="252">
        <v>0</v>
      </c>
      <c r="AC394" s="278">
        <f>+(Tabla1[[#This Row],[Avance PDI]]*100%)/Tabla1[[#This Row],[ponderacion_meta]]</f>
        <v>0</v>
      </c>
      <c r="AD394" s="279">
        <v>1.6234999999999999E-3</v>
      </c>
      <c r="AE394" s="279">
        <v>1.6234999999999999E-3</v>
      </c>
      <c r="AF394" s="279">
        <v>1.6234999999999999E-3</v>
      </c>
      <c r="AG394" s="279">
        <v>1.6234999999999999E-3</v>
      </c>
      <c r="AH394" s="396">
        <f t="shared" si="62"/>
        <v>2.6596669999999999E-2</v>
      </c>
      <c r="AI394" s="396">
        <f t="shared" si="63"/>
        <v>8.2625000000000032E-2</v>
      </c>
      <c r="AJ394" s="317">
        <f t="shared" si="61"/>
        <v>8.2625000000000032E-2</v>
      </c>
      <c r="AK394" s="385">
        <v>1.2974570000000001E-2</v>
      </c>
      <c r="AL394" s="402">
        <f t="shared" si="59"/>
        <v>9.366666666666669E-2</v>
      </c>
      <c r="AM394" s="327">
        <v>0</v>
      </c>
      <c r="AN394" s="410">
        <f t="shared" si="60"/>
        <v>0.10916666666666669</v>
      </c>
      <c r="AO394" s="345" t="e">
        <f>+([1]!Tabla1[[#This Row],[ponderacion_accion]]/20)*AQ394</f>
        <v>#REF!</v>
      </c>
      <c r="AP394" s="345" t="e">
        <f>Tabla1[[#This Row],[ponderacion_meta]]*AO394</f>
        <v>#REF!</v>
      </c>
      <c r="AQ394" s="357"/>
      <c r="AR394" s="379">
        <v>0</v>
      </c>
      <c r="AS394" s="9"/>
      <c r="AT394" s="521">
        <v>0</v>
      </c>
    </row>
    <row r="395" spans="1:46" ht="15" customHeight="1" x14ac:dyDescent="0.35">
      <c r="A395" s="236" t="s">
        <v>1151</v>
      </c>
      <c r="B395" s="400" t="s">
        <v>567</v>
      </c>
      <c r="C395" s="399" t="s">
        <v>1720</v>
      </c>
      <c r="D395" s="237" t="s">
        <v>1165</v>
      </c>
      <c r="E395" s="175" t="s">
        <v>764</v>
      </c>
      <c r="F395" s="176" t="s">
        <v>2612</v>
      </c>
      <c r="G395" s="166" t="s">
        <v>765</v>
      </c>
      <c r="H395" s="166" t="s">
        <v>1746</v>
      </c>
      <c r="I395" s="70" t="s">
        <v>795</v>
      </c>
      <c r="J395" s="265">
        <v>6.4939999999999998E-3</v>
      </c>
      <c r="K395" s="72" t="s">
        <v>796</v>
      </c>
      <c r="L395" s="141">
        <v>0</v>
      </c>
      <c r="M395" s="141">
        <v>0</v>
      </c>
      <c r="N395" s="449"/>
      <c r="O395" s="449" t="s">
        <v>1753</v>
      </c>
      <c r="P395" s="185">
        <v>0.1</v>
      </c>
      <c r="Q395" s="186">
        <v>0.15</v>
      </c>
      <c r="R395" s="186">
        <v>0.2</v>
      </c>
      <c r="S395" s="186">
        <v>0.3</v>
      </c>
      <c r="T395" s="186" t="s">
        <v>1564</v>
      </c>
      <c r="U395" s="75" t="s">
        <v>797</v>
      </c>
      <c r="V395" s="43">
        <v>0.2</v>
      </c>
      <c r="W395" s="72" t="s">
        <v>798</v>
      </c>
      <c r="X395" s="72"/>
      <c r="Y395" s="70" t="s">
        <v>2587</v>
      </c>
      <c r="Z395" s="493" t="s">
        <v>2570</v>
      </c>
      <c r="AA395" s="239">
        <f t="shared" si="56"/>
        <v>1.2988000000000001E-3</v>
      </c>
      <c r="AB395" s="252">
        <v>0</v>
      </c>
      <c r="AC395" s="262">
        <f>+(Tabla1[[#This Row],[Avance PDI]]*100%)/Tabla1[[#This Row],[ponderacion_meta]]</f>
        <v>0</v>
      </c>
      <c r="AD395" s="257">
        <f>+Tabla1[[#This Row],[ponderacion_meta]]/75%*Tabla1[[#This Row],[proyeccion_año1]]</f>
        <v>8.6586666666666672E-4</v>
      </c>
      <c r="AE395" s="257">
        <f>+Tabla1[[#This Row],[ponderacion_meta]]/75%*Tabla1[[#This Row],[proyeccion_año2]]</f>
        <v>1.2987999999999999E-3</v>
      </c>
      <c r="AF395" s="257">
        <f>+Tabla1[[#This Row],[ponderacion_meta]]/75%*Tabla1[[#This Row],[proyeccion_año3]]</f>
        <v>1.7317333333333334E-3</v>
      </c>
      <c r="AG395" s="257">
        <f>+Tabla1[[#This Row],[ponderacion_meta]]/75%*Tabla1[[#This Row],[proyeccion_año4]]</f>
        <v>2.5975999999999998E-3</v>
      </c>
      <c r="AH395" s="396">
        <f t="shared" si="62"/>
        <v>2.6596669999999999E-2</v>
      </c>
      <c r="AI395" s="396">
        <f t="shared" si="63"/>
        <v>8.2625000000000032E-2</v>
      </c>
      <c r="AJ395" s="317">
        <f t="shared" si="61"/>
        <v>8.2625000000000032E-2</v>
      </c>
      <c r="AK395" s="385">
        <v>1.2974570000000001E-2</v>
      </c>
      <c r="AL395" s="402">
        <f t="shared" si="59"/>
        <v>9.366666666666669E-2</v>
      </c>
      <c r="AM395" s="327">
        <v>0</v>
      </c>
      <c r="AN395" s="410">
        <f t="shared" si="60"/>
        <v>0.10916666666666669</v>
      </c>
      <c r="AO395" s="358" t="e">
        <f>+([1]!Tabla1[[#This Row],[ponderacion_accion]]/20%)*AQ395</f>
        <v>#REF!</v>
      </c>
      <c r="AP395" s="335" t="e">
        <f>Tabla1[[#This Row],[ponderacion_meta]]*AO395</f>
        <v>#REF!</v>
      </c>
      <c r="AQ395" s="361"/>
      <c r="AR395" s="380">
        <v>72998945.5</v>
      </c>
      <c r="AS395" s="7" t="e">
        <f>+((SUM(AO395:AO397)*100)/25)</f>
        <v>#REF!</v>
      </c>
      <c r="AT395" s="521">
        <v>0</v>
      </c>
    </row>
    <row r="396" spans="1:46" ht="15" customHeight="1" x14ac:dyDescent="0.35">
      <c r="A396" s="236" t="s">
        <v>1151</v>
      </c>
      <c r="B396" s="400" t="s">
        <v>567</v>
      </c>
      <c r="C396" s="399" t="s">
        <v>1720</v>
      </c>
      <c r="D396" s="237" t="s">
        <v>1165</v>
      </c>
      <c r="E396" s="175" t="s">
        <v>764</v>
      </c>
      <c r="F396" s="176" t="s">
        <v>2612</v>
      </c>
      <c r="G396" s="166" t="s">
        <v>765</v>
      </c>
      <c r="H396" s="166" t="s">
        <v>1746</v>
      </c>
      <c r="I396" s="41" t="s">
        <v>795</v>
      </c>
      <c r="J396" s="267">
        <v>6.4939999999999998E-3</v>
      </c>
      <c r="K396" s="108" t="s">
        <v>796</v>
      </c>
      <c r="L396" s="141">
        <v>0</v>
      </c>
      <c r="M396" s="141">
        <v>0</v>
      </c>
      <c r="N396" s="449"/>
      <c r="O396" s="449" t="s">
        <v>1753</v>
      </c>
      <c r="P396" s="204">
        <v>0.1</v>
      </c>
      <c r="Q396" s="205">
        <v>0.15</v>
      </c>
      <c r="R396" s="205">
        <v>0.2</v>
      </c>
      <c r="S396" s="205">
        <v>0.3</v>
      </c>
      <c r="T396" s="205" t="s">
        <v>1565</v>
      </c>
      <c r="U396" s="75" t="s">
        <v>799</v>
      </c>
      <c r="V396" s="43">
        <v>0.6</v>
      </c>
      <c r="W396" s="72" t="s">
        <v>24</v>
      </c>
      <c r="X396" s="72"/>
      <c r="Y396" s="70" t="s">
        <v>2587</v>
      </c>
      <c r="Z396" s="493" t="s">
        <v>2570</v>
      </c>
      <c r="AA396" s="239">
        <f t="shared" si="56"/>
        <v>3.8963999999999995E-3</v>
      </c>
      <c r="AB396" s="252">
        <v>0</v>
      </c>
      <c r="AC396" s="262">
        <f>+(Tabla1[[#This Row],[Avance PDI]]*100%)/Tabla1[[#This Row],[ponderacion_meta]]</f>
        <v>0</v>
      </c>
      <c r="AD396" s="257">
        <v>8.6586666666666672E-4</v>
      </c>
      <c r="AE396" s="257">
        <v>1.2987999999999999E-3</v>
      </c>
      <c r="AF396" s="257">
        <v>1.7317333333333334E-3</v>
      </c>
      <c r="AG396" s="257">
        <v>2.5975999999999998E-3</v>
      </c>
      <c r="AH396" s="396">
        <f t="shared" si="62"/>
        <v>2.6596669999999999E-2</v>
      </c>
      <c r="AI396" s="396">
        <f t="shared" si="63"/>
        <v>8.2625000000000032E-2</v>
      </c>
      <c r="AJ396" s="317">
        <f t="shared" si="61"/>
        <v>8.2625000000000032E-2</v>
      </c>
      <c r="AK396" s="385">
        <v>1.2974570000000001E-2</v>
      </c>
      <c r="AL396" s="402">
        <f t="shared" si="59"/>
        <v>9.366666666666669E-2</v>
      </c>
      <c r="AM396" s="327">
        <v>0</v>
      </c>
      <c r="AN396" s="410">
        <f t="shared" si="60"/>
        <v>0.10916666666666669</v>
      </c>
      <c r="AO396" s="359" t="e">
        <f>+([1]!Tabla1[[#This Row],[ponderacion_accion]]/60%)*AQ396</f>
        <v>#REF!</v>
      </c>
      <c r="AP396" s="335" t="e">
        <f>Tabla1[[#This Row],[ponderacion_meta]]*AO396</f>
        <v>#REF!</v>
      </c>
      <c r="AQ396" s="351"/>
      <c r="AR396" s="380">
        <v>0</v>
      </c>
      <c r="AS396" s="9"/>
      <c r="AT396" s="521">
        <v>0</v>
      </c>
    </row>
    <row r="397" spans="1:46" ht="15" customHeight="1" x14ac:dyDescent="0.35">
      <c r="A397" s="236" t="s">
        <v>1151</v>
      </c>
      <c r="B397" s="400" t="s">
        <v>567</v>
      </c>
      <c r="C397" s="399" t="s">
        <v>1720</v>
      </c>
      <c r="D397" s="237" t="s">
        <v>1165</v>
      </c>
      <c r="E397" s="175" t="s">
        <v>764</v>
      </c>
      <c r="F397" s="176" t="s">
        <v>2612</v>
      </c>
      <c r="G397" s="166" t="s">
        <v>765</v>
      </c>
      <c r="H397" s="166" t="s">
        <v>1746</v>
      </c>
      <c r="I397" s="41" t="s">
        <v>795</v>
      </c>
      <c r="J397" s="267">
        <v>6.4939999999999998E-3</v>
      </c>
      <c r="K397" s="108" t="s">
        <v>796</v>
      </c>
      <c r="L397" s="141">
        <v>0</v>
      </c>
      <c r="M397" s="141">
        <v>0</v>
      </c>
      <c r="N397" s="449"/>
      <c r="O397" s="449" t="s">
        <v>1753</v>
      </c>
      <c r="P397" s="204">
        <v>0.1</v>
      </c>
      <c r="Q397" s="205">
        <v>0.15</v>
      </c>
      <c r="R397" s="205">
        <v>0.2</v>
      </c>
      <c r="S397" s="205">
        <v>0.3</v>
      </c>
      <c r="T397" s="205" t="s">
        <v>1566</v>
      </c>
      <c r="U397" s="75" t="s">
        <v>800</v>
      </c>
      <c r="V397" s="43">
        <v>0.2</v>
      </c>
      <c r="W397" s="72" t="s">
        <v>801</v>
      </c>
      <c r="X397" s="72"/>
      <c r="Y397" s="70" t="s">
        <v>2587</v>
      </c>
      <c r="Z397" s="493" t="s">
        <v>2570</v>
      </c>
      <c r="AA397" s="239">
        <f t="shared" si="56"/>
        <v>1.2988000000000001E-3</v>
      </c>
      <c r="AB397" s="252">
        <v>0</v>
      </c>
      <c r="AC397" s="262">
        <f>+(Tabla1[[#This Row],[Avance PDI]]*100%)/Tabla1[[#This Row],[ponderacion_meta]]</f>
        <v>0</v>
      </c>
      <c r="AD397" s="257">
        <v>8.6586666666666672E-4</v>
      </c>
      <c r="AE397" s="257">
        <v>1.2987999999999999E-3</v>
      </c>
      <c r="AF397" s="257">
        <v>1.7317333333333334E-3</v>
      </c>
      <c r="AG397" s="257">
        <v>2.5975999999999998E-3</v>
      </c>
      <c r="AH397" s="396">
        <f t="shared" si="62"/>
        <v>2.6596669999999999E-2</v>
      </c>
      <c r="AI397" s="396">
        <f t="shared" si="63"/>
        <v>8.2625000000000032E-2</v>
      </c>
      <c r="AJ397" s="317">
        <f t="shared" si="61"/>
        <v>8.2625000000000032E-2</v>
      </c>
      <c r="AK397" s="385">
        <v>1.2974570000000001E-2</v>
      </c>
      <c r="AL397" s="402">
        <f t="shared" si="59"/>
        <v>9.366666666666669E-2</v>
      </c>
      <c r="AM397" s="327">
        <v>0</v>
      </c>
      <c r="AN397" s="410">
        <f t="shared" si="60"/>
        <v>0.10916666666666669</v>
      </c>
      <c r="AO397" s="360" t="e">
        <f>+([1]!Tabla1[[#This Row],[ponderacion_accion]]/20%)*AQ397</f>
        <v>#REF!</v>
      </c>
      <c r="AP397" s="335" t="e">
        <f>Tabla1[[#This Row],[ponderacion_meta]]*AO397</f>
        <v>#REF!</v>
      </c>
      <c r="AQ397" s="356"/>
      <c r="AR397" s="380">
        <v>0</v>
      </c>
      <c r="AS397" s="9"/>
      <c r="AT397" s="521">
        <v>0</v>
      </c>
    </row>
    <row r="398" spans="1:46" ht="15" customHeight="1" x14ac:dyDescent="0.35">
      <c r="A398" s="236" t="s">
        <v>1151</v>
      </c>
      <c r="B398" s="400" t="s">
        <v>567</v>
      </c>
      <c r="C398" s="399" t="s">
        <v>1720</v>
      </c>
      <c r="D398" s="237" t="s">
        <v>1165</v>
      </c>
      <c r="E398" s="175" t="s">
        <v>764</v>
      </c>
      <c r="F398" s="156" t="s">
        <v>2613</v>
      </c>
      <c r="G398" s="167" t="s">
        <v>802</v>
      </c>
      <c r="H398" s="425" t="s">
        <v>1747</v>
      </c>
      <c r="I398" s="42" t="s">
        <v>803</v>
      </c>
      <c r="J398" s="266">
        <v>6.4939999999999998E-3</v>
      </c>
      <c r="K398" s="82" t="s">
        <v>804</v>
      </c>
      <c r="L398" s="140">
        <v>457453200</v>
      </c>
      <c r="M398" s="140">
        <v>0</v>
      </c>
      <c r="N398" s="448"/>
      <c r="O398" s="448" t="s">
        <v>1753</v>
      </c>
      <c r="P398" s="189">
        <v>0</v>
      </c>
      <c r="Q398" s="219">
        <v>0.4</v>
      </c>
      <c r="R398" s="219">
        <v>0.4</v>
      </c>
      <c r="S398" s="219">
        <v>0.2</v>
      </c>
      <c r="T398" s="219" t="s">
        <v>1567</v>
      </c>
      <c r="U398" s="76" t="s">
        <v>805</v>
      </c>
      <c r="V398" s="44">
        <v>0.1</v>
      </c>
      <c r="W398" s="77" t="s">
        <v>806</v>
      </c>
      <c r="X398" s="77"/>
      <c r="Y398" s="86" t="s">
        <v>2587</v>
      </c>
      <c r="Z398" s="109" t="s">
        <v>2559</v>
      </c>
      <c r="AA398" s="238">
        <f t="shared" si="56"/>
        <v>6.4940000000000006E-4</v>
      </c>
      <c r="AB398" s="252">
        <v>0</v>
      </c>
      <c r="AC398" s="278">
        <f>+(Tabla1[[#This Row],[Avance PDI]]*100%)/Tabla1[[#This Row],[ponderacion_meta]]</f>
        <v>0</v>
      </c>
      <c r="AD398" s="279">
        <f>+Tabla1[[#This Row],[ponderacion_meta]]*Tabla1[[#This Row],[proyeccion_año1]]</f>
        <v>0</v>
      </c>
      <c r="AE398" s="279">
        <f>+Tabla1[[#This Row],[ponderacion_meta]]*Tabla1[[#This Row],[proyeccion_año2]]</f>
        <v>2.5976000000000003E-3</v>
      </c>
      <c r="AF398" s="279">
        <f>+Tabla1[[#This Row],[ponderacion_meta]]*Tabla1[[#This Row],[proyeccion_año3]]</f>
        <v>2.5976000000000003E-3</v>
      </c>
      <c r="AG398" s="279">
        <f>+Tabla1[[#This Row],[ponderacion_meta]]*Tabla1[[#This Row],[proyeccion_año4]]</f>
        <v>1.2988000000000001E-3</v>
      </c>
      <c r="AH398" s="396">
        <f t="shared" si="62"/>
        <v>2.6596669999999999E-2</v>
      </c>
      <c r="AI398" s="396">
        <f t="shared" si="63"/>
        <v>8.2625000000000032E-2</v>
      </c>
      <c r="AJ398" s="317">
        <f t="shared" si="61"/>
        <v>8.2625000000000032E-2</v>
      </c>
      <c r="AK398" s="385">
        <v>1.2974570000000001E-2</v>
      </c>
      <c r="AL398" s="402">
        <f t="shared" si="59"/>
        <v>9.366666666666669E-2</v>
      </c>
      <c r="AM398" s="324">
        <f>+SUM(AB398:AB408)</f>
        <v>0</v>
      </c>
      <c r="AN398" s="411">
        <f>+SUM(AC398:AC408)/3</f>
        <v>0</v>
      </c>
      <c r="AO398" s="343" t="e">
        <f>+([1]!Tabla1[[#This Row],[ponderacion_accion]]/10%)*AQ398</f>
        <v>#REF!</v>
      </c>
      <c r="AP398" s="343" t="e">
        <f>Tabla1[[#This Row],[ponderacion_meta]]*AO398</f>
        <v>#REF!</v>
      </c>
      <c r="AQ398" s="353"/>
      <c r="AR398" s="377">
        <v>26298261</v>
      </c>
      <c r="AS398" s="7" t="e">
        <f>+((SUM(AO398:AO401)*100)/30)</f>
        <v>#REF!</v>
      </c>
      <c r="AT398" s="521">
        <v>0</v>
      </c>
    </row>
    <row r="399" spans="1:46" ht="15" customHeight="1" x14ac:dyDescent="0.35">
      <c r="A399" s="236" t="s">
        <v>1151</v>
      </c>
      <c r="B399" s="400" t="s">
        <v>567</v>
      </c>
      <c r="C399" s="399" t="s">
        <v>1720</v>
      </c>
      <c r="D399" s="237" t="s">
        <v>1165</v>
      </c>
      <c r="E399" s="175" t="s">
        <v>764</v>
      </c>
      <c r="F399" s="156" t="s">
        <v>2613</v>
      </c>
      <c r="G399" s="167" t="s">
        <v>802</v>
      </c>
      <c r="H399" s="167" t="s">
        <v>1747</v>
      </c>
      <c r="I399" s="42" t="s">
        <v>803</v>
      </c>
      <c r="J399" s="266">
        <v>6.4939999999999998E-3</v>
      </c>
      <c r="K399" s="82" t="s">
        <v>804</v>
      </c>
      <c r="L399" s="140">
        <v>457453200</v>
      </c>
      <c r="M399" s="140">
        <v>0</v>
      </c>
      <c r="N399" s="448"/>
      <c r="O399" s="448" t="s">
        <v>1753</v>
      </c>
      <c r="P399" s="213">
        <v>0</v>
      </c>
      <c r="Q399" s="214">
        <v>0.4</v>
      </c>
      <c r="R399" s="214">
        <v>0.4</v>
      </c>
      <c r="S399" s="219">
        <v>0.2</v>
      </c>
      <c r="T399" s="219" t="s">
        <v>1568</v>
      </c>
      <c r="U399" s="76" t="s">
        <v>807</v>
      </c>
      <c r="V399" s="44">
        <v>0.2</v>
      </c>
      <c r="W399" s="77" t="s">
        <v>808</v>
      </c>
      <c r="X399" s="77"/>
      <c r="Y399" s="86" t="s">
        <v>2587</v>
      </c>
      <c r="Z399" s="106" t="s">
        <v>2559</v>
      </c>
      <c r="AA399" s="238">
        <f t="shared" si="56"/>
        <v>1.2988000000000001E-3</v>
      </c>
      <c r="AB399" s="252">
        <v>0</v>
      </c>
      <c r="AC399" s="278">
        <f>+(Tabla1[[#This Row],[Avance PDI]]*100%)/Tabla1[[#This Row],[ponderacion_meta]]</f>
        <v>0</v>
      </c>
      <c r="AD399" s="279">
        <v>0</v>
      </c>
      <c r="AE399" s="279">
        <v>2.5976000000000003E-3</v>
      </c>
      <c r="AF399" s="279">
        <v>2.5976000000000003E-3</v>
      </c>
      <c r="AG399" s="279">
        <v>1.2988000000000001E-3</v>
      </c>
      <c r="AH399" s="396">
        <f t="shared" si="62"/>
        <v>2.6596669999999999E-2</v>
      </c>
      <c r="AI399" s="396">
        <f t="shared" si="63"/>
        <v>8.2625000000000032E-2</v>
      </c>
      <c r="AJ399" s="317">
        <f t="shared" si="61"/>
        <v>8.2625000000000032E-2</v>
      </c>
      <c r="AK399" s="385">
        <v>1.2974570000000001E-2</v>
      </c>
      <c r="AL399" s="402">
        <f t="shared" si="59"/>
        <v>9.366666666666669E-2</v>
      </c>
      <c r="AM399" s="325">
        <v>0</v>
      </c>
      <c r="AN399" s="411">
        <v>0</v>
      </c>
      <c r="AO399" s="344" t="e">
        <f>+([1]!Tabla1[[#This Row],[ponderacion_accion]]/20%)*AQ399</f>
        <v>#REF!</v>
      </c>
      <c r="AP399" s="344" t="e">
        <f>Tabla1[[#This Row],[ponderacion_meta]]*AO399</f>
        <v>#REF!</v>
      </c>
      <c r="AQ399" s="354"/>
      <c r="AR399" s="378">
        <v>0</v>
      </c>
      <c r="AS399" s="9"/>
      <c r="AT399" s="521">
        <v>0</v>
      </c>
    </row>
    <row r="400" spans="1:46" ht="15" customHeight="1" x14ac:dyDescent="0.35">
      <c r="A400" s="236" t="s">
        <v>1151</v>
      </c>
      <c r="B400" s="400" t="s">
        <v>567</v>
      </c>
      <c r="C400" s="399" t="s">
        <v>1720</v>
      </c>
      <c r="D400" s="237" t="s">
        <v>1165</v>
      </c>
      <c r="E400" s="175" t="s">
        <v>764</v>
      </c>
      <c r="F400" s="156" t="s">
        <v>2613</v>
      </c>
      <c r="G400" s="167" t="s">
        <v>802</v>
      </c>
      <c r="H400" s="167" t="s">
        <v>1747</v>
      </c>
      <c r="I400" s="42" t="s">
        <v>803</v>
      </c>
      <c r="J400" s="266">
        <v>6.4939999999999998E-3</v>
      </c>
      <c r="K400" s="82" t="s">
        <v>804</v>
      </c>
      <c r="L400" s="140">
        <v>457453200</v>
      </c>
      <c r="M400" s="140">
        <v>0</v>
      </c>
      <c r="N400" s="448"/>
      <c r="O400" s="448" t="s">
        <v>1753</v>
      </c>
      <c r="P400" s="213">
        <v>0</v>
      </c>
      <c r="Q400" s="214">
        <v>0.4</v>
      </c>
      <c r="R400" s="214">
        <v>0.4</v>
      </c>
      <c r="S400" s="219">
        <v>0.2</v>
      </c>
      <c r="T400" s="219" t="s">
        <v>1569</v>
      </c>
      <c r="U400" s="76" t="s">
        <v>809</v>
      </c>
      <c r="V400" s="44">
        <v>0.5</v>
      </c>
      <c r="W400" s="77" t="s">
        <v>132</v>
      </c>
      <c r="X400" s="77"/>
      <c r="Y400" s="86" t="s">
        <v>2588</v>
      </c>
      <c r="Z400" s="106" t="s">
        <v>2559</v>
      </c>
      <c r="AA400" s="238">
        <f t="shared" si="56"/>
        <v>3.2469999999999999E-3</v>
      </c>
      <c r="AB400" s="252">
        <v>0</v>
      </c>
      <c r="AC400" s="278">
        <f>+(Tabla1[[#This Row],[Avance PDI]]*100%)/Tabla1[[#This Row],[ponderacion_meta]]</f>
        <v>0</v>
      </c>
      <c r="AD400" s="279">
        <v>0</v>
      </c>
      <c r="AE400" s="279">
        <v>2.5976000000000003E-3</v>
      </c>
      <c r="AF400" s="279">
        <v>2.5976000000000003E-3</v>
      </c>
      <c r="AG400" s="279">
        <v>1.2988000000000001E-3</v>
      </c>
      <c r="AH400" s="396">
        <f t="shared" si="62"/>
        <v>2.6596669999999999E-2</v>
      </c>
      <c r="AI400" s="396">
        <f t="shared" si="63"/>
        <v>8.2625000000000032E-2</v>
      </c>
      <c r="AJ400" s="317">
        <f t="shared" si="61"/>
        <v>8.2625000000000032E-2</v>
      </c>
      <c r="AK400" s="385">
        <v>1.2974570000000001E-2</v>
      </c>
      <c r="AL400" s="402">
        <f t="shared" si="59"/>
        <v>9.366666666666669E-2</v>
      </c>
      <c r="AM400" s="325">
        <v>0</v>
      </c>
      <c r="AN400" s="411">
        <v>0</v>
      </c>
      <c r="AO400" s="344" t="e">
        <f>+([1]!Tabla1[[#This Row],[ponderacion_accion]]/50%)*AQ400</f>
        <v>#REF!</v>
      </c>
      <c r="AP400" s="344" t="e">
        <f>Tabla1[[#This Row],[ponderacion_meta]]*AO400</f>
        <v>#REF!</v>
      </c>
      <c r="AQ400" s="354"/>
      <c r="AR400" s="378">
        <v>0</v>
      </c>
      <c r="AS400" s="9"/>
      <c r="AT400" s="521">
        <v>0</v>
      </c>
    </row>
    <row r="401" spans="1:46" ht="15" customHeight="1" x14ac:dyDescent="0.35">
      <c r="A401" s="236" t="s">
        <v>1151</v>
      </c>
      <c r="B401" s="400" t="s">
        <v>567</v>
      </c>
      <c r="C401" s="399" t="s">
        <v>1720</v>
      </c>
      <c r="D401" s="237" t="s">
        <v>1165</v>
      </c>
      <c r="E401" s="175" t="s">
        <v>764</v>
      </c>
      <c r="F401" s="156" t="s">
        <v>2613</v>
      </c>
      <c r="G401" s="167" t="s">
        <v>802</v>
      </c>
      <c r="H401" s="167" t="s">
        <v>1747</v>
      </c>
      <c r="I401" s="42" t="s">
        <v>803</v>
      </c>
      <c r="J401" s="266">
        <v>6.4939999999999998E-3</v>
      </c>
      <c r="K401" s="82" t="s">
        <v>804</v>
      </c>
      <c r="L401" s="140">
        <v>457453200</v>
      </c>
      <c r="M401" s="140">
        <v>0</v>
      </c>
      <c r="N401" s="448"/>
      <c r="O401" s="448" t="s">
        <v>1753</v>
      </c>
      <c r="P401" s="213">
        <v>0</v>
      </c>
      <c r="Q401" s="214">
        <v>0.4</v>
      </c>
      <c r="R401" s="214">
        <v>0.4</v>
      </c>
      <c r="S401" s="219">
        <v>0.2</v>
      </c>
      <c r="T401" s="219" t="s">
        <v>1570</v>
      </c>
      <c r="U401" s="76" t="s">
        <v>810</v>
      </c>
      <c r="V401" s="44">
        <v>0.2</v>
      </c>
      <c r="W401" s="77" t="s">
        <v>811</v>
      </c>
      <c r="X401" s="77"/>
      <c r="Y401" s="86" t="s">
        <v>2588</v>
      </c>
      <c r="Z401" s="106" t="s">
        <v>2559</v>
      </c>
      <c r="AA401" s="238">
        <f t="shared" si="56"/>
        <v>1.2988000000000001E-3</v>
      </c>
      <c r="AB401" s="252">
        <v>0</v>
      </c>
      <c r="AC401" s="278">
        <f>+(Tabla1[[#This Row],[Avance PDI]]*100%)/Tabla1[[#This Row],[ponderacion_meta]]</f>
        <v>0</v>
      </c>
      <c r="AD401" s="279">
        <v>0</v>
      </c>
      <c r="AE401" s="279">
        <v>2.5976000000000003E-3</v>
      </c>
      <c r="AF401" s="279">
        <v>2.5976000000000003E-3</v>
      </c>
      <c r="AG401" s="279">
        <v>1.2988000000000001E-3</v>
      </c>
      <c r="AH401" s="396">
        <f t="shared" si="62"/>
        <v>2.6596669999999999E-2</v>
      </c>
      <c r="AI401" s="396">
        <f t="shared" si="63"/>
        <v>8.2625000000000032E-2</v>
      </c>
      <c r="AJ401" s="317">
        <f t="shared" si="61"/>
        <v>8.2625000000000032E-2</v>
      </c>
      <c r="AK401" s="385">
        <v>1.2974570000000001E-2</v>
      </c>
      <c r="AL401" s="402">
        <f t="shared" si="59"/>
        <v>9.366666666666669E-2</v>
      </c>
      <c r="AM401" s="325">
        <v>0</v>
      </c>
      <c r="AN401" s="411">
        <v>0</v>
      </c>
      <c r="AO401" s="345" t="e">
        <f>+([1]!Tabla1[[#This Row],[ponderacion_accion]]/20%)*AQ401</f>
        <v>#REF!</v>
      </c>
      <c r="AP401" s="345" t="e">
        <f>Tabla1[[#This Row],[ponderacion_meta]]*AO401</f>
        <v>#REF!</v>
      </c>
      <c r="AQ401" s="357"/>
      <c r="AR401" s="379">
        <v>0</v>
      </c>
      <c r="AS401" s="9"/>
      <c r="AT401" s="521">
        <v>0</v>
      </c>
    </row>
    <row r="402" spans="1:46" ht="15" customHeight="1" x14ac:dyDescent="0.35">
      <c r="A402" s="236" t="s">
        <v>1151</v>
      </c>
      <c r="B402" s="400" t="s">
        <v>567</v>
      </c>
      <c r="C402" s="399" t="s">
        <v>1720</v>
      </c>
      <c r="D402" s="237" t="s">
        <v>1165</v>
      </c>
      <c r="E402" s="175" t="s">
        <v>764</v>
      </c>
      <c r="F402" s="156" t="s">
        <v>2613</v>
      </c>
      <c r="G402" s="167" t="s">
        <v>802</v>
      </c>
      <c r="H402" s="167" t="s">
        <v>1747</v>
      </c>
      <c r="I402" s="45" t="s">
        <v>812</v>
      </c>
      <c r="J402" s="275">
        <v>6.4939999999999998E-3</v>
      </c>
      <c r="K402" s="79" t="s">
        <v>813</v>
      </c>
      <c r="L402" s="143">
        <v>0</v>
      </c>
      <c r="M402" s="143">
        <v>0</v>
      </c>
      <c r="N402" s="451"/>
      <c r="O402" s="451" t="s">
        <v>2622</v>
      </c>
      <c r="P402" s="228">
        <v>1</v>
      </c>
      <c r="Q402" s="229">
        <v>1</v>
      </c>
      <c r="R402" s="229">
        <v>1</v>
      </c>
      <c r="S402" s="229">
        <v>1</v>
      </c>
      <c r="T402" s="229" t="s">
        <v>1571</v>
      </c>
      <c r="U402" s="78" t="s">
        <v>814</v>
      </c>
      <c r="V402" s="46">
        <v>0.2</v>
      </c>
      <c r="W402" s="79" t="s">
        <v>815</v>
      </c>
      <c r="X402" s="79"/>
      <c r="Y402" s="45" t="s">
        <v>2587</v>
      </c>
      <c r="Z402" s="497" t="s">
        <v>2563</v>
      </c>
      <c r="AA402" s="239">
        <f t="shared" si="56"/>
        <v>1.2988000000000001E-3</v>
      </c>
      <c r="AB402" s="252">
        <v>0</v>
      </c>
      <c r="AC402" s="262">
        <f>+(Tabla1[[#This Row],[Avance PDI]]*100%)/Tabla1[[#This Row],[ponderacion_meta]]</f>
        <v>0</v>
      </c>
      <c r="AD402" s="257">
        <f>+Tabla1[[#This Row],[ponderacion_meta]]/4*Tabla1[[#This Row],[proyeccion_año1]]</f>
        <v>1.6234999999999999E-3</v>
      </c>
      <c r="AE402" s="257">
        <f>+Tabla1[[#This Row],[ponderacion_meta]]/4*Tabla1[[#This Row],[proyeccion_año2]]</f>
        <v>1.6234999999999999E-3</v>
      </c>
      <c r="AF402" s="257">
        <f>+Tabla1[[#This Row],[ponderacion_meta]]/4*Tabla1[[#This Row],[proyeccion_año3]]</f>
        <v>1.6234999999999999E-3</v>
      </c>
      <c r="AG402" s="257">
        <f>+Tabla1[[#This Row],[ponderacion_meta]]/4*Tabla1[[#This Row],[proyeccion_año4]]</f>
        <v>1.6234999999999999E-3</v>
      </c>
      <c r="AH402" s="396">
        <f t="shared" si="62"/>
        <v>2.6596669999999999E-2</v>
      </c>
      <c r="AI402" s="396">
        <f t="shared" si="63"/>
        <v>8.2625000000000032E-2</v>
      </c>
      <c r="AJ402" s="317">
        <f t="shared" si="61"/>
        <v>8.2625000000000032E-2</v>
      </c>
      <c r="AK402" s="385">
        <v>1.2974570000000001E-2</v>
      </c>
      <c r="AL402" s="402">
        <f t="shared" si="59"/>
        <v>9.366666666666669E-2</v>
      </c>
      <c r="AM402" s="325">
        <v>0</v>
      </c>
      <c r="AN402" s="411">
        <v>0</v>
      </c>
      <c r="AO402" s="358" t="e">
        <f>+([1]!Tabla1[[#This Row],[ponderacion_accion]]/4)*AQ402</f>
        <v>#REF!</v>
      </c>
      <c r="AP402" s="358" t="e">
        <f>Tabla1[[#This Row],[ponderacion_meta]]*AO402</f>
        <v>#REF!</v>
      </c>
      <c r="AQ402" s="361"/>
      <c r="AR402" s="380">
        <v>115301668.5</v>
      </c>
      <c r="AS402" s="7" t="e">
        <f>+((SUM(AO402:AO404)*100)/50)</f>
        <v>#REF!</v>
      </c>
      <c r="AT402" s="521">
        <v>0</v>
      </c>
    </row>
    <row r="403" spans="1:46" ht="15" customHeight="1" x14ac:dyDescent="0.35">
      <c r="A403" s="236" t="s">
        <v>1151</v>
      </c>
      <c r="B403" s="400" t="s">
        <v>567</v>
      </c>
      <c r="C403" s="399" t="s">
        <v>1720</v>
      </c>
      <c r="D403" s="237" t="s">
        <v>1165</v>
      </c>
      <c r="E403" s="175" t="s">
        <v>764</v>
      </c>
      <c r="F403" s="156" t="s">
        <v>2613</v>
      </c>
      <c r="G403" s="167" t="s">
        <v>802</v>
      </c>
      <c r="H403" s="167" t="s">
        <v>1747</v>
      </c>
      <c r="I403" s="41" t="s">
        <v>812</v>
      </c>
      <c r="J403" s="267">
        <v>6.4939999999999998E-3</v>
      </c>
      <c r="K403" s="108" t="s">
        <v>813</v>
      </c>
      <c r="L403" s="142">
        <v>0</v>
      </c>
      <c r="M403" s="142">
        <v>0</v>
      </c>
      <c r="N403" s="450"/>
      <c r="O403" s="450" t="s">
        <v>2622</v>
      </c>
      <c r="P403" s="191">
        <v>1</v>
      </c>
      <c r="Q403" s="188">
        <v>1</v>
      </c>
      <c r="R403" s="188">
        <v>1</v>
      </c>
      <c r="S403" s="188">
        <v>1</v>
      </c>
      <c r="T403" s="188" t="s">
        <v>1572</v>
      </c>
      <c r="U403" s="78" t="s">
        <v>816</v>
      </c>
      <c r="V403" s="46">
        <v>0.6</v>
      </c>
      <c r="W403" s="79" t="s">
        <v>24</v>
      </c>
      <c r="X403" s="79"/>
      <c r="Y403" s="45" t="s">
        <v>2587</v>
      </c>
      <c r="Z403" s="497" t="s">
        <v>2563</v>
      </c>
      <c r="AA403" s="239">
        <f t="shared" si="56"/>
        <v>3.8963999999999995E-3</v>
      </c>
      <c r="AB403" s="252">
        <v>0</v>
      </c>
      <c r="AC403" s="262">
        <f>+(Tabla1[[#This Row],[Avance PDI]]*100%)/Tabla1[[#This Row],[ponderacion_meta]]</f>
        <v>0</v>
      </c>
      <c r="AD403" s="257">
        <v>1.6234999999999999E-3</v>
      </c>
      <c r="AE403" s="257">
        <v>1.6234999999999999E-3</v>
      </c>
      <c r="AF403" s="257">
        <v>1.6234999999999999E-3</v>
      </c>
      <c r="AG403" s="257">
        <v>1.6234999999999999E-3</v>
      </c>
      <c r="AH403" s="396">
        <f t="shared" si="62"/>
        <v>2.6596669999999999E-2</v>
      </c>
      <c r="AI403" s="396">
        <f t="shared" si="63"/>
        <v>8.2625000000000032E-2</v>
      </c>
      <c r="AJ403" s="317">
        <f t="shared" si="61"/>
        <v>8.2625000000000032E-2</v>
      </c>
      <c r="AK403" s="385">
        <v>1.2974570000000001E-2</v>
      </c>
      <c r="AL403" s="402">
        <f t="shared" si="59"/>
        <v>9.366666666666669E-2</v>
      </c>
      <c r="AM403" s="325">
        <v>0</v>
      </c>
      <c r="AN403" s="411">
        <v>0</v>
      </c>
      <c r="AO403" s="359" t="e">
        <f>+([1]!Tabla1[[#This Row],[ponderacion_accion]]/4)*AQ403</f>
        <v>#REF!</v>
      </c>
      <c r="AP403" s="359" t="e">
        <f>Tabla1[[#This Row],[ponderacion_meta]]*AO403</f>
        <v>#REF!</v>
      </c>
      <c r="AQ403" s="351"/>
      <c r="AR403" s="380">
        <v>0</v>
      </c>
      <c r="AS403" s="9"/>
      <c r="AT403" s="521">
        <v>0</v>
      </c>
    </row>
    <row r="404" spans="1:46" ht="15" customHeight="1" x14ac:dyDescent="0.35">
      <c r="A404" s="236" t="s">
        <v>1151</v>
      </c>
      <c r="B404" s="400" t="s">
        <v>567</v>
      </c>
      <c r="C404" s="399" t="s">
        <v>1720</v>
      </c>
      <c r="D404" s="237" t="s">
        <v>1165</v>
      </c>
      <c r="E404" s="175" t="s">
        <v>764</v>
      </c>
      <c r="F404" s="156" t="s">
        <v>2613</v>
      </c>
      <c r="G404" s="167" t="s">
        <v>802</v>
      </c>
      <c r="H404" s="167" t="s">
        <v>1747</v>
      </c>
      <c r="I404" s="41" t="s">
        <v>812</v>
      </c>
      <c r="J404" s="267">
        <v>6.4939999999999998E-3</v>
      </c>
      <c r="K404" s="108" t="s">
        <v>813</v>
      </c>
      <c r="L404" s="142">
        <v>0</v>
      </c>
      <c r="M404" s="142">
        <v>0</v>
      </c>
      <c r="N404" s="450"/>
      <c r="O404" s="450" t="s">
        <v>2622</v>
      </c>
      <c r="P404" s="191">
        <v>1</v>
      </c>
      <c r="Q404" s="188">
        <v>1</v>
      </c>
      <c r="R404" s="188">
        <v>1</v>
      </c>
      <c r="S404" s="188">
        <v>1</v>
      </c>
      <c r="T404" s="188" t="s">
        <v>1573</v>
      </c>
      <c r="U404" s="78" t="s">
        <v>817</v>
      </c>
      <c r="V404" s="46">
        <v>0.2</v>
      </c>
      <c r="W404" s="79" t="s">
        <v>818</v>
      </c>
      <c r="X404" s="79"/>
      <c r="Y404" s="45" t="s">
        <v>2587</v>
      </c>
      <c r="Z404" s="497" t="s">
        <v>2563</v>
      </c>
      <c r="AA404" s="239">
        <f t="shared" si="56"/>
        <v>1.2988000000000001E-3</v>
      </c>
      <c r="AB404" s="252">
        <v>0</v>
      </c>
      <c r="AC404" s="262">
        <f>+(Tabla1[[#This Row],[Avance PDI]]*100%)/Tabla1[[#This Row],[ponderacion_meta]]</f>
        <v>0</v>
      </c>
      <c r="AD404" s="257">
        <v>1.6234999999999999E-3</v>
      </c>
      <c r="AE404" s="257">
        <v>1.6234999999999999E-3</v>
      </c>
      <c r="AF404" s="257">
        <v>1.6234999999999999E-3</v>
      </c>
      <c r="AG404" s="257">
        <v>1.6234999999999999E-3</v>
      </c>
      <c r="AH404" s="396">
        <f t="shared" si="62"/>
        <v>2.6596669999999999E-2</v>
      </c>
      <c r="AI404" s="396">
        <f t="shared" si="63"/>
        <v>8.2625000000000032E-2</v>
      </c>
      <c r="AJ404" s="317">
        <f t="shared" si="61"/>
        <v>8.2625000000000032E-2</v>
      </c>
      <c r="AK404" s="385">
        <v>1.2974570000000001E-2</v>
      </c>
      <c r="AL404" s="402">
        <f t="shared" si="59"/>
        <v>9.366666666666669E-2</v>
      </c>
      <c r="AM404" s="325">
        <v>0</v>
      </c>
      <c r="AN404" s="411">
        <v>0</v>
      </c>
      <c r="AO404" s="360" t="e">
        <f>+([1]!Tabla1[[#This Row],[ponderacion_accion]]/4)*AQ404</f>
        <v>#REF!</v>
      </c>
      <c r="AP404" s="360" t="e">
        <f>Tabla1[[#This Row],[ponderacion_meta]]*AO404</f>
        <v>#REF!</v>
      </c>
      <c r="AQ404" s="356"/>
      <c r="AR404" s="380">
        <v>0</v>
      </c>
      <c r="AS404" s="9"/>
      <c r="AT404" s="521">
        <v>0</v>
      </c>
    </row>
    <row r="405" spans="1:46" ht="15" customHeight="1" x14ac:dyDescent="0.35">
      <c r="A405" s="236" t="s">
        <v>1151</v>
      </c>
      <c r="B405" s="400" t="s">
        <v>567</v>
      </c>
      <c r="C405" s="399" t="s">
        <v>1720</v>
      </c>
      <c r="D405" s="237" t="s">
        <v>1165</v>
      </c>
      <c r="E405" s="175" t="s">
        <v>764</v>
      </c>
      <c r="F405" s="156" t="s">
        <v>2613</v>
      </c>
      <c r="G405" s="167" t="s">
        <v>802</v>
      </c>
      <c r="H405" s="167" t="s">
        <v>1747</v>
      </c>
      <c r="I405" s="80" t="s">
        <v>819</v>
      </c>
      <c r="J405" s="276">
        <v>6.4939999999999998E-3</v>
      </c>
      <c r="K405" s="82" t="s">
        <v>820</v>
      </c>
      <c r="L405" s="144">
        <v>77272500</v>
      </c>
      <c r="M405" s="144">
        <v>0</v>
      </c>
      <c r="N405" s="452"/>
      <c r="O405" s="452" t="s">
        <v>2622</v>
      </c>
      <c r="P405" s="230">
        <v>1</v>
      </c>
      <c r="Q405" s="231">
        <v>2</v>
      </c>
      <c r="R405" s="231">
        <v>3</v>
      </c>
      <c r="S405" s="231">
        <v>4</v>
      </c>
      <c r="T405" s="231" t="s">
        <v>1574</v>
      </c>
      <c r="U405" s="81" t="s">
        <v>821</v>
      </c>
      <c r="V405" s="47">
        <v>0.1</v>
      </c>
      <c r="W405" s="82" t="s">
        <v>822</v>
      </c>
      <c r="X405" s="82"/>
      <c r="Y405" s="80" t="s">
        <v>2587</v>
      </c>
      <c r="Z405" s="498" t="s">
        <v>2564</v>
      </c>
      <c r="AA405" s="238">
        <f t="shared" si="56"/>
        <v>6.4940000000000006E-4</v>
      </c>
      <c r="AB405" s="252">
        <v>0</v>
      </c>
      <c r="AC405" s="278">
        <f>+(Tabla1[[#This Row],[Avance PDI]]*100%)/Tabla1[[#This Row],[ponderacion_meta]]</f>
        <v>0</v>
      </c>
      <c r="AD405" s="279">
        <f>+Tabla1[[#This Row],[ponderacion_meta]]/10*Tabla1[[#This Row],[proyeccion_año1]]</f>
        <v>6.4939999999999996E-4</v>
      </c>
      <c r="AE405" s="279">
        <f>+Tabla1[[#This Row],[ponderacion_meta]]/10*Tabla1[[#This Row],[proyeccion_año2]]</f>
        <v>1.2987999999999999E-3</v>
      </c>
      <c r="AF405" s="279">
        <f>+Tabla1[[#This Row],[ponderacion_meta]]/10*Tabla1[[#This Row],[proyeccion_año3]]</f>
        <v>1.9481999999999998E-3</v>
      </c>
      <c r="AG405" s="279">
        <f>+Tabla1[[#This Row],[ponderacion_meta]]/10*Tabla1[[#This Row],[proyeccion_año4]]</f>
        <v>2.5975999999999998E-3</v>
      </c>
      <c r="AH405" s="396">
        <f t="shared" si="62"/>
        <v>2.6596669999999999E-2</v>
      </c>
      <c r="AI405" s="396">
        <f t="shared" si="63"/>
        <v>8.2625000000000032E-2</v>
      </c>
      <c r="AJ405" s="317">
        <f t="shared" si="61"/>
        <v>8.2625000000000032E-2</v>
      </c>
      <c r="AK405" s="385">
        <v>1.2974570000000001E-2</v>
      </c>
      <c r="AL405" s="402">
        <f t="shared" si="59"/>
        <v>9.366666666666669E-2</v>
      </c>
      <c r="AM405" s="325">
        <v>0</v>
      </c>
      <c r="AN405" s="411">
        <v>0</v>
      </c>
      <c r="AO405" s="343" t="e">
        <f>+([1]!Tabla1[[#This Row],[ponderacion_accion]]/10)*AQ405</f>
        <v>#REF!</v>
      </c>
      <c r="AP405" s="343" t="e">
        <f>Tabla1[[#This Row],[ponderacion_meta]]*AO405</f>
        <v>#REF!</v>
      </c>
      <c r="AQ405" s="353"/>
      <c r="AR405" s="377">
        <v>39323125.5</v>
      </c>
      <c r="AS405" s="7" t="e">
        <f>+((SUM(AO405:AO408)*100)/30)</f>
        <v>#REF!</v>
      </c>
      <c r="AT405" s="521">
        <v>0</v>
      </c>
    </row>
    <row r="406" spans="1:46" ht="15" customHeight="1" x14ac:dyDescent="0.35">
      <c r="A406" s="236" t="s">
        <v>1151</v>
      </c>
      <c r="B406" s="400" t="s">
        <v>567</v>
      </c>
      <c r="C406" s="399" t="s">
        <v>1720</v>
      </c>
      <c r="D406" s="237" t="s">
        <v>1165</v>
      </c>
      <c r="E406" s="175" t="s">
        <v>764</v>
      </c>
      <c r="F406" s="156" t="s">
        <v>2613</v>
      </c>
      <c r="G406" s="167" t="s">
        <v>802</v>
      </c>
      <c r="H406" s="167" t="s">
        <v>1747</v>
      </c>
      <c r="I406" s="42" t="s">
        <v>819</v>
      </c>
      <c r="J406" s="266">
        <v>6.4939999999999998E-3</v>
      </c>
      <c r="K406" s="106" t="s">
        <v>820</v>
      </c>
      <c r="L406" s="140">
        <v>77272500</v>
      </c>
      <c r="M406" s="140">
        <v>0</v>
      </c>
      <c r="N406" s="448"/>
      <c r="O406" s="448" t="s">
        <v>2622</v>
      </c>
      <c r="P406" s="189">
        <v>1</v>
      </c>
      <c r="Q406" s="190">
        <v>2</v>
      </c>
      <c r="R406" s="190">
        <v>3</v>
      </c>
      <c r="S406" s="190">
        <v>4</v>
      </c>
      <c r="T406" s="190" t="s">
        <v>1575</v>
      </c>
      <c r="U406" s="81" t="s">
        <v>823</v>
      </c>
      <c r="V406" s="47">
        <v>0.2</v>
      </c>
      <c r="W406" s="82" t="s">
        <v>824</v>
      </c>
      <c r="X406" s="82"/>
      <c r="Y406" s="80" t="s">
        <v>2587</v>
      </c>
      <c r="Z406" s="498" t="s">
        <v>2564</v>
      </c>
      <c r="AA406" s="238">
        <f t="shared" si="56"/>
        <v>1.2988000000000001E-3</v>
      </c>
      <c r="AB406" s="252">
        <v>0</v>
      </c>
      <c r="AC406" s="278">
        <f>+(Tabla1[[#This Row],[Avance PDI]]*100%)/Tabla1[[#This Row],[ponderacion_meta]]</f>
        <v>0</v>
      </c>
      <c r="AD406" s="279">
        <v>6.4939999999999996E-4</v>
      </c>
      <c r="AE406" s="279">
        <v>1.2987999999999999E-3</v>
      </c>
      <c r="AF406" s="279">
        <v>1.9481999999999998E-3</v>
      </c>
      <c r="AG406" s="279">
        <v>2.5975999999999998E-3</v>
      </c>
      <c r="AH406" s="396">
        <f t="shared" si="62"/>
        <v>2.6596669999999999E-2</v>
      </c>
      <c r="AI406" s="396">
        <f t="shared" si="63"/>
        <v>8.2625000000000032E-2</v>
      </c>
      <c r="AJ406" s="317">
        <f t="shared" si="61"/>
        <v>8.2625000000000032E-2</v>
      </c>
      <c r="AK406" s="385">
        <v>1.2974570000000001E-2</v>
      </c>
      <c r="AL406" s="402">
        <f t="shared" si="59"/>
        <v>9.366666666666669E-2</v>
      </c>
      <c r="AM406" s="325">
        <v>0</v>
      </c>
      <c r="AN406" s="411">
        <v>0</v>
      </c>
      <c r="AO406" s="344" t="e">
        <f>+([1]!Tabla1[[#This Row],[ponderacion_accion]]/10)*AQ406</f>
        <v>#REF!</v>
      </c>
      <c r="AP406" s="344" t="e">
        <f>Tabla1[[#This Row],[ponderacion_meta]]*AO406</f>
        <v>#REF!</v>
      </c>
      <c r="AQ406" s="354"/>
      <c r="AR406" s="378">
        <v>0</v>
      </c>
      <c r="AS406" s="9"/>
      <c r="AT406" s="521">
        <v>0</v>
      </c>
    </row>
    <row r="407" spans="1:46" ht="15" customHeight="1" x14ac:dyDescent="0.35">
      <c r="A407" s="236" t="s">
        <v>1151</v>
      </c>
      <c r="B407" s="400" t="s">
        <v>567</v>
      </c>
      <c r="C407" s="399" t="s">
        <v>1720</v>
      </c>
      <c r="D407" s="237" t="s">
        <v>1165</v>
      </c>
      <c r="E407" s="175" t="s">
        <v>764</v>
      </c>
      <c r="F407" s="156" t="s">
        <v>2613</v>
      </c>
      <c r="G407" s="167" t="s">
        <v>802</v>
      </c>
      <c r="H407" s="167" t="s">
        <v>1747</v>
      </c>
      <c r="I407" s="42" t="s">
        <v>819</v>
      </c>
      <c r="J407" s="266">
        <v>6.4939999999999998E-3</v>
      </c>
      <c r="K407" s="106" t="s">
        <v>820</v>
      </c>
      <c r="L407" s="140">
        <v>77272500</v>
      </c>
      <c r="M407" s="140">
        <v>0</v>
      </c>
      <c r="N407" s="448"/>
      <c r="O407" s="448" t="s">
        <v>2622</v>
      </c>
      <c r="P407" s="189">
        <v>1</v>
      </c>
      <c r="Q407" s="190">
        <v>2</v>
      </c>
      <c r="R407" s="190">
        <v>3</v>
      </c>
      <c r="S407" s="190">
        <v>4</v>
      </c>
      <c r="T407" s="190" t="s">
        <v>1576</v>
      </c>
      <c r="U407" s="81" t="s">
        <v>825</v>
      </c>
      <c r="V407" s="47">
        <v>0.6</v>
      </c>
      <c r="W407" s="82" t="s">
        <v>132</v>
      </c>
      <c r="X407" s="82"/>
      <c r="Y407" s="80" t="s">
        <v>2587</v>
      </c>
      <c r="Z407" s="498" t="s">
        <v>2564</v>
      </c>
      <c r="AA407" s="238">
        <f t="shared" si="56"/>
        <v>3.8963999999999995E-3</v>
      </c>
      <c r="AB407" s="252">
        <v>0</v>
      </c>
      <c r="AC407" s="278">
        <f>+(Tabla1[[#This Row],[Avance PDI]]*100%)/Tabla1[[#This Row],[ponderacion_meta]]</f>
        <v>0</v>
      </c>
      <c r="AD407" s="279">
        <v>6.4939999999999996E-4</v>
      </c>
      <c r="AE407" s="279">
        <v>1.2987999999999999E-3</v>
      </c>
      <c r="AF407" s="279">
        <v>1.9481999999999998E-3</v>
      </c>
      <c r="AG407" s="279">
        <v>2.5975999999999998E-3</v>
      </c>
      <c r="AH407" s="396">
        <f t="shared" si="62"/>
        <v>2.6596669999999999E-2</v>
      </c>
      <c r="AI407" s="396">
        <f t="shared" si="63"/>
        <v>8.2625000000000032E-2</v>
      </c>
      <c r="AJ407" s="317">
        <f t="shared" si="61"/>
        <v>8.2625000000000032E-2</v>
      </c>
      <c r="AK407" s="385">
        <v>1.2974570000000001E-2</v>
      </c>
      <c r="AL407" s="402">
        <f t="shared" si="59"/>
        <v>9.366666666666669E-2</v>
      </c>
      <c r="AM407" s="325">
        <v>0</v>
      </c>
      <c r="AN407" s="411">
        <v>0</v>
      </c>
      <c r="AO407" s="344" t="e">
        <f>+([1]!Tabla1[[#This Row],[ponderacion_accion]]/10)*AQ407</f>
        <v>#REF!</v>
      </c>
      <c r="AP407" s="344" t="e">
        <f>Tabla1[[#This Row],[ponderacion_meta]]*AO407</f>
        <v>#REF!</v>
      </c>
      <c r="AQ407" s="354"/>
      <c r="AR407" s="378">
        <v>0</v>
      </c>
      <c r="AS407" s="9"/>
      <c r="AT407" s="521">
        <v>0</v>
      </c>
    </row>
    <row r="408" spans="1:46" ht="15" customHeight="1" x14ac:dyDescent="0.35">
      <c r="A408" s="236" t="s">
        <v>1151</v>
      </c>
      <c r="B408" s="400" t="s">
        <v>567</v>
      </c>
      <c r="C408" s="399" t="s">
        <v>1720</v>
      </c>
      <c r="D408" s="237" t="s">
        <v>1165</v>
      </c>
      <c r="E408" s="175" t="s">
        <v>764</v>
      </c>
      <c r="F408" s="156" t="s">
        <v>2613</v>
      </c>
      <c r="G408" s="167" t="s">
        <v>802</v>
      </c>
      <c r="H408" s="167" t="s">
        <v>1747</v>
      </c>
      <c r="I408" s="42" t="s">
        <v>819</v>
      </c>
      <c r="J408" s="266">
        <v>6.4939999999999998E-3</v>
      </c>
      <c r="K408" s="106" t="s">
        <v>820</v>
      </c>
      <c r="L408" s="140">
        <v>77272500</v>
      </c>
      <c r="M408" s="140">
        <v>0</v>
      </c>
      <c r="N408" s="448"/>
      <c r="O408" s="448" t="s">
        <v>2622</v>
      </c>
      <c r="P408" s="189">
        <v>1</v>
      </c>
      <c r="Q408" s="190">
        <v>2</v>
      </c>
      <c r="R408" s="190">
        <v>3</v>
      </c>
      <c r="S408" s="190">
        <v>4</v>
      </c>
      <c r="T408" s="190" t="s">
        <v>1577</v>
      </c>
      <c r="U408" s="81" t="s">
        <v>826</v>
      </c>
      <c r="V408" s="47">
        <v>0.1</v>
      </c>
      <c r="W408" s="82" t="s">
        <v>827</v>
      </c>
      <c r="X408" s="82"/>
      <c r="Y408" s="80" t="s">
        <v>2587</v>
      </c>
      <c r="Z408" s="498" t="s">
        <v>2564</v>
      </c>
      <c r="AA408" s="238">
        <f t="shared" si="56"/>
        <v>6.4940000000000006E-4</v>
      </c>
      <c r="AB408" s="252">
        <v>0</v>
      </c>
      <c r="AC408" s="278">
        <f>+(Tabla1[[#This Row],[Avance PDI]]*100%)/Tabla1[[#This Row],[ponderacion_meta]]</f>
        <v>0</v>
      </c>
      <c r="AD408" s="279">
        <v>6.4939999999999996E-4</v>
      </c>
      <c r="AE408" s="279">
        <v>1.2987999999999999E-3</v>
      </c>
      <c r="AF408" s="279">
        <v>1.9481999999999998E-3</v>
      </c>
      <c r="AG408" s="279">
        <v>2.5975999999999998E-3</v>
      </c>
      <c r="AH408" s="396">
        <f t="shared" si="62"/>
        <v>2.6596669999999999E-2</v>
      </c>
      <c r="AI408" s="396">
        <f t="shared" si="63"/>
        <v>8.2625000000000032E-2</v>
      </c>
      <c r="AJ408" s="317">
        <f t="shared" si="61"/>
        <v>8.2625000000000032E-2</v>
      </c>
      <c r="AK408" s="385">
        <v>1.2974570000000001E-2</v>
      </c>
      <c r="AL408" s="402">
        <f t="shared" si="59"/>
        <v>9.366666666666669E-2</v>
      </c>
      <c r="AM408" s="325">
        <v>0</v>
      </c>
      <c r="AN408" s="411">
        <v>0</v>
      </c>
      <c r="AO408" s="345" t="e">
        <f>+([1]!Tabla1[[#This Row],[ponderacion_accion]]/10)*AQ408</f>
        <v>#REF!</v>
      </c>
      <c r="AP408" s="345" t="e">
        <f>Tabla1[[#This Row],[ponderacion_meta]]*AO408</f>
        <v>#REF!</v>
      </c>
      <c r="AQ408" s="357"/>
      <c r="AR408" s="379">
        <v>0</v>
      </c>
      <c r="AS408" s="9"/>
      <c r="AT408" s="521">
        <v>0</v>
      </c>
    </row>
    <row r="409" spans="1:46" ht="15" customHeight="1" x14ac:dyDescent="0.35">
      <c r="A409" s="236" t="s">
        <v>1151</v>
      </c>
      <c r="B409" s="400" t="s">
        <v>567</v>
      </c>
      <c r="C409" s="399" t="s">
        <v>1720</v>
      </c>
      <c r="D409" s="237" t="s">
        <v>1165</v>
      </c>
      <c r="E409" s="175" t="s">
        <v>764</v>
      </c>
      <c r="F409" s="176" t="s">
        <v>2614</v>
      </c>
      <c r="G409" s="166" t="s">
        <v>828</v>
      </c>
      <c r="H409" s="424" t="s">
        <v>1748</v>
      </c>
      <c r="I409" s="70" t="s">
        <v>829</v>
      </c>
      <c r="J409" s="265">
        <v>6.4939999999999998E-3</v>
      </c>
      <c r="K409" s="72" t="s">
        <v>830</v>
      </c>
      <c r="L409" s="141">
        <v>0</v>
      </c>
      <c r="M409" s="141">
        <v>0</v>
      </c>
      <c r="N409" s="449"/>
      <c r="O409" s="449" t="s">
        <v>2622</v>
      </c>
      <c r="P409" s="194">
        <v>1</v>
      </c>
      <c r="Q409" s="195">
        <v>3</v>
      </c>
      <c r="R409" s="195">
        <v>3</v>
      </c>
      <c r="S409" s="195">
        <v>1</v>
      </c>
      <c r="T409" s="195" t="s">
        <v>1578</v>
      </c>
      <c r="U409" s="75" t="s">
        <v>831</v>
      </c>
      <c r="V409" s="43">
        <v>0.2</v>
      </c>
      <c r="W409" s="72" t="s">
        <v>832</v>
      </c>
      <c r="X409" s="72"/>
      <c r="Y409" s="70" t="s">
        <v>2587</v>
      </c>
      <c r="Z409" s="493" t="s">
        <v>2564</v>
      </c>
      <c r="AA409" s="239">
        <f t="shared" si="56"/>
        <v>1.2988000000000001E-3</v>
      </c>
      <c r="AB409" s="252">
        <v>0</v>
      </c>
      <c r="AC409" s="262">
        <f>+(Tabla1[[#This Row],[Avance PDI]]*100%)/Tabla1[[#This Row],[ponderacion_meta]]</f>
        <v>0</v>
      </c>
      <c r="AD409" s="257">
        <f>+Tabla1[[#This Row],[ponderacion_meta]]/8*Tabla1[[#This Row],[proyeccion_año1]]</f>
        <v>8.1174999999999997E-4</v>
      </c>
      <c r="AE409" s="257">
        <f>+Tabla1[[#This Row],[ponderacion_meta]]/8*Tabla1[[#This Row],[proyeccion_año2]]</f>
        <v>2.4352499999999999E-3</v>
      </c>
      <c r="AF409" s="257">
        <f>+Tabla1[[#This Row],[ponderacion_meta]]/8*Tabla1[[#This Row],[proyeccion_año3]]</f>
        <v>2.4352499999999999E-3</v>
      </c>
      <c r="AG409" s="257">
        <f>+Tabla1[[#This Row],[ponderacion_meta]]/8*Tabla1[[#This Row],[proyeccion_año4]]</f>
        <v>8.1174999999999997E-4</v>
      </c>
      <c r="AH409" s="396">
        <f t="shared" si="62"/>
        <v>2.6596669999999999E-2</v>
      </c>
      <c r="AI409" s="396">
        <f t="shared" si="63"/>
        <v>8.2625000000000032E-2</v>
      </c>
      <c r="AJ409" s="317">
        <f t="shared" si="61"/>
        <v>8.2625000000000032E-2</v>
      </c>
      <c r="AK409" s="385">
        <v>1.2974570000000001E-2</v>
      </c>
      <c r="AL409" s="402">
        <f t="shared" si="59"/>
        <v>9.366666666666669E-2</v>
      </c>
      <c r="AM409" s="326">
        <f>+SUM(AB409:AB419)</f>
        <v>6.3954000000000007E-3</v>
      </c>
      <c r="AN409" s="410">
        <f>+SUM(AC409:AC419)/3</f>
        <v>0.18333333333333335</v>
      </c>
      <c r="AO409" s="358" t="e">
        <f>+([1]!Tabla1[[#This Row],[ponderacion_accion]]/8)*AQ409</f>
        <v>#REF!</v>
      </c>
      <c r="AP409" s="335" t="e">
        <f>Tabla1[[#This Row],[ponderacion_meta]]*AO409</f>
        <v>#REF!</v>
      </c>
      <c r="AQ409" s="361"/>
      <c r="AR409" s="380">
        <v>22470332.5</v>
      </c>
      <c r="AS409" s="515" t="e">
        <f>+((SUM(AO409:AO411)*100)/30)</f>
        <v>#REF!</v>
      </c>
      <c r="AT409" s="521">
        <v>0</v>
      </c>
    </row>
    <row r="410" spans="1:46" ht="15" customHeight="1" x14ac:dyDescent="0.35">
      <c r="A410" s="236" t="s">
        <v>1151</v>
      </c>
      <c r="B410" s="400" t="s">
        <v>567</v>
      </c>
      <c r="C410" s="399" t="s">
        <v>1720</v>
      </c>
      <c r="D410" s="237" t="s">
        <v>1165</v>
      </c>
      <c r="E410" s="175" t="s">
        <v>764</v>
      </c>
      <c r="F410" s="176" t="s">
        <v>2614</v>
      </c>
      <c r="G410" s="166" t="s">
        <v>828</v>
      </c>
      <c r="H410" s="166" t="s">
        <v>1748</v>
      </c>
      <c r="I410" s="41" t="s">
        <v>829</v>
      </c>
      <c r="J410" s="267">
        <v>6.4939999999999998E-3</v>
      </c>
      <c r="K410" s="108" t="s">
        <v>833</v>
      </c>
      <c r="L410" s="142">
        <v>0</v>
      </c>
      <c r="M410" s="142">
        <v>0</v>
      </c>
      <c r="N410" s="450"/>
      <c r="O410" s="450" t="s">
        <v>2622</v>
      </c>
      <c r="P410" s="191">
        <v>1</v>
      </c>
      <c r="Q410" s="188">
        <v>3</v>
      </c>
      <c r="R410" s="188">
        <v>3</v>
      </c>
      <c r="S410" s="188">
        <v>1</v>
      </c>
      <c r="T410" s="188" t="s">
        <v>1579</v>
      </c>
      <c r="U410" s="75" t="s">
        <v>834</v>
      </c>
      <c r="V410" s="43">
        <v>0.6</v>
      </c>
      <c r="W410" s="72" t="s">
        <v>835</v>
      </c>
      <c r="X410" s="72"/>
      <c r="Y410" s="70" t="s">
        <v>2587</v>
      </c>
      <c r="Z410" s="494" t="s">
        <v>2564</v>
      </c>
      <c r="AA410" s="239">
        <f t="shared" si="56"/>
        <v>3.8963999999999995E-3</v>
      </c>
      <c r="AB410" s="252">
        <v>0</v>
      </c>
      <c r="AC410" s="262">
        <f>+(Tabla1[[#This Row],[Avance PDI]]*100%)/Tabla1[[#This Row],[ponderacion_meta]]</f>
        <v>0</v>
      </c>
      <c r="AD410" s="257">
        <v>8.1174999999999997E-4</v>
      </c>
      <c r="AE410" s="257">
        <v>2.4352499999999999E-3</v>
      </c>
      <c r="AF410" s="257">
        <v>2.4352499999999999E-3</v>
      </c>
      <c r="AG410" s="257">
        <v>8.1174999999999997E-4</v>
      </c>
      <c r="AH410" s="396">
        <f t="shared" si="62"/>
        <v>2.6596669999999999E-2</v>
      </c>
      <c r="AI410" s="396">
        <f t="shared" si="63"/>
        <v>8.2625000000000032E-2</v>
      </c>
      <c r="AJ410" s="317">
        <f t="shared" si="61"/>
        <v>8.2625000000000032E-2</v>
      </c>
      <c r="AK410" s="385">
        <v>1.2974570000000001E-2</v>
      </c>
      <c r="AL410" s="402">
        <f t="shared" si="59"/>
        <v>9.366666666666669E-2</v>
      </c>
      <c r="AM410" s="327">
        <v>0</v>
      </c>
      <c r="AN410" s="410">
        <f>$AN$409</f>
        <v>0.18333333333333335</v>
      </c>
      <c r="AO410" s="359" t="e">
        <f>+([1]!Tabla1[[#This Row],[ponderacion_accion]]/8)*AQ410</f>
        <v>#REF!</v>
      </c>
      <c r="AP410" s="335" t="e">
        <f>Tabla1[[#This Row],[ponderacion_meta]]*AO410</f>
        <v>#REF!</v>
      </c>
      <c r="AQ410" s="351"/>
      <c r="AR410" s="380">
        <v>0</v>
      </c>
      <c r="AS410" s="9"/>
      <c r="AT410" s="521">
        <v>0</v>
      </c>
    </row>
    <row r="411" spans="1:46" ht="15" customHeight="1" x14ac:dyDescent="0.35">
      <c r="A411" s="236" t="s">
        <v>1151</v>
      </c>
      <c r="B411" s="400" t="s">
        <v>567</v>
      </c>
      <c r="C411" s="399" t="s">
        <v>1720</v>
      </c>
      <c r="D411" s="237" t="s">
        <v>1165</v>
      </c>
      <c r="E411" s="175" t="s">
        <v>764</v>
      </c>
      <c r="F411" s="176" t="s">
        <v>2614</v>
      </c>
      <c r="G411" s="166" t="s">
        <v>828</v>
      </c>
      <c r="H411" s="166" t="s">
        <v>1748</v>
      </c>
      <c r="I411" s="41" t="s">
        <v>829</v>
      </c>
      <c r="J411" s="267">
        <v>6.4939999999999998E-3</v>
      </c>
      <c r="K411" s="108" t="s">
        <v>833</v>
      </c>
      <c r="L411" s="142">
        <v>0</v>
      </c>
      <c r="M411" s="142">
        <v>0</v>
      </c>
      <c r="N411" s="450"/>
      <c r="O411" s="450" t="s">
        <v>2622</v>
      </c>
      <c r="P411" s="191">
        <v>1</v>
      </c>
      <c r="Q411" s="188">
        <v>3</v>
      </c>
      <c r="R411" s="188">
        <v>3</v>
      </c>
      <c r="S411" s="188">
        <v>1</v>
      </c>
      <c r="T411" s="188" t="s">
        <v>1580</v>
      </c>
      <c r="U411" s="75" t="s">
        <v>826</v>
      </c>
      <c r="V411" s="43">
        <v>0.2</v>
      </c>
      <c r="W411" s="72" t="s">
        <v>836</v>
      </c>
      <c r="X411" s="72"/>
      <c r="Y411" s="70" t="s">
        <v>2587</v>
      </c>
      <c r="Z411" s="494" t="s">
        <v>2564</v>
      </c>
      <c r="AA411" s="239">
        <f t="shared" si="56"/>
        <v>1.2988000000000001E-3</v>
      </c>
      <c r="AB411" s="252">
        <v>0</v>
      </c>
      <c r="AC411" s="262">
        <f>+(Tabla1[[#This Row],[Avance PDI]]*100%)/Tabla1[[#This Row],[ponderacion_meta]]</f>
        <v>0</v>
      </c>
      <c r="AD411" s="257">
        <v>8.1174999999999997E-4</v>
      </c>
      <c r="AE411" s="257">
        <v>2.4352499999999999E-3</v>
      </c>
      <c r="AF411" s="257">
        <v>2.4352499999999999E-3</v>
      </c>
      <c r="AG411" s="257">
        <v>8.1174999999999997E-4</v>
      </c>
      <c r="AH411" s="396">
        <f t="shared" si="62"/>
        <v>2.6596669999999999E-2</v>
      </c>
      <c r="AI411" s="396">
        <f t="shared" si="63"/>
        <v>8.2625000000000032E-2</v>
      </c>
      <c r="AJ411" s="317">
        <f t="shared" si="61"/>
        <v>8.2625000000000032E-2</v>
      </c>
      <c r="AK411" s="385">
        <v>1.2974570000000001E-2</v>
      </c>
      <c r="AL411" s="402">
        <f t="shared" si="59"/>
        <v>9.366666666666669E-2</v>
      </c>
      <c r="AM411" s="327">
        <v>0</v>
      </c>
      <c r="AN411" s="410">
        <f t="shared" ref="AN411:AN419" si="64">$AN$409</f>
        <v>0.18333333333333335</v>
      </c>
      <c r="AO411" s="360" t="e">
        <f>+([1]!Tabla1[[#This Row],[ponderacion_accion]]/8)*AQ411</f>
        <v>#REF!</v>
      </c>
      <c r="AP411" s="335" t="e">
        <f>Tabla1[[#This Row],[ponderacion_meta]]*AO411</f>
        <v>#REF!</v>
      </c>
      <c r="AQ411" s="356"/>
      <c r="AR411" s="380">
        <v>0</v>
      </c>
      <c r="AS411" s="9"/>
      <c r="AT411" s="521">
        <v>0</v>
      </c>
    </row>
    <row r="412" spans="1:46" ht="15" customHeight="1" x14ac:dyDescent="0.35">
      <c r="A412" s="236" t="s">
        <v>1151</v>
      </c>
      <c r="B412" s="400" t="s">
        <v>567</v>
      </c>
      <c r="C412" s="399" t="s">
        <v>1720</v>
      </c>
      <c r="D412" s="237" t="s">
        <v>1165</v>
      </c>
      <c r="E412" s="175" t="s">
        <v>764</v>
      </c>
      <c r="F412" s="176" t="s">
        <v>2614</v>
      </c>
      <c r="G412" s="166" t="s">
        <v>828</v>
      </c>
      <c r="H412" s="166" t="s">
        <v>1748</v>
      </c>
      <c r="I412" s="73" t="s">
        <v>837</v>
      </c>
      <c r="J412" s="264">
        <v>1.1627999999999999E-2</v>
      </c>
      <c r="K412" s="69" t="s">
        <v>838</v>
      </c>
      <c r="L412" s="139">
        <v>712134061.74000001</v>
      </c>
      <c r="M412" s="139">
        <v>0</v>
      </c>
      <c r="N412" s="447"/>
      <c r="O412" s="447" t="s">
        <v>2622</v>
      </c>
      <c r="P412" s="192" t="s">
        <v>1143</v>
      </c>
      <c r="Q412" s="193">
        <v>0.5</v>
      </c>
      <c r="R412" s="193">
        <v>0.5</v>
      </c>
      <c r="S412" s="193" t="s">
        <v>1143</v>
      </c>
      <c r="T412" s="193" t="s">
        <v>1581</v>
      </c>
      <c r="U412" s="74" t="s">
        <v>839</v>
      </c>
      <c r="V412" s="67">
        <v>0.1</v>
      </c>
      <c r="W412" s="69" t="s">
        <v>840</v>
      </c>
      <c r="X412" s="69"/>
      <c r="Y412" s="73" t="s">
        <v>2587</v>
      </c>
      <c r="Z412" s="495" t="s">
        <v>2564</v>
      </c>
      <c r="AA412" s="238">
        <f t="shared" si="56"/>
        <v>1.1628000000000001E-3</v>
      </c>
      <c r="AB412" s="254">
        <f>+Tabla1[[#This Row],[ponderacion_meta]]*Tabla1[[#This Row],[ponderacion_accion]]</f>
        <v>1.1628000000000001E-3</v>
      </c>
      <c r="AC412" s="278">
        <f>+(Tabla1[[#This Row],[Avance PDI]]*100%)/Tabla1[[#This Row],[ponderacion_meta]]</f>
        <v>0.1</v>
      </c>
      <c r="AD412" s="279">
        <v>0</v>
      </c>
      <c r="AE412" s="279">
        <f>+Tabla1[[#This Row],[ponderacion_meta]]*Tabla1[[#This Row],[proyeccion_año2]]</f>
        <v>5.8139999999999997E-3</v>
      </c>
      <c r="AF412" s="279">
        <f>+Tabla1[[#This Row],[ponderacion_meta]]*Tabla1[[#This Row],[proyeccion_año3]]</f>
        <v>5.8139999999999997E-3</v>
      </c>
      <c r="AG412" s="279">
        <v>0</v>
      </c>
      <c r="AH412" s="396">
        <f t="shared" si="62"/>
        <v>2.6596669999999999E-2</v>
      </c>
      <c r="AI412" s="396">
        <f t="shared" si="63"/>
        <v>8.2625000000000032E-2</v>
      </c>
      <c r="AJ412" s="317">
        <f t="shared" si="61"/>
        <v>8.2625000000000032E-2</v>
      </c>
      <c r="AK412" s="385">
        <v>1.2974570000000001E-2</v>
      </c>
      <c r="AL412" s="402">
        <f t="shared" si="59"/>
        <v>9.366666666666669E-2</v>
      </c>
      <c r="AM412" s="327">
        <v>0</v>
      </c>
      <c r="AN412" s="410">
        <f t="shared" si="64"/>
        <v>0.18333333333333335</v>
      </c>
      <c r="AO412" s="343" t="e">
        <f>+([1]!Tabla1[[#This Row],[ponderacion_accion]]/10%)*AQ412</f>
        <v>#REF!</v>
      </c>
      <c r="AP412" s="343" t="e">
        <f>Tabla1[[#This Row],[ponderacion_meta]]*AO412</f>
        <v>#REF!</v>
      </c>
      <c r="AQ412" s="368">
        <v>0.1</v>
      </c>
      <c r="AR412" s="377">
        <v>46212504</v>
      </c>
      <c r="AS412" s="7" t="e">
        <f>+((SUM(AO412:AO415)*100)/100)</f>
        <v>#REF!</v>
      </c>
      <c r="AT412" s="521">
        <v>0</v>
      </c>
    </row>
    <row r="413" spans="1:46" ht="15" customHeight="1" x14ac:dyDescent="0.35">
      <c r="A413" s="236" t="s">
        <v>1151</v>
      </c>
      <c r="B413" s="400" t="s">
        <v>567</v>
      </c>
      <c r="C413" s="399" t="s">
        <v>1720</v>
      </c>
      <c r="D413" s="237" t="s">
        <v>1165</v>
      </c>
      <c r="E413" s="175" t="s">
        <v>764</v>
      </c>
      <c r="F413" s="176" t="s">
        <v>2614</v>
      </c>
      <c r="G413" s="166" t="s">
        <v>828</v>
      </c>
      <c r="H413" s="166" t="s">
        <v>1748</v>
      </c>
      <c r="I413" s="42" t="s">
        <v>837</v>
      </c>
      <c r="J413" s="266">
        <v>1.1627999999999999E-2</v>
      </c>
      <c r="K413" s="106" t="s">
        <v>838</v>
      </c>
      <c r="L413" s="140">
        <v>712134061.74000001</v>
      </c>
      <c r="M413" s="140">
        <v>0</v>
      </c>
      <c r="N413" s="448"/>
      <c r="O413" s="448" t="s">
        <v>2622</v>
      </c>
      <c r="P413" s="189" t="s">
        <v>1143</v>
      </c>
      <c r="Q413" s="190">
        <v>0.5</v>
      </c>
      <c r="R413" s="190">
        <v>0.5</v>
      </c>
      <c r="S413" s="190" t="s">
        <v>1143</v>
      </c>
      <c r="T413" s="190" t="s">
        <v>1582</v>
      </c>
      <c r="U413" s="74" t="s">
        <v>841</v>
      </c>
      <c r="V413" s="67">
        <v>0.2</v>
      </c>
      <c r="W413" s="69" t="s">
        <v>842</v>
      </c>
      <c r="X413" s="69"/>
      <c r="Y413" s="73" t="s">
        <v>2587</v>
      </c>
      <c r="Z413" s="496" t="s">
        <v>2564</v>
      </c>
      <c r="AA413" s="238">
        <f t="shared" si="56"/>
        <v>2.3256000000000001E-3</v>
      </c>
      <c r="AB413" s="254">
        <f>+(Tabla1[[#This Row],[ponderacion_meta]]*Tabla1[[#This Row],[ponderacion_accion]])/2*1</f>
        <v>1.1628000000000001E-3</v>
      </c>
      <c r="AC413" s="278">
        <f>+(Tabla1[[#This Row],[Avance PDI]]*100%)/Tabla1[[#This Row],[ponderacion_meta]]</f>
        <v>0.1</v>
      </c>
      <c r="AD413" s="279">
        <v>0</v>
      </c>
      <c r="AE413" s="279">
        <v>5.8139999999999997E-3</v>
      </c>
      <c r="AF413" s="279">
        <v>5.8139999999999997E-3</v>
      </c>
      <c r="AG413" s="279">
        <v>0</v>
      </c>
      <c r="AH413" s="396">
        <f t="shared" si="62"/>
        <v>2.6596669999999999E-2</v>
      </c>
      <c r="AI413" s="396">
        <f t="shared" si="63"/>
        <v>8.2625000000000032E-2</v>
      </c>
      <c r="AJ413" s="317">
        <f t="shared" si="61"/>
        <v>8.2625000000000032E-2</v>
      </c>
      <c r="AK413" s="385">
        <v>1.2974570000000001E-2</v>
      </c>
      <c r="AL413" s="402">
        <f t="shared" si="59"/>
        <v>9.366666666666669E-2</v>
      </c>
      <c r="AM413" s="327">
        <v>0</v>
      </c>
      <c r="AN413" s="410">
        <f t="shared" si="64"/>
        <v>0.18333333333333335</v>
      </c>
      <c r="AO413" s="344" t="e">
        <f>+([1]!Tabla1[[#This Row],[ponderacion_accion]]/20%)*AQ413</f>
        <v>#REF!</v>
      </c>
      <c r="AP413" s="344" t="e">
        <f>Tabla1[[#This Row],[ponderacion_meta]]*AO413</f>
        <v>#REF!</v>
      </c>
      <c r="AQ413" s="370">
        <v>0.1</v>
      </c>
      <c r="AR413" s="378">
        <v>0</v>
      </c>
      <c r="AS413" s="9"/>
      <c r="AT413" s="521">
        <v>0</v>
      </c>
    </row>
    <row r="414" spans="1:46" ht="15" customHeight="1" x14ac:dyDescent="0.35">
      <c r="A414" s="236" t="s">
        <v>1151</v>
      </c>
      <c r="B414" s="400" t="s">
        <v>567</v>
      </c>
      <c r="C414" s="399" t="s">
        <v>1720</v>
      </c>
      <c r="D414" s="237" t="s">
        <v>1165</v>
      </c>
      <c r="E414" s="175" t="s">
        <v>764</v>
      </c>
      <c r="F414" s="176" t="s">
        <v>2614</v>
      </c>
      <c r="G414" s="166" t="s">
        <v>828</v>
      </c>
      <c r="H414" s="166" t="s">
        <v>1748</v>
      </c>
      <c r="I414" s="42" t="s">
        <v>837</v>
      </c>
      <c r="J414" s="266">
        <v>1.1627999999999999E-2</v>
      </c>
      <c r="K414" s="106" t="s">
        <v>838</v>
      </c>
      <c r="L414" s="140">
        <v>712134061.74000001</v>
      </c>
      <c r="M414" s="140">
        <v>0</v>
      </c>
      <c r="N414" s="448"/>
      <c r="O414" s="448" t="s">
        <v>2622</v>
      </c>
      <c r="P414" s="189" t="s">
        <v>1143</v>
      </c>
      <c r="Q414" s="190">
        <v>0.5</v>
      </c>
      <c r="R414" s="190">
        <v>0.5</v>
      </c>
      <c r="S414" s="190" t="s">
        <v>1143</v>
      </c>
      <c r="T414" s="190" t="s">
        <v>1583</v>
      </c>
      <c r="U414" s="74" t="s">
        <v>843</v>
      </c>
      <c r="V414" s="67">
        <v>0.6</v>
      </c>
      <c r="W414" s="69" t="s">
        <v>844</v>
      </c>
      <c r="X414" s="69"/>
      <c r="Y414" s="73" t="s">
        <v>2587</v>
      </c>
      <c r="Z414" s="496" t="s">
        <v>2564</v>
      </c>
      <c r="AA414" s="238">
        <f t="shared" si="56"/>
        <v>6.9767999999999991E-3</v>
      </c>
      <c r="AB414" s="254">
        <f>+(Tabla1[[#This Row],[ponderacion_meta]]*Tabla1[[#This Row],[ponderacion_accion]])/4*1</f>
        <v>1.7441999999999998E-3</v>
      </c>
      <c r="AC414" s="278">
        <f>+(Tabla1[[#This Row],[Avance PDI]]*100%)/Tabla1[[#This Row],[ponderacion_meta]]</f>
        <v>0.15</v>
      </c>
      <c r="AD414" s="279">
        <v>0</v>
      </c>
      <c r="AE414" s="279">
        <v>5.8139999999999997E-3</v>
      </c>
      <c r="AF414" s="279">
        <v>5.8139999999999997E-3</v>
      </c>
      <c r="AG414" s="279">
        <v>0</v>
      </c>
      <c r="AH414" s="396">
        <f t="shared" si="62"/>
        <v>2.6596669999999999E-2</v>
      </c>
      <c r="AI414" s="396">
        <f t="shared" si="63"/>
        <v>8.2625000000000032E-2</v>
      </c>
      <c r="AJ414" s="317">
        <f t="shared" si="61"/>
        <v>8.2625000000000032E-2</v>
      </c>
      <c r="AK414" s="385">
        <v>1.2974570000000001E-2</v>
      </c>
      <c r="AL414" s="402">
        <f t="shared" si="59"/>
        <v>9.366666666666669E-2</v>
      </c>
      <c r="AM414" s="327">
        <v>0</v>
      </c>
      <c r="AN414" s="410">
        <f t="shared" si="64"/>
        <v>0.18333333333333335</v>
      </c>
      <c r="AO414" s="344" t="e">
        <f>+([1]!Tabla1[[#This Row],[ponderacion_accion]]/60%)*AQ414</f>
        <v>#REF!</v>
      </c>
      <c r="AP414" s="344" t="e">
        <f>Tabla1[[#This Row],[ponderacion_meta]]*AO414</f>
        <v>#REF!</v>
      </c>
      <c r="AQ414" s="370">
        <v>0.15</v>
      </c>
      <c r="AR414" s="378">
        <v>0</v>
      </c>
      <c r="AS414" s="9"/>
      <c r="AT414" s="521">
        <v>0</v>
      </c>
    </row>
    <row r="415" spans="1:46" ht="15" customHeight="1" x14ac:dyDescent="0.35">
      <c r="A415" s="236" t="s">
        <v>1151</v>
      </c>
      <c r="B415" s="400" t="s">
        <v>567</v>
      </c>
      <c r="C415" s="399" t="s">
        <v>1720</v>
      </c>
      <c r="D415" s="237" t="s">
        <v>1165</v>
      </c>
      <c r="E415" s="175" t="s">
        <v>764</v>
      </c>
      <c r="F415" s="176" t="s">
        <v>2614</v>
      </c>
      <c r="G415" s="166" t="s">
        <v>828</v>
      </c>
      <c r="H415" s="166" t="s">
        <v>1748</v>
      </c>
      <c r="I415" s="42" t="s">
        <v>837</v>
      </c>
      <c r="J415" s="266">
        <v>1.1627999999999999E-2</v>
      </c>
      <c r="K415" s="106" t="s">
        <v>838</v>
      </c>
      <c r="L415" s="140">
        <v>712134061.74000001</v>
      </c>
      <c r="M415" s="140">
        <v>0</v>
      </c>
      <c r="N415" s="448"/>
      <c r="O415" s="448" t="s">
        <v>2622</v>
      </c>
      <c r="P415" s="189" t="s">
        <v>1143</v>
      </c>
      <c r="Q415" s="190">
        <v>0.5</v>
      </c>
      <c r="R415" s="190">
        <v>0.5</v>
      </c>
      <c r="S415" s="190" t="s">
        <v>1143</v>
      </c>
      <c r="T415" s="190" t="s">
        <v>1584</v>
      </c>
      <c r="U415" s="74" t="s">
        <v>845</v>
      </c>
      <c r="V415" s="67">
        <v>0.1</v>
      </c>
      <c r="W415" s="69" t="s">
        <v>846</v>
      </c>
      <c r="X415" s="69"/>
      <c r="Y415" s="73" t="s">
        <v>2587</v>
      </c>
      <c r="Z415" s="496" t="s">
        <v>2564</v>
      </c>
      <c r="AA415" s="238">
        <f t="shared" si="56"/>
        <v>1.1628000000000001E-3</v>
      </c>
      <c r="AB415" s="252">
        <v>0</v>
      </c>
      <c r="AC415" s="278">
        <f>+(Tabla1[[#This Row],[Avance PDI]]*100%)/Tabla1[[#This Row],[ponderacion_meta]]</f>
        <v>0</v>
      </c>
      <c r="AD415" s="279">
        <v>0</v>
      </c>
      <c r="AE415" s="279">
        <v>5.8139999999999997E-3</v>
      </c>
      <c r="AF415" s="279">
        <v>5.8139999999999997E-3</v>
      </c>
      <c r="AG415" s="279">
        <v>0</v>
      </c>
      <c r="AH415" s="396">
        <f t="shared" si="62"/>
        <v>2.6596669999999999E-2</v>
      </c>
      <c r="AI415" s="396">
        <f t="shared" si="63"/>
        <v>8.2625000000000032E-2</v>
      </c>
      <c r="AJ415" s="317">
        <f t="shared" si="61"/>
        <v>8.2625000000000032E-2</v>
      </c>
      <c r="AK415" s="385">
        <v>1.2974570000000001E-2</v>
      </c>
      <c r="AL415" s="402">
        <f t="shared" si="59"/>
        <v>9.366666666666669E-2</v>
      </c>
      <c r="AM415" s="327">
        <v>0</v>
      </c>
      <c r="AN415" s="410">
        <f t="shared" si="64"/>
        <v>0.18333333333333335</v>
      </c>
      <c r="AO415" s="345" t="e">
        <f>+([1]!Tabla1[[#This Row],[ponderacion_accion]]/10%)*AQ415</f>
        <v>#REF!</v>
      </c>
      <c r="AP415" s="345" t="e">
        <f>Tabla1[[#This Row],[ponderacion_meta]]*AO415</f>
        <v>#REF!</v>
      </c>
      <c r="AQ415" s="357"/>
      <c r="AR415" s="379">
        <v>0</v>
      </c>
      <c r="AS415" s="9"/>
      <c r="AT415" s="521">
        <v>0</v>
      </c>
    </row>
    <row r="416" spans="1:46" ht="15" customHeight="1" x14ac:dyDescent="0.35">
      <c r="A416" s="236" t="s">
        <v>1151</v>
      </c>
      <c r="B416" s="400" t="s">
        <v>567</v>
      </c>
      <c r="C416" s="399" t="s">
        <v>1720</v>
      </c>
      <c r="D416" s="237" t="s">
        <v>1165</v>
      </c>
      <c r="E416" s="175" t="s">
        <v>764</v>
      </c>
      <c r="F416" s="176" t="s">
        <v>2614</v>
      </c>
      <c r="G416" s="166" t="s">
        <v>828</v>
      </c>
      <c r="H416" s="166" t="s">
        <v>1748</v>
      </c>
      <c r="I416" s="70" t="s">
        <v>847</v>
      </c>
      <c r="J416" s="265">
        <v>1.1627999999999999E-2</v>
      </c>
      <c r="K416" s="72" t="s">
        <v>848</v>
      </c>
      <c r="L416" s="141">
        <v>200000000</v>
      </c>
      <c r="M416" s="141">
        <v>0</v>
      </c>
      <c r="N416" s="449"/>
      <c r="O416" s="449" t="s">
        <v>1753</v>
      </c>
      <c r="P416" s="200">
        <v>0</v>
      </c>
      <c r="Q416" s="212">
        <v>0</v>
      </c>
      <c r="R416" s="212">
        <v>5.0000000000000001E-3</v>
      </c>
      <c r="S416" s="212">
        <v>0.01</v>
      </c>
      <c r="T416" s="212" t="s">
        <v>1585</v>
      </c>
      <c r="U416" s="75" t="s">
        <v>849</v>
      </c>
      <c r="V416" s="43">
        <v>0.2</v>
      </c>
      <c r="W416" s="72" t="s">
        <v>32</v>
      </c>
      <c r="X416" s="72"/>
      <c r="Y416" s="70" t="s">
        <v>2587</v>
      </c>
      <c r="Z416" s="493" t="s">
        <v>2564</v>
      </c>
      <c r="AA416" s="239">
        <f t="shared" si="56"/>
        <v>2.3256000000000001E-3</v>
      </c>
      <c r="AB416" s="290">
        <f>+Tabla1[[#This Row],[ponderacion_meta]]*Tabla1[[#This Row],[ponderacion_accion]]</f>
        <v>2.3256000000000001E-3</v>
      </c>
      <c r="AC416" s="262">
        <f>+(Tabla1[[#This Row],[Avance PDI]]*100%)/Tabla1[[#This Row],[ponderacion_meta]]</f>
        <v>0.2</v>
      </c>
      <c r="AD416" s="257">
        <f>+Tabla1[[#This Row],[ponderacion_meta]]*Tabla1[[#This Row],[proyeccion_año1]]</f>
        <v>0</v>
      </c>
      <c r="AE416" s="257">
        <f>+Tabla1[[#This Row],[ponderacion_meta]]*Tabla1[[#This Row],[proyeccion_año2]]</f>
        <v>0</v>
      </c>
      <c r="AF416" s="257">
        <f>+Tabla1[[#This Row],[ponderacion_meta]]/1.5%*Tabla1[[#This Row],[proyeccion_año3]]</f>
        <v>3.8760000000000001E-3</v>
      </c>
      <c r="AG416" s="257">
        <f>+Tabla1[[#This Row],[ponderacion_meta]]/1.5%*Tabla1[[#This Row],[proyeccion_año4]]</f>
        <v>7.7520000000000002E-3</v>
      </c>
      <c r="AH416" s="396">
        <f t="shared" si="62"/>
        <v>2.6596669999999999E-2</v>
      </c>
      <c r="AI416" s="396">
        <f t="shared" si="63"/>
        <v>8.2625000000000032E-2</v>
      </c>
      <c r="AJ416" s="317">
        <f t="shared" si="61"/>
        <v>8.2625000000000032E-2</v>
      </c>
      <c r="AK416" s="385">
        <v>1.2974570000000001E-2</v>
      </c>
      <c r="AL416" s="402">
        <f t="shared" si="59"/>
        <v>9.366666666666669E-2</v>
      </c>
      <c r="AM416" s="327">
        <v>0</v>
      </c>
      <c r="AN416" s="410">
        <f t="shared" si="64"/>
        <v>0.18333333333333335</v>
      </c>
      <c r="AO416" s="358" t="e">
        <f>+([1]!Tabla1[[#This Row],[ponderacion_accion]]/20%)*AQ416</f>
        <v>#REF!</v>
      </c>
      <c r="AP416" s="335" t="e">
        <f>Tabla1[[#This Row],[ponderacion_meta]]*AO416</f>
        <v>#REF!</v>
      </c>
      <c r="AQ416" s="349">
        <v>0.2</v>
      </c>
      <c r="AR416" s="380">
        <v>0</v>
      </c>
      <c r="AS416" s="7" t="e">
        <f>+((SUM(AO416:AO419)*100)/100)</f>
        <v>#REF!</v>
      </c>
      <c r="AT416" s="521">
        <v>0</v>
      </c>
    </row>
    <row r="417" spans="1:46" ht="15" customHeight="1" x14ac:dyDescent="0.35">
      <c r="A417" s="236" t="s">
        <v>1151</v>
      </c>
      <c r="B417" s="400" t="s">
        <v>567</v>
      </c>
      <c r="C417" s="399" t="s">
        <v>1720</v>
      </c>
      <c r="D417" s="237" t="s">
        <v>1165</v>
      </c>
      <c r="E417" s="175" t="s">
        <v>764</v>
      </c>
      <c r="F417" s="176" t="s">
        <v>2614</v>
      </c>
      <c r="G417" s="166" t="s">
        <v>828</v>
      </c>
      <c r="H417" s="166" t="s">
        <v>1748</v>
      </c>
      <c r="I417" s="70" t="s">
        <v>847</v>
      </c>
      <c r="J417" s="265">
        <v>1.1627999999999999E-2</v>
      </c>
      <c r="K417" s="72" t="s">
        <v>848</v>
      </c>
      <c r="L417" s="141">
        <v>200000000</v>
      </c>
      <c r="M417" s="141">
        <v>0</v>
      </c>
      <c r="N417" s="449"/>
      <c r="O417" s="449" t="s">
        <v>1753</v>
      </c>
      <c r="P417" s="200">
        <v>0</v>
      </c>
      <c r="Q417" s="212">
        <v>0</v>
      </c>
      <c r="R417" s="212">
        <v>5.0000000000000001E-3</v>
      </c>
      <c r="S417" s="212">
        <v>0.01</v>
      </c>
      <c r="T417" s="212" t="s">
        <v>1586</v>
      </c>
      <c r="U417" s="75" t="s">
        <v>850</v>
      </c>
      <c r="V417" s="43">
        <v>0.2</v>
      </c>
      <c r="W417" s="72" t="s">
        <v>851</v>
      </c>
      <c r="X417" s="72"/>
      <c r="Y417" s="70" t="s">
        <v>2587</v>
      </c>
      <c r="Z417" s="493" t="s">
        <v>2564</v>
      </c>
      <c r="AA417" s="239">
        <f t="shared" si="56"/>
        <v>2.3256000000000001E-3</v>
      </c>
      <c r="AB417" s="252">
        <v>0</v>
      </c>
      <c r="AC417" s="262">
        <f>+(Tabla1[[#This Row],[Avance PDI]]*100%)/Tabla1[[#This Row],[ponderacion_meta]]</f>
        <v>0</v>
      </c>
      <c r="AD417" s="257">
        <v>0</v>
      </c>
      <c r="AE417" s="257">
        <v>0</v>
      </c>
      <c r="AF417" s="257">
        <v>3.8760000000000001E-3</v>
      </c>
      <c r="AG417" s="257">
        <v>7.7520000000000002E-3</v>
      </c>
      <c r="AH417" s="396">
        <f t="shared" si="62"/>
        <v>2.6596669999999999E-2</v>
      </c>
      <c r="AI417" s="396">
        <f t="shared" si="63"/>
        <v>8.2625000000000032E-2</v>
      </c>
      <c r="AJ417" s="317">
        <f t="shared" si="61"/>
        <v>8.2625000000000032E-2</v>
      </c>
      <c r="AK417" s="385">
        <v>1.2974570000000001E-2</v>
      </c>
      <c r="AL417" s="402">
        <f t="shared" si="59"/>
        <v>9.366666666666669E-2</v>
      </c>
      <c r="AM417" s="327">
        <v>0</v>
      </c>
      <c r="AN417" s="410">
        <f t="shared" si="64"/>
        <v>0.18333333333333335</v>
      </c>
      <c r="AO417" s="359" t="e">
        <f>+([1]!Tabla1[[#This Row],[ponderacion_accion]]/20%)*AQ417</f>
        <v>#REF!</v>
      </c>
      <c r="AP417" s="335" t="e">
        <f>Tabla1[[#This Row],[ponderacion_meta]]*AO417</f>
        <v>#REF!</v>
      </c>
      <c r="AQ417" s="351"/>
      <c r="AR417" s="380">
        <v>0</v>
      </c>
      <c r="AS417" s="9"/>
      <c r="AT417" s="521">
        <v>0</v>
      </c>
    </row>
    <row r="418" spans="1:46" ht="15" customHeight="1" x14ac:dyDescent="0.35">
      <c r="A418" s="236" t="s">
        <v>1151</v>
      </c>
      <c r="B418" s="400" t="s">
        <v>567</v>
      </c>
      <c r="C418" s="399" t="s">
        <v>1720</v>
      </c>
      <c r="D418" s="237" t="s">
        <v>1165</v>
      </c>
      <c r="E418" s="175" t="s">
        <v>764</v>
      </c>
      <c r="F418" s="176" t="s">
        <v>2614</v>
      </c>
      <c r="G418" s="166" t="s">
        <v>828</v>
      </c>
      <c r="H418" s="166" t="s">
        <v>1748</v>
      </c>
      <c r="I418" s="41" t="s">
        <v>847</v>
      </c>
      <c r="J418" s="267">
        <v>1.1627999999999999E-2</v>
      </c>
      <c r="K418" s="108" t="s">
        <v>848</v>
      </c>
      <c r="L418" s="142">
        <v>200000000</v>
      </c>
      <c r="M418" s="142">
        <v>0</v>
      </c>
      <c r="N418" s="450"/>
      <c r="O418" s="450" t="s">
        <v>1753</v>
      </c>
      <c r="P418" s="232">
        <v>0</v>
      </c>
      <c r="Q418" s="217">
        <v>0</v>
      </c>
      <c r="R418" s="217">
        <v>5.0000000000000001E-3</v>
      </c>
      <c r="S418" s="217">
        <v>0.01</v>
      </c>
      <c r="T418" s="217" t="s">
        <v>1587</v>
      </c>
      <c r="U418" s="75" t="s">
        <v>852</v>
      </c>
      <c r="V418" s="43">
        <v>0.5</v>
      </c>
      <c r="W418" s="72" t="s">
        <v>853</v>
      </c>
      <c r="X418" s="72"/>
      <c r="Y418" s="70" t="s">
        <v>2587</v>
      </c>
      <c r="Z418" s="494" t="s">
        <v>2564</v>
      </c>
      <c r="AA418" s="239">
        <f t="shared" si="56"/>
        <v>5.8139999999999997E-3</v>
      </c>
      <c r="AB418" s="252">
        <v>0</v>
      </c>
      <c r="AC418" s="262">
        <f>+(Tabla1[[#This Row],[Avance PDI]]*100%)/Tabla1[[#This Row],[ponderacion_meta]]</f>
        <v>0</v>
      </c>
      <c r="AD418" s="257">
        <v>0</v>
      </c>
      <c r="AE418" s="257">
        <v>0</v>
      </c>
      <c r="AF418" s="257">
        <v>3.8760000000000001E-3</v>
      </c>
      <c r="AG418" s="257">
        <v>7.7520000000000002E-3</v>
      </c>
      <c r="AH418" s="396">
        <f t="shared" si="62"/>
        <v>2.6596669999999999E-2</v>
      </c>
      <c r="AI418" s="396">
        <f t="shared" si="63"/>
        <v>8.2625000000000032E-2</v>
      </c>
      <c r="AJ418" s="317">
        <f t="shared" si="61"/>
        <v>8.2625000000000032E-2</v>
      </c>
      <c r="AK418" s="385">
        <v>1.2974570000000001E-2</v>
      </c>
      <c r="AL418" s="402">
        <f t="shared" si="59"/>
        <v>9.366666666666669E-2</v>
      </c>
      <c r="AM418" s="327">
        <v>0</v>
      </c>
      <c r="AN418" s="410">
        <f t="shared" si="64"/>
        <v>0.18333333333333335</v>
      </c>
      <c r="AO418" s="359" t="e">
        <f>+([1]!Tabla1[[#This Row],[ponderacion_accion]]/50%)*AQ418</f>
        <v>#REF!</v>
      </c>
      <c r="AP418" s="335" t="e">
        <f>Tabla1[[#This Row],[ponderacion_meta]]*AO418</f>
        <v>#REF!</v>
      </c>
      <c r="AQ418" s="351"/>
      <c r="AR418" s="380">
        <v>0</v>
      </c>
      <c r="AS418" s="9"/>
      <c r="AT418" s="521">
        <v>0</v>
      </c>
    </row>
    <row r="419" spans="1:46" ht="15" customHeight="1" x14ac:dyDescent="0.35">
      <c r="A419" s="236" t="s">
        <v>1151</v>
      </c>
      <c r="B419" s="400" t="s">
        <v>567</v>
      </c>
      <c r="C419" s="399" t="s">
        <v>1720</v>
      </c>
      <c r="D419" s="237" t="s">
        <v>1165</v>
      </c>
      <c r="E419" s="175" t="s">
        <v>764</v>
      </c>
      <c r="F419" s="176" t="s">
        <v>2614</v>
      </c>
      <c r="G419" s="166" t="s">
        <v>828</v>
      </c>
      <c r="H419" s="166" t="s">
        <v>1748</v>
      </c>
      <c r="I419" s="41" t="s">
        <v>847</v>
      </c>
      <c r="J419" s="267">
        <v>1.1627999999999999E-2</v>
      </c>
      <c r="K419" s="108" t="s">
        <v>848</v>
      </c>
      <c r="L419" s="142">
        <v>200000000</v>
      </c>
      <c r="M419" s="142">
        <v>0</v>
      </c>
      <c r="N419" s="450"/>
      <c r="O419" s="450" t="s">
        <v>1753</v>
      </c>
      <c r="P419" s="232">
        <v>0</v>
      </c>
      <c r="Q419" s="217">
        <v>0</v>
      </c>
      <c r="R419" s="217">
        <v>5.0000000000000001E-3</v>
      </c>
      <c r="S419" s="217">
        <v>0.01</v>
      </c>
      <c r="T419" s="217" t="s">
        <v>1588</v>
      </c>
      <c r="U419" s="75" t="s">
        <v>845</v>
      </c>
      <c r="V419" s="43">
        <v>0.1</v>
      </c>
      <c r="W419" s="72" t="s">
        <v>100</v>
      </c>
      <c r="X419" s="72"/>
      <c r="Y419" s="70" t="s">
        <v>2587</v>
      </c>
      <c r="Z419" s="494" t="s">
        <v>2564</v>
      </c>
      <c r="AA419" s="239">
        <f t="shared" si="56"/>
        <v>1.1628000000000001E-3</v>
      </c>
      <c r="AB419" s="252">
        <v>0</v>
      </c>
      <c r="AC419" s="262">
        <f>+(Tabla1[[#This Row],[Avance PDI]]*100%)/Tabla1[[#This Row],[ponderacion_meta]]</f>
        <v>0</v>
      </c>
      <c r="AD419" s="257">
        <v>0</v>
      </c>
      <c r="AE419" s="257">
        <v>0</v>
      </c>
      <c r="AF419" s="257">
        <v>3.8760000000000001E-3</v>
      </c>
      <c r="AG419" s="257">
        <v>7.7520000000000002E-3</v>
      </c>
      <c r="AH419" s="396">
        <f t="shared" si="62"/>
        <v>2.6596669999999999E-2</v>
      </c>
      <c r="AI419" s="396">
        <f t="shared" si="63"/>
        <v>8.2625000000000032E-2</v>
      </c>
      <c r="AJ419" s="317">
        <f t="shared" si="61"/>
        <v>8.2625000000000032E-2</v>
      </c>
      <c r="AK419" s="385">
        <v>1.2974570000000001E-2</v>
      </c>
      <c r="AL419" s="402">
        <f t="shared" si="59"/>
        <v>9.366666666666669E-2</v>
      </c>
      <c r="AM419" s="327">
        <v>0</v>
      </c>
      <c r="AN419" s="410">
        <f t="shared" si="64"/>
        <v>0.18333333333333335</v>
      </c>
      <c r="AO419" s="360" t="e">
        <f>+([1]!Tabla1[[#This Row],[ponderacion_accion]]/10%)*AQ419</f>
        <v>#REF!</v>
      </c>
      <c r="AP419" s="335" t="e">
        <f>Tabla1[[#This Row],[ponderacion_meta]]*AO419</f>
        <v>#REF!</v>
      </c>
      <c r="AQ419" s="356"/>
      <c r="AR419" s="380">
        <v>0</v>
      </c>
      <c r="AS419" s="9"/>
      <c r="AT419" s="521">
        <v>0</v>
      </c>
    </row>
    <row r="420" spans="1:46" ht="15" customHeight="1" x14ac:dyDescent="0.35">
      <c r="A420" s="236" t="s">
        <v>1151</v>
      </c>
      <c r="B420" s="400" t="s">
        <v>567</v>
      </c>
      <c r="C420" s="399" t="s">
        <v>1720</v>
      </c>
      <c r="D420" s="237" t="s">
        <v>1165</v>
      </c>
      <c r="E420" s="175" t="s">
        <v>764</v>
      </c>
      <c r="F420" s="156" t="s">
        <v>2615</v>
      </c>
      <c r="G420" s="168" t="s">
        <v>854</v>
      </c>
      <c r="H420" s="426" t="s">
        <v>1749</v>
      </c>
      <c r="I420" s="86" t="s">
        <v>855</v>
      </c>
      <c r="J420" s="272">
        <v>1.1627999999999999E-2</v>
      </c>
      <c r="K420" s="77" t="s">
        <v>856</v>
      </c>
      <c r="L420" s="145">
        <v>1508849163.8</v>
      </c>
      <c r="M420" s="145">
        <v>0</v>
      </c>
      <c r="N420" s="453"/>
      <c r="O420" s="453" t="s">
        <v>1753</v>
      </c>
      <c r="P420" s="218">
        <v>0.1</v>
      </c>
      <c r="Q420" s="219">
        <v>0.3</v>
      </c>
      <c r="R420" s="219">
        <v>0.3</v>
      </c>
      <c r="S420" s="219">
        <v>0.3</v>
      </c>
      <c r="T420" s="219" t="s">
        <v>1589</v>
      </c>
      <c r="U420" s="76" t="s">
        <v>857</v>
      </c>
      <c r="V420" s="48">
        <v>0.1</v>
      </c>
      <c r="W420" s="77" t="s">
        <v>858</v>
      </c>
      <c r="X420" s="77"/>
      <c r="Y420" s="86" t="s">
        <v>2587</v>
      </c>
      <c r="Z420" s="498" t="s">
        <v>2564</v>
      </c>
      <c r="AA420" s="238">
        <f t="shared" ref="AA420:AA483" si="65">+J420*V420</f>
        <v>1.1628000000000001E-3</v>
      </c>
      <c r="AB420" s="254">
        <f>+Tabla1[[#This Row],[ponderacion_meta]]*Tabla1[[#This Row],[ponderacion_accion]]</f>
        <v>1.1628000000000001E-3</v>
      </c>
      <c r="AC420" s="278">
        <f>+(Tabla1[[#This Row],[Avance PDI]]*100%)/Tabla1[[#This Row],[ponderacion_meta]]</f>
        <v>0.1</v>
      </c>
      <c r="AD420" s="279">
        <f>+Tabla1[[#This Row],[ponderacion_meta]]*Tabla1[[#This Row],[proyeccion_año1]]</f>
        <v>1.1628000000000001E-3</v>
      </c>
      <c r="AE420" s="279">
        <f>+Tabla1[[#This Row],[ponderacion_meta]]*Tabla1[[#This Row],[proyeccion_año2]]</f>
        <v>3.4883999999999996E-3</v>
      </c>
      <c r="AF420" s="279">
        <f>+Tabla1[[#This Row],[ponderacion_meta]]*Tabla1[[#This Row],[proyeccion_año3]]</f>
        <v>3.4883999999999996E-3</v>
      </c>
      <c r="AG420" s="279">
        <f>+Tabla1[[#This Row],[ponderacion_meta]]*Tabla1[[#This Row],[proyeccion_año4]]</f>
        <v>3.4883999999999996E-3</v>
      </c>
      <c r="AH420" s="396">
        <f t="shared" si="62"/>
        <v>2.6596669999999999E-2</v>
      </c>
      <c r="AI420" s="396">
        <f t="shared" si="63"/>
        <v>8.2625000000000032E-2</v>
      </c>
      <c r="AJ420" s="317">
        <f t="shared" si="61"/>
        <v>8.2625000000000032E-2</v>
      </c>
      <c r="AK420" s="385">
        <v>1.2974570000000001E-2</v>
      </c>
      <c r="AL420" s="402">
        <f t="shared" si="59"/>
        <v>9.366666666666669E-2</v>
      </c>
      <c r="AM420" s="324">
        <f>+SUM(AB420:AB431)</f>
        <v>2.3256000000000001E-3</v>
      </c>
      <c r="AN420" s="411">
        <f>+SUM(AC420:AC431)/3</f>
        <v>6.6666666666666666E-2</v>
      </c>
      <c r="AO420" s="343" t="e">
        <f>+([1]!Tabla1[[#This Row],[ponderacion_accion]]/10%)*AQ420</f>
        <v>#REF!</v>
      </c>
      <c r="AP420" s="343" t="e">
        <f>Tabla1[[#This Row],[ponderacion_meta]]*AO420</f>
        <v>#REF!</v>
      </c>
      <c r="AQ420" s="368">
        <v>0.1</v>
      </c>
      <c r="AR420" s="377">
        <v>0</v>
      </c>
      <c r="AS420" s="7" t="e">
        <f>+((SUM(AO420:AO423)*100)/100)</f>
        <v>#REF!</v>
      </c>
      <c r="AT420" s="521">
        <v>0</v>
      </c>
    </row>
    <row r="421" spans="1:46" ht="15" customHeight="1" x14ac:dyDescent="0.35">
      <c r="A421" s="236" t="s">
        <v>1151</v>
      </c>
      <c r="B421" s="400" t="s">
        <v>567</v>
      </c>
      <c r="C421" s="399" t="s">
        <v>1720</v>
      </c>
      <c r="D421" s="237" t="s">
        <v>1165</v>
      </c>
      <c r="E421" s="175" t="s">
        <v>764</v>
      </c>
      <c r="F421" s="156" t="s">
        <v>2615</v>
      </c>
      <c r="G421" s="169" t="s">
        <v>854</v>
      </c>
      <c r="H421" s="169" t="s">
        <v>1749</v>
      </c>
      <c r="I421" s="42" t="s">
        <v>855</v>
      </c>
      <c r="J421" s="266">
        <v>1.1627999999999999E-2</v>
      </c>
      <c r="K421" s="106" t="s">
        <v>856</v>
      </c>
      <c r="L421" s="140">
        <v>1508849163.8</v>
      </c>
      <c r="M421" s="140">
        <v>0</v>
      </c>
      <c r="N421" s="448"/>
      <c r="O421" s="448" t="s">
        <v>1753</v>
      </c>
      <c r="P421" s="189">
        <v>0.1</v>
      </c>
      <c r="Q421" s="190">
        <v>0.3</v>
      </c>
      <c r="R421" s="190">
        <v>0.3</v>
      </c>
      <c r="S421" s="190">
        <v>0.3</v>
      </c>
      <c r="T421" s="190" t="s">
        <v>1590</v>
      </c>
      <c r="U421" s="76" t="s">
        <v>859</v>
      </c>
      <c r="V421" s="48">
        <v>0.2</v>
      </c>
      <c r="W421" s="77" t="s">
        <v>808</v>
      </c>
      <c r="X421" s="77"/>
      <c r="Y421" s="86" t="s">
        <v>2587</v>
      </c>
      <c r="Z421" s="496" t="s">
        <v>2564</v>
      </c>
      <c r="AA421" s="238">
        <f t="shared" si="65"/>
        <v>2.3256000000000001E-3</v>
      </c>
      <c r="AB421" s="252">
        <v>0</v>
      </c>
      <c r="AC421" s="278">
        <f>+(Tabla1[[#This Row],[Avance PDI]]*100%)/Tabla1[[#This Row],[ponderacion_meta]]</f>
        <v>0</v>
      </c>
      <c r="AD421" s="279">
        <v>1.1628000000000001E-3</v>
      </c>
      <c r="AE421" s="279">
        <v>3.4883999999999996E-3</v>
      </c>
      <c r="AF421" s="279">
        <v>3.4883999999999996E-3</v>
      </c>
      <c r="AG421" s="279">
        <v>3.4883999999999996E-3</v>
      </c>
      <c r="AH421" s="396">
        <f t="shared" si="62"/>
        <v>2.6596669999999999E-2</v>
      </c>
      <c r="AI421" s="396">
        <f t="shared" si="63"/>
        <v>8.2625000000000032E-2</v>
      </c>
      <c r="AJ421" s="317">
        <f t="shared" si="61"/>
        <v>8.2625000000000032E-2</v>
      </c>
      <c r="AK421" s="385">
        <v>1.2974570000000001E-2</v>
      </c>
      <c r="AL421" s="402">
        <f t="shared" si="59"/>
        <v>9.366666666666669E-2</v>
      </c>
      <c r="AM421" s="325">
        <v>0</v>
      </c>
      <c r="AN421" s="411">
        <f>$AN$420</f>
        <v>6.6666666666666666E-2</v>
      </c>
      <c r="AO421" s="344" t="e">
        <f>+([1]!Tabla1[[#This Row],[ponderacion_accion]]/20%)*AQ421</f>
        <v>#REF!</v>
      </c>
      <c r="AP421" s="344" t="e">
        <f>Tabla1[[#This Row],[ponderacion_meta]]*AO421</f>
        <v>#REF!</v>
      </c>
      <c r="AQ421" s="354"/>
      <c r="AR421" s="378">
        <v>0</v>
      </c>
      <c r="AS421" s="9"/>
      <c r="AT421" s="521">
        <v>0</v>
      </c>
    </row>
    <row r="422" spans="1:46" ht="15" customHeight="1" x14ac:dyDescent="0.35">
      <c r="A422" s="236" t="s">
        <v>1151</v>
      </c>
      <c r="B422" s="400" t="s">
        <v>567</v>
      </c>
      <c r="C422" s="399" t="s">
        <v>1720</v>
      </c>
      <c r="D422" s="237" t="s">
        <v>1165</v>
      </c>
      <c r="E422" s="175" t="s">
        <v>764</v>
      </c>
      <c r="F422" s="156" t="s">
        <v>2615</v>
      </c>
      <c r="G422" s="169" t="s">
        <v>854</v>
      </c>
      <c r="H422" s="169" t="s">
        <v>1749</v>
      </c>
      <c r="I422" s="42" t="s">
        <v>855</v>
      </c>
      <c r="J422" s="266">
        <v>1.1627999999999999E-2</v>
      </c>
      <c r="K422" s="106" t="s">
        <v>856</v>
      </c>
      <c r="L422" s="140">
        <v>1508849163.8</v>
      </c>
      <c r="M422" s="140">
        <v>0</v>
      </c>
      <c r="N422" s="448"/>
      <c r="O422" s="448" t="s">
        <v>1753</v>
      </c>
      <c r="P422" s="189">
        <v>0.1</v>
      </c>
      <c r="Q422" s="190">
        <v>0.3</v>
      </c>
      <c r="R422" s="190">
        <v>0.3</v>
      </c>
      <c r="S422" s="190">
        <v>0.3</v>
      </c>
      <c r="T422" s="190" t="s">
        <v>1591</v>
      </c>
      <c r="U422" s="76" t="s">
        <v>860</v>
      </c>
      <c r="V422" s="48">
        <v>0.6</v>
      </c>
      <c r="W422" s="77" t="s">
        <v>861</v>
      </c>
      <c r="X422" s="77"/>
      <c r="Y422" s="86" t="s">
        <v>2587</v>
      </c>
      <c r="Z422" s="496" t="s">
        <v>2564</v>
      </c>
      <c r="AA422" s="238">
        <f t="shared" si="65"/>
        <v>6.9767999999999991E-3</v>
      </c>
      <c r="AB422" s="252">
        <v>0</v>
      </c>
      <c r="AC422" s="278">
        <f>+(Tabla1[[#This Row],[Avance PDI]]*100%)/Tabla1[[#This Row],[ponderacion_meta]]</f>
        <v>0</v>
      </c>
      <c r="AD422" s="279">
        <v>1.1628000000000001E-3</v>
      </c>
      <c r="AE422" s="279">
        <v>3.4883999999999996E-3</v>
      </c>
      <c r="AF422" s="279">
        <v>3.4883999999999996E-3</v>
      </c>
      <c r="AG422" s="279">
        <v>3.4883999999999996E-3</v>
      </c>
      <c r="AH422" s="396">
        <f t="shared" si="62"/>
        <v>2.6596669999999999E-2</v>
      </c>
      <c r="AI422" s="396">
        <f t="shared" si="63"/>
        <v>8.2625000000000032E-2</v>
      </c>
      <c r="AJ422" s="317">
        <f t="shared" si="61"/>
        <v>8.2625000000000032E-2</v>
      </c>
      <c r="AK422" s="385">
        <v>1.2974570000000001E-2</v>
      </c>
      <c r="AL422" s="402">
        <f t="shared" si="59"/>
        <v>9.366666666666669E-2</v>
      </c>
      <c r="AM422" s="325">
        <v>0</v>
      </c>
      <c r="AN422" s="411">
        <f t="shared" ref="AN422:AN431" si="66">$AN$420</f>
        <v>6.6666666666666666E-2</v>
      </c>
      <c r="AO422" s="344" t="e">
        <f>+([1]!Tabla1[[#This Row],[ponderacion_accion]]/60%)*AQ422</f>
        <v>#REF!</v>
      </c>
      <c r="AP422" s="344" t="e">
        <f>Tabla1[[#This Row],[ponderacion_meta]]*AO422</f>
        <v>#REF!</v>
      </c>
      <c r="AQ422" s="354"/>
      <c r="AR422" s="378">
        <v>0</v>
      </c>
      <c r="AS422" s="9"/>
      <c r="AT422" s="521">
        <v>0</v>
      </c>
    </row>
    <row r="423" spans="1:46" ht="15" customHeight="1" x14ac:dyDescent="0.35">
      <c r="A423" s="236" t="s">
        <v>1151</v>
      </c>
      <c r="B423" s="400" t="s">
        <v>567</v>
      </c>
      <c r="C423" s="399" t="s">
        <v>1720</v>
      </c>
      <c r="D423" s="237" t="s">
        <v>1165</v>
      </c>
      <c r="E423" s="175" t="s">
        <v>764</v>
      </c>
      <c r="F423" s="156" t="s">
        <v>2615</v>
      </c>
      <c r="G423" s="169" t="s">
        <v>854</v>
      </c>
      <c r="H423" s="169" t="s">
        <v>1749</v>
      </c>
      <c r="I423" s="42" t="s">
        <v>855</v>
      </c>
      <c r="J423" s="266">
        <v>1.1627999999999999E-2</v>
      </c>
      <c r="K423" s="106" t="s">
        <v>856</v>
      </c>
      <c r="L423" s="140">
        <v>1508849163.8</v>
      </c>
      <c r="M423" s="140">
        <v>0</v>
      </c>
      <c r="N423" s="448"/>
      <c r="O423" s="448" t="s">
        <v>1753</v>
      </c>
      <c r="P423" s="189">
        <v>0.1</v>
      </c>
      <c r="Q423" s="190">
        <v>0.3</v>
      </c>
      <c r="R423" s="190">
        <v>0.3</v>
      </c>
      <c r="S423" s="190">
        <v>0.3</v>
      </c>
      <c r="T423" s="190" t="s">
        <v>1592</v>
      </c>
      <c r="U423" s="76" t="s">
        <v>862</v>
      </c>
      <c r="V423" s="48">
        <v>0.1</v>
      </c>
      <c r="W423" s="77" t="s">
        <v>846</v>
      </c>
      <c r="X423" s="77"/>
      <c r="Y423" s="86" t="s">
        <v>2587</v>
      </c>
      <c r="Z423" s="496" t="s">
        <v>2564</v>
      </c>
      <c r="AA423" s="238">
        <f t="shared" si="65"/>
        <v>1.1628000000000001E-3</v>
      </c>
      <c r="AB423" s="252">
        <v>0</v>
      </c>
      <c r="AC423" s="278">
        <f>+(Tabla1[[#This Row],[Avance PDI]]*100%)/Tabla1[[#This Row],[ponderacion_meta]]</f>
        <v>0</v>
      </c>
      <c r="AD423" s="279">
        <v>1.1628000000000001E-3</v>
      </c>
      <c r="AE423" s="279">
        <v>3.4883999999999996E-3</v>
      </c>
      <c r="AF423" s="279">
        <v>3.4883999999999996E-3</v>
      </c>
      <c r="AG423" s="279">
        <v>3.4883999999999996E-3</v>
      </c>
      <c r="AH423" s="396">
        <f t="shared" si="62"/>
        <v>2.6596669999999999E-2</v>
      </c>
      <c r="AI423" s="396">
        <f t="shared" si="63"/>
        <v>8.2625000000000032E-2</v>
      </c>
      <c r="AJ423" s="317">
        <f t="shared" si="61"/>
        <v>8.2625000000000032E-2</v>
      </c>
      <c r="AK423" s="385">
        <v>1.2974570000000001E-2</v>
      </c>
      <c r="AL423" s="402">
        <f t="shared" si="59"/>
        <v>9.366666666666669E-2</v>
      </c>
      <c r="AM423" s="325">
        <v>0</v>
      </c>
      <c r="AN423" s="411">
        <f t="shared" si="66"/>
        <v>6.6666666666666666E-2</v>
      </c>
      <c r="AO423" s="345" t="e">
        <f>+([1]!Tabla1[[#This Row],[ponderacion_accion]]/10%)*AQ423</f>
        <v>#REF!</v>
      </c>
      <c r="AP423" s="345" t="e">
        <f>Tabla1[[#This Row],[ponderacion_meta]]*AO423</f>
        <v>#REF!</v>
      </c>
      <c r="AQ423" s="357"/>
      <c r="AR423" s="379">
        <v>0</v>
      </c>
      <c r="AS423" s="9"/>
      <c r="AT423" s="521">
        <v>0</v>
      </c>
    </row>
    <row r="424" spans="1:46" ht="15" customHeight="1" x14ac:dyDescent="0.35">
      <c r="A424" s="236" t="s">
        <v>1151</v>
      </c>
      <c r="B424" s="400" t="s">
        <v>567</v>
      </c>
      <c r="C424" s="399" t="s">
        <v>1720</v>
      </c>
      <c r="D424" s="237" t="s">
        <v>1165</v>
      </c>
      <c r="E424" s="175" t="s">
        <v>764</v>
      </c>
      <c r="F424" s="156" t="s">
        <v>2615</v>
      </c>
      <c r="G424" s="169" t="s">
        <v>854</v>
      </c>
      <c r="H424" s="169" t="s">
        <v>1749</v>
      </c>
      <c r="I424" s="83" t="s">
        <v>863</v>
      </c>
      <c r="J424" s="273">
        <v>1.1627999999999999E-2</v>
      </c>
      <c r="K424" s="85" t="s">
        <v>864</v>
      </c>
      <c r="L424" s="146">
        <v>132000000</v>
      </c>
      <c r="M424" s="146">
        <v>0</v>
      </c>
      <c r="N424" s="454"/>
      <c r="O424" s="454" t="s">
        <v>1753</v>
      </c>
      <c r="P424" s="233">
        <v>0</v>
      </c>
      <c r="Q424" s="221">
        <v>0.4</v>
      </c>
      <c r="R424" s="221">
        <v>0.4</v>
      </c>
      <c r="S424" s="221">
        <v>0.2</v>
      </c>
      <c r="T424" s="221" t="s">
        <v>1593</v>
      </c>
      <c r="U424" s="84" t="s">
        <v>865</v>
      </c>
      <c r="V424" s="49">
        <v>0.2</v>
      </c>
      <c r="W424" s="85" t="s">
        <v>866</v>
      </c>
      <c r="X424" s="85"/>
      <c r="Y424" s="83" t="s">
        <v>2587</v>
      </c>
      <c r="Z424" s="497" t="s">
        <v>2564</v>
      </c>
      <c r="AA424" s="239">
        <f t="shared" si="65"/>
        <v>2.3256000000000001E-3</v>
      </c>
      <c r="AB424" s="254">
        <f>+(Tabla1[[#This Row],[ponderacion_meta]]*Tabla1[[#This Row],[ponderacion_accion]])/2*1</f>
        <v>1.1628000000000001E-3</v>
      </c>
      <c r="AC424" s="262">
        <f>+(Tabla1[[#This Row],[Avance PDI]]*100%)/Tabla1[[#This Row],[ponderacion_meta]]</f>
        <v>0.1</v>
      </c>
      <c r="AD424" s="257">
        <f>+Tabla1[[#This Row],[ponderacion_meta]]*Tabla1[[#This Row],[proyeccion_año1]]</f>
        <v>0</v>
      </c>
      <c r="AE424" s="257">
        <f>+Tabla1[[#This Row],[ponderacion_meta]]*Tabla1[[#This Row],[proyeccion_año2]]</f>
        <v>4.6512000000000003E-3</v>
      </c>
      <c r="AF424" s="257">
        <f>+Tabla1[[#This Row],[ponderacion_meta]]*Tabla1[[#This Row],[proyeccion_año3]]</f>
        <v>4.6512000000000003E-3</v>
      </c>
      <c r="AG424" s="257">
        <f>+Tabla1[[#This Row],[ponderacion_meta]]*Tabla1[[#This Row],[proyeccion_año4]]</f>
        <v>2.3256000000000001E-3</v>
      </c>
      <c r="AH424" s="396">
        <f t="shared" si="62"/>
        <v>2.6596669999999999E-2</v>
      </c>
      <c r="AI424" s="396">
        <f t="shared" si="63"/>
        <v>8.2625000000000032E-2</v>
      </c>
      <c r="AJ424" s="317">
        <f t="shared" si="61"/>
        <v>8.2625000000000032E-2</v>
      </c>
      <c r="AK424" s="385">
        <v>1.2974570000000001E-2</v>
      </c>
      <c r="AL424" s="402">
        <f t="shared" si="59"/>
        <v>9.366666666666669E-2</v>
      </c>
      <c r="AM424" s="325">
        <v>0</v>
      </c>
      <c r="AN424" s="411">
        <f t="shared" si="66"/>
        <v>6.6666666666666666E-2</v>
      </c>
      <c r="AO424" s="358" t="e">
        <f>+([1]!Tabla1[[#This Row],[ponderacion_accion]]/20%)*AQ424</f>
        <v>#REF!</v>
      </c>
      <c r="AP424" s="358" t="e">
        <f>Tabla1[[#This Row],[ponderacion_meta]]*AO424</f>
        <v>#REF!</v>
      </c>
      <c r="AQ424" s="349">
        <v>0.1</v>
      </c>
      <c r="AR424" s="380">
        <v>0</v>
      </c>
      <c r="AS424" s="7" t="e">
        <f>+((SUM(AO424:AO427)*100)/100)</f>
        <v>#REF!</v>
      </c>
      <c r="AT424" s="521">
        <v>0</v>
      </c>
    </row>
    <row r="425" spans="1:46" ht="15" customHeight="1" x14ac:dyDescent="0.35">
      <c r="A425" s="236" t="s">
        <v>1151</v>
      </c>
      <c r="B425" s="400" t="s">
        <v>567</v>
      </c>
      <c r="C425" s="399" t="s">
        <v>1720</v>
      </c>
      <c r="D425" s="237" t="s">
        <v>1165</v>
      </c>
      <c r="E425" s="175" t="s">
        <v>764</v>
      </c>
      <c r="F425" s="156" t="s">
        <v>2615</v>
      </c>
      <c r="G425" s="169" t="s">
        <v>854</v>
      </c>
      <c r="H425" s="169" t="s">
        <v>1749</v>
      </c>
      <c r="I425" s="83" t="s">
        <v>863</v>
      </c>
      <c r="J425" s="273">
        <v>1.1627999999999999E-2</v>
      </c>
      <c r="K425" s="108" t="s">
        <v>864</v>
      </c>
      <c r="L425" s="142">
        <v>132000000</v>
      </c>
      <c r="M425" s="142">
        <v>0</v>
      </c>
      <c r="N425" s="450"/>
      <c r="O425" s="450" t="s">
        <v>1753</v>
      </c>
      <c r="P425" s="191">
        <v>0</v>
      </c>
      <c r="Q425" s="205">
        <v>0.4</v>
      </c>
      <c r="R425" s="205">
        <v>0.4</v>
      </c>
      <c r="S425" s="205">
        <v>0.2</v>
      </c>
      <c r="T425" s="205" t="s">
        <v>1594</v>
      </c>
      <c r="U425" s="84" t="s">
        <v>867</v>
      </c>
      <c r="V425" s="49">
        <v>0.1</v>
      </c>
      <c r="W425" s="85" t="s">
        <v>868</v>
      </c>
      <c r="X425" s="85"/>
      <c r="Y425" s="83" t="s">
        <v>2587</v>
      </c>
      <c r="Z425" s="494" t="s">
        <v>2564</v>
      </c>
      <c r="AA425" s="239">
        <f t="shared" si="65"/>
        <v>1.1628000000000001E-3</v>
      </c>
      <c r="AB425" s="252">
        <v>0</v>
      </c>
      <c r="AC425" s="262">
        <f>+(Tabla1[[#This Row],[Avance PDI]]*100%)/Tabla1[[#This Row],[ponderacion_meta]]</f>
        <v>0</v>
      </c>
      <c r="AD425" s="257">
        <v>0</v>
      </c>
      <c r="AE425" s="257">
        <v>4.6512000000000003E-3</v>
      </c>
      <c r="AF425" s="257">
        <v>4.6512000000000003E-3</v>
      </c>
      <c r="AG425" s="257">
        <v>2.3256000000000001E-3</v>
      </c>
      <c r="AH425" s="396">
        <f t="shared" si="62"/>
        <v>2.6596669999999999E-2</v>
      </c>
      <c r="AI425" s="396">
        <f t="shared" si="63"/>
        <v>8.2625000000000032E-2</v>
      </c>
      <c r="AJ425" s="317">
        <f t="shared" si="61"/>
        <v>8.2625000000000032E-2</v>
      </c>
      <c r="AK425" s="385">
        <v>1.2974570000000001E-2</v>
      </c>
      <c r="AL425" s="402">
        <f t="shared" si="59"/>
        <v>9.366666666666669E-2</v>
      </c>
      <c r="AM425" s="325">
        <v>0</v>
      </c>
      <c r="AN425" s="411">
        <f t="shared" si="66"/>
        <v>6.6666666666666666E-2</v>
      </c>
      <c r="AO425" s="359" t="e">
        <f>+([1]!Tabla1[[#This Row],[ponderacion_accion]]/10%)*AQ425</f>
        <v>#REF!</v>
      </c>
      <c r="AP425" s="359" t="e">
        <f>Tabla1[[#This Row],[ponderacion_meta]]*AO425</f>
        <v>#REF!</v>
      </c>
      <c r="AQ425" s="351"/>
      <c r="AR425" s="380">
        <v>0</v>
      </c>
      <c r="AS425" s="9"/>
      <c r="AT425" s="521">
        <v>0</v>
      </c>
    </row>
    <row r="426" spans="1:46" ht="15" customHeight="1" x14ac:dyDescent="0.35">
      <c r="A426" s="236" t="s">
        <v>1151</v>
      </c>
      <c r="B426" s="400" t="s">
        <v>567</v>
      </c>
      <c r="C426" s="399" t="s">
        <v>1720</v>
      </c>
      <c r="D426" s="237" t="s">
        <v>1165</v>
      </c>
      <c r="E426" s="175" t="s">
        <v>764</v>
      </c>
      <c r="F426" s="156" t="s">
        <v>2615</v>
      </c>
      <c r="G426" s="169" t="s">
        <v>854</v>
      </c>
      <c r="H426" s="169" t="s">
        <v>1749</v>
      </c>
      <c r="I426" s="83" t="s">
        <v>863</v>
      </c>
      <c r="J426" s="273">
        <v>1.1627999999999999E-2</v>
      </c>
      <c r="K426" s="108" t="s">
        <v>864</v>
      </c>
      <c r="L426" s="142">
        <v>132000000</v>
      </c>
      <c r="M426" s="142">
        <v>0</v>
      </c>
      <c r="N426" s="450"/>
      <c r="O426" s="450" t="s">
        <v>1753</v>
      </c>
      <c r="P426" s="191">
        <v>0</v>
      </c>
      <c r="Q426" s="205">
        <v>0.4</v>
      </c>
      <c r="R426" s="205">
        <v>0.4</v>
      </c>
      <c r="S426" s="205">
        <v>0.2</v>
      </c>
      <c r="T426" s="205" t="s">
        <v>1595</v>
      </c>
      <c r="U426" s="84" t="s">
        <v>869</v>
      </c>
      <c r="V426" s="49">
        <v>0.6</v>
      </c>
      <c r="W426" s="85" t="s">
        <v>870</v>
      </c>
      <c r="X426" s="85"/>
      <c r="Y426" s="83" t="s">
        <v>2587</v>
      </c>
      <c r="Z426" s="494" t="s">
        <v>2564</v>
      </c>
      <c r="AA426" s="239">
        <f t="shared" si="65"/>
        <v>6.9767999999999991E-3</v>
      </c>
      <c r="AB426" s="252">
        <v>0</v>
      </c>
      <c r="AC426" s="262">
        <f>+(Tabla1[[#This Row],[Avance PDI]]*100%)/Tabla1[[#This Row],[ponderacion_meta]]</f>
        <v>0</v>
      </c>
      <c r="AD426" s="257">
        <v>0</v>
      </c>
      <c r="AE426" s="257">
        <v>4.6512000000000003E-3</v>
      </c>
      <c r="AF426" s="257">
        <v>4.6512000000000003E-3</v>
      </c>
      <c r="AG426" s="257">
        <v>2.3256000000000001E-3</v>
      </c>
      <c r="AH426" s="396">
        <f t="shared" si="62"/>
        <v>2.6596669999999999E-2</v>
      </c>
      <c r="AI426" s="396">
        <f t="shared" si="63"/>
        <v>8.2625000000000032E-2</v>
      </c>
      <c r="AJ426" s="317">
        <f t="shared" si="61"/>
        <v>8.2625000000000032E-2</v>
      </c>
      <c r="AK426" s="385">
        <v>1.2974570000000001E-2</v>
      </c>
      <c r="AL426" s="402">
        <f t="shared" si="59"/>
        <v>9.366666666666669E-2</v>
      </c>
      <c r="AM426" s="325">
        <v>0</v>
      </c>
      <c r="AN426" s="411">
        <f t="shared" si="66"/>
        <v>6.6666666666666666E-2</v>
      </c>
      <c r="AO426" s="359" t="e">
        <f>+([1]!Tabla1[[#This Row],[ponderacion_accion]]/60%)*AQ426</f>
        <v>#REF!</v>
      </c>
      <c r="AP426" s="359" t="e">
        <f>Tabla1[[#This Row],[ponderacion_meta]]*AO426</f>
        <v>#REF!</v>
      </c>
      <c r="AQ426" s="351"/>
      <c r="AR426" s="380">
        <v>0</v>
      </c>
      <c r="AS426" s="9"/>
      <c r="AT426" s="521">
        <v>0</v>
      </c>
    </row>
    <row r="427" spans="1:46" ht="15" customHeight="1" x14ac:dyDescent="0.35">
      <c r="A427" s="236" t="s">
        <v>1151</v>
      </c>
      <c r="B427" s="400" t="s">
        <v>567</v>
      </c>
      <c r="C427" s="399" t="s">
        <v>1720</v>
      </c>
      <c r="D427" s="237" t="s">
        <v>1165</v>
      </c>
      <c r="E427" s="175" t="s">
        <v>764</v>
      </c>
      <c r="F427" s="156" t="s">
        <v>2615</v>
      </c>
      <c r="G427" s="169" t="s">
        <v>854</v>
      </c>
      <c r="H427" s="169" t="s">
        <v>1749</v>
      </c>
      <c r="I427" s="83" t="s">
        <v>863</v>
      </c>
      <c r="J427" s="273">
        <v>1.1627999999999999E-2</v>
      </c>
      <c r="K427" s="108" t="s">
        <v>864</v>
      </c>
      <c r="L427" s="142">
        <v>132000000</v>
      </c>
      <c r="M427" s="142">
        <v>0</v>
      </c>
      <c r="N427" s="450"/>
      <c r="O427" s="450" t="s">
        <v>1753</v>
      </c>
      <c r="P427" s="191">
        <v>0</v>
      </c>
      <c r="Q427" s="205">
        <v>0.4</v>
      </c>
      <c r="R427" s="205">
        <v>0.4</v>
      </c>
      <c r="S427" s="205">
        <v>0.2</v>
      </c>
      <c r="T427" s="205" t="s">
        <v>1596</v>
      </c>
      <c r="U427" s="84" t="s">
        <v>871</v>
      </c>
      <c r="V427" s="49">
        <v>0.1</v>
      </c>
      <c r="W427" s="85" t="s">
        <v>100</v>
      </c>
      <c r="X427" s="85"/>
      <c r="Y427" s="83" t="s">
        <v>2587</v>
      </c>
      <c r="Z427" s="494" t="s">
        <v>2564</v>
      </c>
      <c r="AA427" s="239">
        <f t="shared" si="65"/>
        <v>1.1628000000000001E-3</v>
      </c>
      <c r="AB427" s="252">
        <v>0</v>
      </c>
      <c r="AC427" s="262">
        <f>+(Tabla1[[#This Row],[Avance PDI]]*100%)/Tabla1[[#This Row],[ponderacion_meta]]</f>
        <v>0</v>
      </c>
      <c r="AD427" s="257">
        <v>0</v>
      </c>
      <c r="AE427" s="257">
        <v>4.6512000000000003E-3</v>
      </c>
      <c r="AF427" s="257">
        <v>4.6512000000000003E-3</v>
      </c>
      <c r="AG427" s="257">
        <v>2.3256000000000001E-3</v>
      </c>
      <c r="AH427" s="396">
        <f t="shared" si="62"/>
        <v>2.6596669999999999E-2</v>
      </c>
      <c r="AI427" s="396">
        <f t="shared" si="63"/>
        <v>8.2625000000000032E-2</v>
      </c>
      <c r="AJ427" s="317">
        <f t="shared" si="61"/>
        <v>8.2625000000000032E-2</v>
      </c>
      <c r="AK427" s="385">
        <v>1.2974570000000001E-2</v>
      </c>
      <c r="AL427" s="402">
        <f t="shared" si="59"/>
        <v>9.366666666666669E-2</v>
      </c>
      <c r="AM427" s="325">
        <v>0</v>
      </c>
      <c r="AN427" s="411">
        <f t="shared" si="66"/>
        <v>6.6666666666666666E-2</v>
      </c>
      <c r="AO427" s="360" t="e">
        <f>+([1]!Tabla1[[#This Row],[ponderacion_accion]]/10%)*AQ427</f>
        <v>#REF!</v>
      </c>
      <c r="AP427" s="360" t="e">
        <f>Tabla1[[#This Row],[ponderacion_meta]]*AO427</f>
        <v>#REF!</v>
      </c>
      <c r="AQ427" s="356"/>
      <c r="AR427" s="380">
        <v>0</v>
      </c>
      <c r="AS427" s="9"/>
      <c r="AT427" s="521">
        <v>0</v>
      </c>
    </row>
    <row r="428" spans="1:46" ht="15" customHeight="1" x14ac:dyDescent="0.35">
      <c r="A428" s="236" t="s">
        <v>1151</v>
      </c>
      <c r="B428" s="400" t="s">
        <v>567</v>
      </c>
      <c r="C428" s="399" t="s">
        <v>1720</v>
      </c>
      <c r="D428" s="237" t="s">
        <v>1165</v>
      </c>
      <c r="E428" s="175" t="s">
        <v>764</v>
      </c>
      <c r="F428" s="156" t="s">
        <v>2615</v>
      </c>
      <c r="G428" s="169" t="s">
        <v>854</v>
      </c>
      <c r="H428" s="427" t="s">
        <v>1749</v>
      </c>
      <c r="I428" s="86" t="s">
        <v>872</v>
      </c>
      <c r="J428" s="272">
        <v>6.4939999999999998E-3</v>
      </c>
      <c r="K428" s="77" t="s">
        <v>873</v>
      </c>
      <c r="L428" s="145">
        <v>0</v>
      </c>
      <c r="M428" s="145">
        <v>0</v>
      </c>
      <c r="N428" s="453"/>
      <c r="O428" s="453" t="s">
        <v>1753</v>
      </c>
      <c r="P428" s="234">
        <v>0</v>
      </c>
      <c r="Q428" s="235">
        <v>0</v>
      </c>
      <c r="R428" s="235">
        <v>0</v>
      </c>
      <c r="S428" s="219">
        <v>1</v>
      </c>
      <c r="T428" s="219" t="s">
        <v>1597</v>
      </c>
      <c r="U428" s="76" t="s">
        <v>81</v>
      </c>
      <c r="V428" s="48">
        <v>0.1</v>
      </c>
      <c r="W428" s="77" t="s">
        <v>874</v>
      </c>
      <c r="X428" s="77"/>
      <c r="Y428" s="86" t="s">
        <v>2587</v>
      </c>
      <c r="Z428" s="498" t="s">
        <v>2564</v>
      </c>
      <c r="AA428" s="238">
        <f t="shared" si="65"/>
        <v>6.4940000000000006E-4</v>
      </c>
      <c r="AB428" s="252">
        <v>0</v>
      </c>
      <c r="AC428" s="278">
        <f>+(Tabla1[[#This Row],[Avance PDI]]*100%)/Tabla1[[#This Row],[ponderacion_meta]]</f>
        <v>0</v>
      </c>
      <c r="AD428" s="279">
        <f>+Tabla1[[#This Row],[ponderacion_meta]]*Tabla1[[#This Row],[proyeccion_año1]]</f>
        <v>0</v>
      </c>
      <c r="AE428" s="279">
        <f>+Tabla1[[#This Row],[ponderacion_meta]]*Tabla1[[#This Row],[proyeccion_año2]]</f>
        <v>0</v>
      </c>
      <c r="AF428" s="279">
        <f>+Tabla1[[#This Row],[ponderacion_meta]]*Tabla1[[#This Row],[proyeccion_año3]]</f>
        <v>0</v>
      </c>
      <c r="AG428" s="279">
        <f>+Tabla1[[#This Row],[ponderacion_meta]]*Tabla1[[#This Row],[proyeccion_año4]]</f>
        <v>6.4939999999999998E-3</v>
      </c>
      <c r="AH428" s="396">
        <f t="shared" si="62"/>
        <v>2.6596669999999999E-2</v>
      </c>
      <c r="AI428" s="396">
        <f t="shared" si="63"/>
        <v>8.2625000000000032E-2</v>
      </c>
      <c r="AJ428" s="317">
        <f t="shared" si="61"/>
        <v>8.2625000000000032E-2</v>
      </c>
      <c r="AK428" s="385">
        <v>1.2974570000000001E-2</v>
      </c>
      <c r="AL428" s="402">
        <f t="shared" si="59"/>
        <v>9.366666666666669E-2</v>
      </c>
      <c r="AM428" s="325">
        <v>0</v>
      </c>
      <c r="AN428" s="411">
        <f t="shared" si="66"/>
        <v>6.6666666666666666E-2</v>
      </c>
      <c r="AO428" s="343" t="e">
        <f>+([1]!Tabla1[[#This Row],[ponderacion_accion]]/10%)*AQ428</f>
        <v>#REF!</v>
      </c>
      <c r="AP428" s="334" t="e">
        <f>Tabla1[[#This Row],[ponderacion_meta]]*AO428</f>
        <v>#REF!</v>
      </c>
      <c r="AQ428" s="353"/>
      <c r="AR428" s="377">
        <v>0</v>
      </c>
      <c r="AS428" s="7" t="e">
        <f>+((SUM(AO428:AO431)*100)/32.5)</f>
        <v>#REF!</v>
      </c>
      <c r="AT428" s="521">
        <v>0</v>
      </c>
    </row>
    <row r="429" spans="1:46" ht="15" customHeight="1" x14ac:dyDescent="0.35">
      <c r="A429" s="236" t="s">
        <v>1151</v>
      </c>
      <c r="B429" s="400" t="s">
        <v>567</v>
      </c>
      <c r="C429" s="399" t="s">
        <v>1720</v>
      </c>
      <c r="D429" s="237" t="s">
        <v>1165</v>
      </c>
      <c r="E429" s="175" t="s">
        <v>764</v>
      </c>
      <c r="F429" s="156" t="s">
        <v>2615</v>
      </c>
      <c r="G429" s="169" t="s">
        <v>854</v>
      </c>
      <c r="H429" s="169" t="s">
        <v>1749</v>
      </c>
      <c r="I429" s="86" t="s">
        <v>872</v>
      </c>
      <c r="J429" s="272">
        <v>6.4939999999999998E-3</v>
      </c>
      <c r="K429" s="106" t="s">
        <v>873</v>
      </c>
      <c r="L429" s="140">
        <v>0</v>
      </c>
      <c r="M429" s="140">
        <v>0</v>
      </c>
      <c r="N429" s="448"/>
      <c r="O429" s="448" t="s">
        <v>1753</v>
      </c>
      <c r="P429" s="189">
        <v>0</v>
      </c>
      <c r="Q429" s="190">
        <v>0</v>
      </c>
      <c r="R429" s="190">
        <v>0</v>
      </c>
      <c r="S429" s="214">
        <v>1</v>
      </c>
      <c r="T429" s="214" t="s">
        <v>1598</v>
      </c>
      <c r="U429" s="76" t="s">
        <v>875</v>
      </c>
      <c r="V429" s="48">
        <v>0.3</v>
      </c>
      <c r="W429" s="77" t="s">
        <v>876</v>
      </c>
      <c r="X429" s="77"/>
      <c r="Y429" s="86" t="s">
        <v>2587</v>
      </c>
      <c r="Z429" s="496" t="s">
        <v>2564</v>
      </c>
      <c r="AA429" s="238">
        <f t="shared" si="65"/>
        <v>1.9481999999999998E-3</v>
      </c>
      <c r="AB429" s="252">
        <v>0</v>
      </c>
      <c r="AC429" s="278">
        <f>+(Tabla1[[#This Row],[Avance PDI]]*100%)/Tabla1[[#This Row],[ponderacion_meta]]</f>
        <v>0</v>
      </c>
      <c r="AD429" s="279">
        <v>0</v>
      </c>
      <c r="AE429" s="279">
        <v>0</v>
      </c>
      <c r="AF429" s="279">
        <v>0</v>
      </c>
      <c r="AG429" s="279">
        <v>6.4939999999999998E-3</v>
      </c>
      <c r="AH429" s="396">
        <f t="shared" si="62"/>
        <v>2.6596669999999999E-2</v>
      </c>
      <c r="AI429" s="396">
        <f t="shared" si="63"/>
        <v>8.2625000000000032E-2</v>
      </c>
      <c r="AJ429" s="317">
        <f t="shared" si="61"/>
        <v>8.2625000000000032E-2</v>
      </c>
      <c r="AK429" s="385">
        <v>1.2974570000000001E-2</v>
      </c>
      <c r="AL429" s="402">
        <f t="shared" si="59"/>
        <v>9.366666666666669E-2</v>
      </c>
      <c r="AM429" s="325">
        <v>0</v>
      </c>
      <c r="AN429" s="411">
        <f t="shared" si="66"/>
        <v>6.6666666666666666E-2</v>
      </c>
      <c r="AO429" s="344" t="e">
        <f>+([1]!Tabla1[[#This Row],[ponderacion_accion]]/30%)*AQ429</f>
        <v>#REF!</v>
      </c>
      <c r="AP429" s="334" t="e">
        <f>Tabla1[[#This Row],[ponderacion_meta]]*AO429</f>
        <v>#REF!</v>
      </c>
      <c r="AQ429" s="354"/>
      <c r="AR429" s="378">
        <v>0</v>
      </c>
      <c r="AS429" s="9"/>
      <c r="AT429" s="521">
        <v>0</v>
      </c>
    </row>
    <row r="430" spans="1:46" ht="15" customHeight="1" x14ac:dyDescent="0.35">
      <c r="A430" s="236" t="s">
        <v>1151</v>
      </c>
      <c r="B430" s="400" t="s">
        <v>567</v>
      </c>
      <c r="C430" s="399" t="s">
        <v>1720</v>
      </c>
      <c r="D430" s="237" t="s">
        <v>1165</v>
      </c>
      <c r="E430" s="175" t="s">
        <v>764</v>
      </c>
      <c r="F430" s="156" t="s">
        <v>2615</v>
      </c>
      <c r="G430" s="169" t="s">
        <v>854</v>
      </c>
      <c r="H430" s="169" t="s">
        <v>1749</v>
      </c>
      <c r="I430" s="86" t="s">
        <v>872</v>
      </c>
      <c r="J430" s="272">
        <v>6.4939999999999998E-3</v>
      </c>
      <c r="K430" s="106" t="s">
        <v>873</v>
      </c>
      <c r="L430" s="140">
        <v>0</v>
      </c>
      <c r="M430" s="140">
        <v>0</v>
      </c>
      <c r="N430" s="448"/>
      <c r="O430" s="448" t="s">
        <v>1753</v>
      </c>
      <c r="P430" s="189">
        <v>0</v>
      </c>
      <c r="Q430" s="190">
        <v>0</v>
      </c>
      <c r="R430" s="190">
        <v>0</v>
      </c>
      <c r="S430" s="214">
        <v>1</v>
      </c>
      <c r="T430" s="214" t="s">
        <v>1599</v>
      </c>
      <c r="U430" s="76" t="s">
        <v>877</v>
      </c>
      <c r="V430" s="48">
        <v>0.3</v>
      </c>
      <c r="W430" s="77" t="s">
        <v>853</v>
      </c>
      <c r="X430" s="77"/>
      <c r="Y430" s="86" t="s">
        <v>2587</v>
      </c>
      <c r="Z430" s="496" t="s">
        <v>2564</v>
      </c>
      <c r="AA430" s="238">
        <f t="shared" si="65"/>
        <v>1.9481999999999998E-3</v>
      </c>
      <c r="AB430" s="252">
        <v>0</v>
      </c>
      <c r="AC430" s="278">
        <f>+(Tabla1[[#This Row],[Avance PDI]]*100%)/Tabla1[[#This Row],[ponderacion_meta]]</f>
        <v>0</v>
      </c>
      <c r="AD430" s="279">
        <v>0</v>
      </c>
      <c r="AE430" s="279">
        <v>0</v>
      </c>
      <c r="AF430" s="279">
        <v>0</v>
      </c>
      <c r="AG430" s="279">
        <v>6.4939999999999998E-3</v>
      </c>
      <c r="AH430" s="396">
        <f t="shared" si="62"/>
        <v>2.6596669999999999E-2</v>
      </c>
      <c r="AI430" s="396">
        <f t="shared" si="63"/>
        <v>8.2625000000000032E-2</v>
      </c>
      <c r="AJ430" s="317">
        <f t="shared" si="61"/>
        <v>8.2625000000000032E-2</v>
      </c>
      <c r="AK430" s="385">
        <v>1.2974570000000001E-2</v>
      </c>
      <c r="AL430" s="402">
        <f t="shared" si="59"/>
        <v>9.366666666666669E-2</v>
      </c>
      <c r="AM430" s="325">
        <v>0</v>
      </c>
      <c r="AN430" s="411">
        <f t="shared" si="66"/>
        <v>6.6666666666666666E-2</v>
      </c>
      <c r="AO430" s="344" t="e">
        <f>+([1]!Tabla1[[#This Row],[ponderacion_accion]]/30%)*AQ430</f>
        <v>#REF!</v>
      </c>
      <c r="AP430" s="334" t="e">
        <f>Tabla1[[#This Row],[ponderacion_meta]]*AO430</f>
        <v>#REF!</v>
      </c>
      <c r="AQ430" s="354"/>
      <c r="AR430" s="378">
        <v>0</v>
      </c>
      <c r="AS430" s="9"/>
      <c r="AT430" s="521">
        <v>0</v>
      </c>
    </row>
    <row r="431" spans="1:46" ht="15" customHeight="1" x14ac:dyDescent="0.35">
      <c r="A431" s="236" t="s">
        <v>1151</v>
      </c>
      <c r="B431" s="400" t="s">
        <v>567</v>
      </c>
      <c r="C431" s="399" t="s">
        <v>1720</v>
      </c>
      <c r="D431" s="237" t="s">
        <v>1165</v>
      </c>
      <c r="E431" s="175" t="s">
        <v>764</v>
      </c>
      <c r="F431" s="156" t="s">
        <v>2615</v>
      </c>
      <c r="G431" s="169" t="s">
        <v>854</v>
      </c>
      <c r="H431" s="169" t="s">
        <v>1749</v>
      </c>
      <c r="I431" s="86" t="s">
        <v>872</v>
      </c>
      <c r="J431" s="272">
        <v>6.4939999999999998E-3</v>
      </c>
      <c r="K431" s="106" t="s">
        <v>873</v>
      </c>
      <c r="L431" s="140">
        <v>0</v>
      </c>
      <c r="M431" s="140">
        <v>0</v>
      </c>
      <c r="N431" s="448"/>
      <c r="O431" s="448" t="s">
        <v>1753</v>
      </c>
      <c r="P431" s="189">
        <v>0</v>
      </c>
      <c r="Q431" s="190">
        <v>0</v>
      </c>
      <c r="R431" s="190">
        <v>0</v>
      </c>
      <c r="S431" s="214">
        <v>1</v>
      </c>
      <c r="T431" s="214" t="s">
        <v>1600</v>
      </c>
      <c r="U431" s="76" t="s">
        <v>878</v>
      </c>
      <c r="V431" s="48">
        <v>0.3</v>
      </c>
      <c r="W431" s="77" t="s">
        <v>879</v>
      </c>
      <c r="X431" s="77"/>
      <c r="Y431" s="86" t="s">
        <v>2587</v>
      </c>
      <c r="Z431" s="496" t="s">
        <v>2564</v>
      </c>
      <c r="AA431" s="238">
        <f t="shared" si="65"/>
        <v>1.9481999999999998E-3</v>
      </c>
      <c r="AB431" s="252">
        <v>0</v>
      </c>
      <c r="AC431" s="278">
        <f>+(Tabla1[[#This Row],[Avance PDI]]*100%)/Tabla1[[#This Row],[ponderacion_meta]]</f>
        <v>0</v>
      </c>
      <c r="AD431" s="279">
        <v>0</v>
      </c>
      <c r="AE431" s="279">
        <v>0</v>
      </c>
      <c r="AF431" s="279">
        <v>0</v>
      </c>
      <c r="AG431" s="279">
        <v>6.4939999999999998E-3</v>
      </c>
      <c r="AH431" s="396">
        <f t="shared" si="62"/>
        <v>2.6596669999999999E-2</v>
      </c>
      <c r="AI431" s="396">
        <f>$AI$258</f>
        <v>8.2625000000000032E-2</v>
      </c>
      <c r="AJ431" s="317">
        <f t="shared" si="61"/>
        <v>8.2625000000000032E-2</v>
      </c>
      <c r="AK431" s="385">
        <v>1.2974570000000001E-2</v>
      </c>
      <c r="AL431" s="402">
        <f t="shared" si="59"/>
        <v>9.366666666666669E-2</v>
      </c>
      <c r="AM431" s="325">
        <v>0</v>
      </c>
      <c r="AN431" s="411">
        <f t="shared" si="66"/>
        <v>6.6666666666666666E-2</v>
      </c>
      <c r="AO431" s="345" t="e">
        <f>+([1]!Tabla1[[#This Row],[ponderacion_accion]]/30%)*AQ431</f>
        <v>#REF!</v>
      </c>
      <c r="AP431" s="334" t="e">
        <f>Tabla1[[#This Row],[ponderacion_meta]]*AO431</f>
        <v>#REF!</v>
      </c>
      <c r="AQ431" s="357"/>
      <c r="AR431" s="379">
        <v>0</v>
      </c>
      <c r="AS431" s="9"/>
      <c r="AT431" s="521">
        <v>0</v>
      </c>
    </row>
    <row r="432" spans="1:46" ht="15" customHeight="1" x14ac:dyDescent="0.35">
      <c r="A432" s="236" t="s">
        <v>1152</v>
      </c>
      <c r="B432" s="237" t="s">
        <v>880</v>
      </c>
      <c r="C432" s="237" t="s">
        <v>1721</v>
      </c>
      <c r="D432" s="237" t="s">
        <v>1166</v>
      </c>
      <c r="E432" s="176" t="s">
        <v>881</v>
      </c>
      <c r="F432" s="176" t="s">
        <v>2616</v>
      </c>
      <c r="G432" s="170" t="s">
        <v>882</v>
      </c>
      <c r="H432" s="428" t="s">
        <v>1750</v>
      </c>
      <c r="I432" s="13" t="s">
        <v>883</v>
      </c>
      <c r="J432" s="265">
        <v>1.1627999999999999E-2</v>
      </c>
      <c r="K432" s="9" t="s">
        <v>884</v>
      </c>
      <c r="L432" s="147">
        <v>34255800</v>
      </c>
      <c r="M432" s="147">
        <v>0</v>
      </c>
      <c r="N432" s="455"/>
      <c r="O432" s="455" t="s">
        <v>1753</v>
      </c>
      <c r="P432" s="194">
        <v>0</v>
      </c>
      <c r="Q432" s="186">
        <v>0.5</v>
      </c>
      <c r="R432" s="186">
        <v>0.5</v>
      </c>
      <c r="S432" s="195">
        <v>0</v>
      </c>
      <c r="T432" s="195" t="s">
        <v>1601</v>
      </c>
      <c r="U432" s="87" t="s">
        <v>885</v>
      </c>
      <c r="V432" s="11">
        <v>0.1</v>
      </c>
      <c r="W432" s="9" t="s">
        <v>886</v>
      </c>
      <c r="X432" s="9"/>
      <c r="Y432" s="9" t="s">
        <v>2587</v>
      </c>
      <c r="Z432" s="9" t="s">
        <v>2562</v>
      </c>
      <c r="AA432" s="239">
        <f t="shared" si="65"/>
        <v>1.1628000000000001E-3</v>
      </c>
      <c r="AB432" s="254">
        <f>+Tabla1[[#This Row],[ponderacion_meta]]*Tabla1[[#This Row],[ponderacion_accion]]</f>
        <v>1.1628000000000001E-3</v>
      </c>
      <c r="AC432" s="262">
        <f>+(Tabla1[[#This Row],[Avance PDI]]*100%)/Tabla1[[#This Row],[ponderacion_meta]]</f>
        <v>0.1</v>
      </c>
      <c r="AD432" s="257">
        <f>+Tabla1[[#This Row],[ponderacion_meta]]*Tabla1[[#This Row],[proyeccion_año1]]</f>
        <v>0</v>
      </c>
      <c r="AE432" s="257">
        <f>+Tabla1[[#This Row],[ponderacion_meta]]*Tabla1[[#This Row],[proyeccion_año2]]</f>
        <v>5.8139999999999997E-3</v>
      </c>
      <c r="AF432" s="257">
        <f>+Tabla1[[#This Row],[ponderacion_meta]]*Tabla1[[#This Row],[proyeccion_año3]]</f>
        <v>5.8139999999999997E-3</v>
      </c>
      <c r="AG432" s="257">
        <f>+Tabla1[[#This Row],[ponderacion_meta]]*Tabla1[[#This Row],[proyeccion_año4]]</f>
        <v>0</v>
      </c>
      <c r="AH432" s="393">
        <f>+SUM(AB432:AB528)</f>
        <v>1.03071E-2</v>
      </c>
      <c r="AI432" s="316">
        <f>+SUM(AC432:AC528)/19</f>
        <v>7.1052631578947381E-2</v>
      </c>
      <c r="AJ432" s="316">
        <f>+SUM($AC$432:$AC$528)/19</f>
        <v>7.1052631578947381E-2</v>
      </c>
      <c r="AK432" s="390">
        <f>+SUM(AB432:AB478)</f>
        <v>6.4107000000000001E-3</v>
      </c>
      <c r="AL432" s="333">
        <f>+SUM(AC432:AC478)/9</f>
        <v>8.3333333333333356E-2</v>
      </c>
      <c r="AM432" s="326">
        <f>+SUM(AB432:AB478)</f>
        <v>6.4107000000000001E-3</v>
      </c>
      <c r="AN432" s="410">
        <f>+SUM(AC432:AC478)/9</f>
        <v>8.3333333333333356E-2</v>
      </c>
      <c r="AO432" s="358" t="e">
        <f>+([1]!Tabla1[[#This Row],[ponderacion_accion]]/10%)*AQ432</f>
        <v>#REF!</v>
      </c>
      <c r="AP432" s="358" t="e">
        <f>Tabla1[[#This Row],[ponderacion_meta]]*AO432</f>
        <v>#REF!</v>
      </c>
      <c r="AQ432" s="349">
        <v>0.1</v>
      </c>
      <c r="AR432" s="380">
        <v>0</v>
      </c>
      <c r="AS432" s="7" t="e">
        <f>+((SUM(AO432:AO436)*100))/50</f>
        <v>#REF!</v>
      </c>
      <c r="AT432" s="521">
        <v>0</v>
      </c>
    </row>
    <row r="433" spans="1:46" ht="15" customHeight="1" x14ac:dyDescent="0.35">
      <c r="A433" s="236" t="s">
        <v>1152</v>
      </c>
      <c r="B433" s="237" t="s">
        <v>880</v>
      </c>
      <c r="C433" s="237" t="s">
        <v>1721</v>
      </c>
      <c r="D433" s="237" t="s">
        <v>1166</v>
      </c>
      <c r="E433" s="176" t="s">
        <v>881</v>
      </c>
      <c r="F433" s="176" t="s">
        <v>2616</v>
      </c>
      <c r="G433" s="170" t="s">
        <v>882</v>
      </c>
      <c r="H433" s="170" t="s">
        <v>1750</v>
      </c>
      <c r="I433" s="13" t="s">
        <v>883</v>
      </c>
      <c r="J433" s="265">
        <v>1.1627999999999999E-2</v>
      </c>
      <c r="K433" s="9" t="s">
        <v>884</v>
      </c>
      <c r="L433" s="147">
        <v>34255800</v>
      </c>
      <c r="M433" s="147">
        <v>0</v>
      </c>
      <c r="N433" s="455"/>
      <c r="O433" s="455" t="s">
        <v>1753</v>
      </c>
      <c r="P433" s="194">
        <v>0</v>
      </c>
      <c r="Q433" s="186">
        <v>0.5</v>
      </c>
      <c r="R433" s="186">
        <v>0.5</v>
      </c>
      <c r="S433" s="195">
        <v>0</v>
      </c>
      <c r="T433" s="195" t="s">
        <v>1602</v>
      </c>
      <c r="U433" s="87" t="s">
        <v>887</v>
      </c>
      <c r="V433" s="11">
        <v>0.1</v>
      </c>
      <c r="W433" s="9" t="s">
        <v>888</v>
      </c>
      <c r="X433" s="9"/>
      <c r="Y433" s="9" t="s">
        <v>2587</v>
      </c>
      <c r="Z433" s="9" t="s">
        <v>2562</v>
      </c>
      <c r="AA433" s="239">
        <f t="shared" si="65"/>
        <v>1.1628000000000001E-3</v>
      </c>
      <c r="AB433" s="252">
        <v>0</v>
      </c>
      <c r="AC433" s="262">
        <f>+(Tabla1[[#This Row],[Avance PDI]]*100%)/Tabla1[[#This Row],[ponderacion_meta]]</f>
        <v>0</v>
      </c>
      <c r="AD433" s="257">
        <v>0</v>
      </c>
      <c r="AE433" s="257">
        <v>5.8139999999999997E-3</v>
      </c>
      <c r="AF433" s="257">
        <v>5.8139999999999997E-3</v>
      </c>
      <c r="AG433" s="257">
        <v>0</v>
      </c>
      <c r="AH433" s="393">
        <f>$AH$432</f>
        <v>1.03071E-2</v>
      </c>
      <c r="AI433" s="393">
        <f>$AI$432</f>
        <v>7.1052631578947381E-2</v>
      </c>
      <c r="AJ433" s="316">
        <f t="shared" ref="AJ433:AJ496" si="67">+SUM($AC$432:$AC$528)/19</f>
        <v>7.1052631578947381E-2</v>
      </c>
      <c r="AK433" s="392">
        <v>6.4107000000000001E-3</v>
      </c>
      <c r="AL433" s="409">
        <f>$AL$432</f>
        <v>8.3333333333333356E-2</v>
      </c>
      <c r="AM433" s="327">
        <v>0</v>
      </c>
      <c r="AN433" s="410">
        <f>$AN$432</f>
        <v>8.3333333333333356E-2</v>
      </c>
      <c r="AO433" s="359" t="e">
        <f>+([1]!Tabla1[[#This Row],[ponderacion_accion]]/10%)*AQ433</f>
        <v>#REF!</v>
      </c>
      <c r="AP433" s="359" t="e">
        <f>Tabla1[[#This Row],[ponderacion_meta]]*AO433</f>
        <v>#REF!</v>
      </c>
      <c r="AQ433" s="505">
        <v>0.1</v>
      </c>
      <c r="AR433" s="380">
        <v>0</v>
      </c>
      <c r="AS433" s="9"/>
      <c r="AT433" s="521">
        <v>0</v>
      </c>
    </row>
    <row r="434" spans="1:46" ht="15" customHeight="1" x14ac:dyDescent="0.35">
      <c r="A434" s="236" t="s">
        <v>1152</v>
      </c>
      <c r="B434" s="237" t="s">
        <v>880</v>
      </c>
      <c r="C434" s="237" t="s">
        <v>1721</v>
      </c>
      <c r="D434" s="237" t="s">
        <v>1166</v>
      </c>
      <c r="E434" s="176" t="s">
        <v>881</v>
      </c>
      <c r="F434" s="176" t="s">
        <v>2616</v>
      </c>
      <c r="G434" s="170" t="s">
        <v>882</v>
      </c>
      <c r="H434" s="170" t="s">
        <v>1750</v>
      </c>
      <c r="I434" s="13" t="s">
        <v>883</v>
      </c>
      <c r="J434" s="265">
        <v>1.1627999999999999E-2</v>
      </c>
      <c r="K434" s="9" t="s">
        <v>884</v>
      </c>
      <c r="L434" s="147">
        <v>34255800</v>
      </c>
      <c r="M434" s="147">
        <v>0</v>
      </c>
      <c r="N434" s="455"/>
      <c r="O434" s="455" t="s">
        <v>1753</v>
      </c>
      <c r="P434" s="194">
        <v>0</v>
      </c>
      <c r="Q434" s="186">
        <v>0.5</v>
      </c>
      <c r="R434" s="186">
        <v>0.5</v>
      </c>
      <c r="S434" s="195">
        <v>0</v>
      </c>
      <c r="T434" s="195" t="s">
        <v>1603</v>
      </c>
      <c r="U434" s="87" t="s">
        <v>889</v>
      </c>
      <c r="V434" s="11">
        <v>0.1</v>
      </c>
      <c r="W434" s="9" t="s">
        <v>890</v>
      </c>
      <c r="X434" s="9"/>
      <c r="Y434" s="9" t="s">
        <v>2587</v>
      </c>
      <c r="Z434" s="9" t="s">
        <v>2562</v>
      </c>
      <c r="AA434" s="239">
        <f t="shared" si="65"/>
        <v>1.1628000000000001E-3</v>
      </c>
      <c r="AB434" s="252">
        <v>0</v>
      </c>
      <c r="AC434" s="262">
        <f>+(Tabla1[[#This Row],[Avance PDI]]*100%)/Tabla1[[#This Row],[ponderacion_meta]]</f>
        <v>0</v>
      </c>
      <c r="AD434" s="257">
        <v>0</v>
      </c>
      <c r="AE434" s="257">
        <v>5.8139999999999997E-3</v>
      </c>
      <c r="AF434" s="257">
        <v>5.8139999999999997E-3</v>
      </c>
      <c r="AG434" s="257">
        <v>0</v>
      </c>
      <c r="AH434" s="393">
        <f t="shared" ref="AH434:AH497" si="68">$AH$432</f>
        <v>1.03071E-2</v>
      </c>
      <c r="AI434" s="393">
        <f t="shared" ref="AI434:AI497" si="69">$AI$432</f>
        <v>7.1052631578947381E-2</v>
      </c>
      <c r="AJ434" s="316">
        <f t="shared" si="67"/>
        <v>7.1052631578947381E-2</v>
      </c>
      <c r="AK434" s="392">
        <v>6.4107000000000001E-3</v>
      </c>
      <c r="AL434" s="409">
        <f t="shared" ref="AL434:AL478" si="70">$AL$432</f>
        <v>8.3333333333333356E-2</v>
      </c>
      <c r="AM434" s="327">
        <v>0</v>
      </c>
      <c r="AN434" s="410">
        <f t="shared" ref="AN434:AN478" si="71">$AN$432</f>
        <v>8.3333333333333356E-2</v>
      </c>
      <c r="AO434" s="359" t="e">
        <f>+([1]!Tabla1[[#This Row],[ponderacion_accion]]/10%)*AQ434</f>
        <v>#REF!</v>
      </c>
      <c r="AP434" s="359" t="e">
        <f>Tabla1[[#This Row],[ponderacion_meta]]*AO434</f>
        <v>#REF!</v>
      </c>
      <c r="AQ434" s="351"/>
      <c r="AR434" s="380">
        <v>0</v>
      </c>
      <c r="AS434" s="9"/>
      <c r="AT434" s="521">
        <v>0</v>
      </c>
    </row>
    <row r="435" spans="1:46" ht="15" customHeight="1" x14ac:dyDescent="0.35">
      <c r="A435" s="236" t="s">
        <v>1152</v>
      </c>
      <c r="B435" s="237" t="s">
        <v>880</v>
      </c>
      <c r="C435" s="237" t="s">
        <v>1721</v>
      </c>
      <c r="D435" s="237" t="s">
        <v>1166</v>
      </c>
      <c r="E435" s="176" t="s">
        <v>881</v>
      </c>
      <c r="F435" s="176" t="s">
        <v>2616</v>
      </c>
      <c r="G435" s="170" t="s">
        <v>882</v>
      </c>
      <c r="H435" s="170" t="s">
        <v>1750</v>
      </c>
      <c r="I435" s="13" t="s">
        <v>883</v>
      </c>
      <c r="J435" s="265">
        <v>1.1627999999999999E-2</v>
      </c>
      <c r="K435" s="9" t="s">
        <v>884</v>
      </c>
      <c r="L435" s="147">
        <v>34255800</v>
      </c>
      <c r="M435" s="147">
        <v>0</v>
      </c>
      <c r="N435" s="455"/>
      <c r="O435" s="455" t="s">
        <v>1753</v>
      </c>
      <c r="P435" s="194">
        <v>0</v>
      </c>
      <c r="Q435" s="186">
        <v>0.5</v>
      </c>
      <c r="R435" s="186">
        <v>0.5</v>
      </c>
      <c r="S435" s="195">
        <v>0</v>
      </c>
      <c r="T435" s="195" t="s">
        <v>1604</v>
      </c>
      <c r="U435" s="87" t="s">
        <v>891</v>
      </c>
      <c r="V435" s="11">
        <v>0.1</v>
      </c>
      <c r="W435" s="9" t="s">
        <v>892</v>
      </c>
      <c r="X435" s="9"/>
      <c r="Y435" s="9" t="s">
        <v>2587</v>
      </c>
      <c r="Z435" s="9" t="s">
        <v>2562</v>
      </c>
      <c r="AA435" s="239">
        <f t="shared" si="65"/>
        <v>1.1628000000000001E-3</v>
      </c>
      <c r="AB435" s="252">
        <v>0</v>
      </c>
      <c r="AC435" s="262">
        <f>+(Tabla1[[#This Row],[Avance PDI]]*100%)/Tabla1[[#This Row],[ponderacion_meta]]</f>
        <v>0</v>
      </c>
      <c r="AD435" s="257">
        <v>0</v>
      </c>
      <c r="AE435" s="257">
        <v>5.8139999999999997E-3</v>
      </c>
      <c r="AF435" s="257">
        <v>5.8139999999999997E-3</v>
      </c>
      <c r="AG435" s="257">
        <v>0</v>
      </c>
      <c r="AH435" s="393">
        <f t="shared" si="68"/>
        <v>1.03071E-2</v>
      </c>
      <c r="AI435" s="393">
        <f t="shared" si="69"/>
        <v>7.1052631578947381E-2</v>
      </c>
      <c r="AJ435" s="316">
        <f t="shared" si="67"/>
        <v>7.1052631578947381E-2</v>
      </c>
      <c r="AK435" s="392">
        <v>6.4107000000000001E-3</v>
      </c>
      <c r="AL435" s="409">
        <f t="shared" si="70"/>
        <v>8.3333333333333356E-2</v>
      </c>
      <c r="AM435" s="327">
        <v>0</v>
      </c>
      <c r="AN435" s="410">
        <f t="shared" si="71"/>
        <v>8.3333333333333356E-2</v>
      </c>
      <c r="AO435" s="359" t="e">
        <f>+([1]!Tabla1[[#This Row],[ponderacion_accion]]/10%)*AQ435</f>
        <v>#REF!</v>
      </c>
      <c r="AP435" s="359" t="e">
        <f>Tabla1[[#This Row],[ponderacion_meta]]*AO435</f>
        <v>#REF!</v>
      </c>
      <c r="AQ435" s="351"/>
      <c r="AR435" s="380">
        <v>0</v>
      </c>
      <c r="AS435" s="9"/>
      <c r="AT435" s="521">
        <v>0</v>
      </c>
    </row>
    <row r="436" spans="1:46" ht="15" customHeight="1" x14ac:dyDescent="0.35">
      <c r="A436" s="236" t="s">
        <v>1152</v>
      </c>
      <c r="B436" s="237" t="s">
        <v>880</v>
      </c>
      <c r="C436" s="237" t="s">
        <v>1721</v>
      </c>
      <c r="D436" s="237" t="s">
        <v>1166</v>
      </c>
      <c r="E436" s="176" t="s">
        <v>881</v>
      </c>
      <c r="F436" s="176" t="s">
        <v>2616</v>
      </c>
      <c r="G436" s="170" t="s">
        <v>882</v>
      </c>
      <c r="H436" s="170" t="s">
        <v>1750</v>
      </c>
      <c r="I436" s="13" t="s">
        <v>883</v>
      </c>
      <c r="J436" s="265">
        <v>1.1627999999999999E-2</v>
      </c>
      <c r="K436" s="9" t="s">
        <v>884</v>
      </c>
      <c r="L436" s="147">
        <v>34255800</v>
      </c>
      <c r="M436" s="147">
        <v>0</v>
      </c>
      <c r="N436" s="455"/>
      <c r="O436" s="455" t="s">
        <v>1753</v>
      </c>
      <c r="P436" s="194">
        <v>0</v>
      </c>
      <c r="Q436" s="186">
        <v>0.5</v>
      </c>
      <c r="R436" s="186">
        <v>0.5</v>
      </c>
      <c r="S436" s="195">
        <v>0</v>
      </c>
      <c r="T436" s="195" t="s">
        <v>1605</v>
      </c>
      <c r="U436" s="87" t="s">
        <v>893</v>
      </c>
      <c r="V436" s="11">
        <v>0.6</v>
      </c>
      <c r="W436" s="9" t="s">
        <v>894</v>
      </c>
      <c r="X436" s="9"/>
      <c r="Y436" s="9" t="s">
        <v>2587</v>
      </c>
      <c r="Z436" s="9" t="s">
        <v>2562</v>
      </c>
      <c r="AA436" s="239">
        <f t="shared" si="65"/>
        <v>6.9767999999999991E-3</v>
      </c>
      <c r="AB436" s="252">
        <v>0</v>
      </c>
      <c r="AC436" s="262">
        <f>+(Tabla1[[#This Row],[Avance PDI]]*100%)/Tabla1[[#This Row],[ponderacion_meta]]</f>
        <v>0</v>
      </c>
      <c r="AD436" s="257">
        <v>0</v>
      </c>
      <c r="AE436" s="257">
        <v>5.8139999999999997E-3</v>
      </c>
      <c r="AF436" s="257">
        <v>5.8139999999999997E-3</v>
      </c>
      <c r="AG436" s="257">
        <v>0</v>
      </c>
      <c r="AH436" s="393">
        <f t="shared" si="68"/>
        <v>1.03071E-2</v>
      </c>
      <c r="AI436" s="393">
        <f t="shared" si="69"/>
        <v>7.1052631578947381E-2</v>
      </c>
      <c r="AJ436" s="316">
        <f t="shared" si="67"/>
        <v>7.1052631578947381E-2</v>
      </c>
      <c r="AK436" s="392">
        <v>6.4107000000000001E-3</v>
      </c>
      <c r="AL436" s="409">
        <f t="shared" si="70"/>
        <v>8.3333333333333356E-2</v>
      </c>
      <c r="AM436" s="327">
        <v>0</v>
      </c>
      <c r="AN436" s="410">
        <f t="shared" si="71"/>
        <v>8.3333333333333356E-2</v>
      </c>
      <c r="AO436" s="360" t="e">
        <f>+([1]!Tabla1[[#This Row],[ponderacion_accion]]/60%)*AQ436</f>
        <v>#REF!</v>
      </c>
      <c r="AP436" s="360" t="e">
        <f>Tabla1[[#This Row],[ponderacion_meta]]*AO436</f>
        <v>#REF!</v>
      </c>
      <c r="AQ436" s="356"/>
      <c r="AR436" s="380">
        <v>0</v>
      </c>
      <c r="AS436" s="9"/>
      <c r="AT436" s="521">
        <v>0</v>
      </c>
    </row>
    <row r="437" spans="1:46" ht="15" customHeight="1" x14ac:dyDescent="0.35">
      <c r="A437" s="236" t="s">
        <v>1152</v>
      </c>
      <c r="B437" s="237" t="s">
        <v>880</v>
      </c>
      <c r="C437" s="237" t="s">
        <v>1721</v>
      </c>
      <c r="D437" s="237" t="s">
        <v>1166</v>
      </c>
      <c r="E437" s="176" t="s">
        <v>881</v>
      </c>
      <c r="F437" s="176" t="s">
        <v>2616</v>
      </c>
      <c r="G437" s="170" t="s">
        <v>882</v>
      </c>
      <c r="H437" s="170" t="s">
        <v>1750</v>
      </c>
      <c r="I437" s="12" t="s">
        <v>895</v>
      </c>
      <c r="J437" s="264">
        <v>1.1627999999999999E-2</v>
      </c>
      <c r="K437" s="6" t="s">
        <v>896</v>
      </c>
      <c r="L437" s="180" t="s">
        <v>1135</v>
      </c>
      <c r="M437" s="148">
        <v>0</v>
      </c>
      <c r="N437" s="456"/>
      <c r="O437" s="456" t="s">
        <v>1753</v>
      </c>
      <c r="P437" s="183">
        <v>0.1</v>
      </c>
      <c r="Q437" s="184">
        <v>0.9</v>
      </c>
      <c r="R437" s="184">
        <v>0</v>
      </c>
      <c r="S437" s="184">
        <v>0</v>
      </c>
      <c r="T437" s="184" t="s">
        <v>1606</v>
      </c>
      <c r="U437" s="88" t="s">
        <v>897</v>
      </c>
      <c r="V437" s="10">
        <v>0.1</v>
      </c>
      <c r="W437" s="6" t="s">
        <v>898</v>
      </c>
      <c r="X437" s="6"/>
      <c r="Y437" s="6" t="s">
        <v>2587</v>
      </c>
      <c r="Z437" s="6" t="s">
        <v>1889</v>
      </c>
      <c r="AA437" s="238">
        <f t="shared" si="65"/>
        <v>1.1628000000000001E-3</v>
      </c>
      <c r="AB437" s="254">
        <f>+Tabla1[[#This Row],[ponderacion_meta]]*Tabla1[[#This Row],[ponderacion_accion]]</f>
        <v>1.1628000000000001E-3</v>
      </c>
      <c r="AC437" s="278">
        <f>+(Tabla1[[#This Row],[Avance PDI]]*100%)/Tabla1[[#This Row],[ponderacion_meta]]</f>
        <v>0.1</v>
      </c>
      <c r="AD437" s="279">
        <f>+Tabla1[[#This Row],[ponderacion_meta]]*Tabla1[[#This Row],[proyeccion_año1]]</f>
        <v>1.1628000000000001E-3</v>
      </c>
      <c r="AE437" s="279">
        <f>+Tabla1[[#This Row],[ponderacion_meta]]*Tabla1[[#This Row],[proyeccion_año2]]</f>
        <v>1.0465199999999999E-2</v>
      </c>
      <c r="AF437" s="279">
        <f>+Tabla1[[#This Row],[ponderacion_meta]]*Tabla1[[#This Row],[proyeccion_año3]]</f>
        <v>0</v>
      </c>
      <c r="AG437" s="279">
        <f>+Tabla1[[#This Row],[ponderacion_meta]]*Tabla1[[#This Row],[proyeccion_año4]]</f>
        <v>0</v>
      </c>
      <c r="AH437" s="393">
        <f t="shared" si="68"/>
        <v>1.03071E-2</v>
      </c>
      <c r="AI437" s="393">
        <f t="shared" si="69"/>
        <v>7.1052631578947381E-2</v>
      </c>
      <c r="AJ437" s="316">
        <f t="shared" si="67"/>
        <v>7.1052631578947381E-2</v>
      </c>
      <c r="AK437" s="392">
        <v>6.4107000000000001E-3</v>
      </c>
      <c r="AL437" s="409">
        <f t="shared" si="70"/>
        <v>8.3333333333333356E-2</v>
      </c>
      <c r="AM437" s="327">
        <v>0</v>
      </c>
      <c r="AN437" s="410">
        <f t="shared" si="71"/>
        <v>8.3333333333333356E-2</v>
      </c>
      <c r="AO437" s="343" t="e">
        <f>+([1]!Tabla1[[#This Row],[ponderacion_accion]]/10%)*AQ437</f>
        <v>#REF!</v>
      </c>
      <c r="AP437" s="334" t="e">
        <f>Tabla1[[#This Row],[ponderacion_meta]]*AO437</f>
        <v>#REF!</v>
      </c>
      <c r="AQ437" s="368">
        <v>0.1</v>
      </c>
      <c r="AR437" s="377">
        <v>0</v>
      </c>
      <c r="AS437" s="7" t="e">
        <f>+((SUM(AO437:AO442)*100))/100</f>
        <v>#REF!</v>
      </c>
      <c r="AT437" s="521">
        <v>0</v>
      </c>
    </row>
    <row r="438" spans="1:46" ht="15" customHeight="1" x14ac:dyDescent="0.35">
      <c r="A438" s="236" t="s">
        <v>1152</v>
      </c>
      <c r="B438" s="237" t="s">
        <v>880</v>
      </c>
      <c r="C438" s="237" t="s">
        <v>1721</v>
      </c>
      <c r="D438" s="237" t="s">
        <v>1166</v>
      </c>
      <c r="E438" s="176" t="s">
        <v>881</v>
      </c>
      <c r="F438" s="176" t="s">
        <v>2616</v>
      </c>
      <c r="G438" s="170" t="s">
        <v>882</v>
      </c>
      <c r="H438" s="170" t="s">
        <v>1750</v>
      </c>
      <c r="I438" s="12" t="s">
        <v>895</v>
      </c>
      <c r="J438" s="264">
        <v>1.1627999999999999E-2</v>
      </c>
      <c r="K438" s="6" t="s">
        <v>896</v>
      </c>
      <c r="L438" s="180" t="s">
        <v>1135</v>
      </c>
      <c r="M438" s="148">
        <v>0</v>
      </c>
      <c r="N438" s="456"/>
      <c r="O438" s="456" t="s">
        <v>1753</v>
      </c>
      <c r="P438" s="183">
        <v>0.1</v>
      </c>
      <c r="Q438" s="184">
        <v>0.9</v>
      </c>
      <c r="R438" s="184">
        <v>0</v>
      </c>
      <c r="S438" s="184">
        <v>0</v>
      </c>
      <c r="T438" s="184" t="s">
        <v>1607</v>
      </c>
      <c r="U438" s="88" t="s">
        <v>899</v>
      </c>
      <c r="V438" s="10">
        <v>0.1</v>
      </c>
      <c r="W438" s="6" t="s">
        <v>900</v>
      </c>
      <c r="X438" s="6"/>
      <c r="Y438" s="6" t="s">
        <v>2587</v>
      </c>
      <c r="Z438" s="6" t="s">
        <v>1889</v>
      </c>
      <c r="AA438" s="238">
        <f t="shared" si="65"/>
        <v>1.1628000000000001E-3</v>
      </c>
      <c r="AB438" s="254">
        <f>+Tabla1[[#This Row],[ponderacion_meta]]*Tabla1[[#This Row],[ponderacion_accion]]</f>
        <v>1.1628000000000001E-3</v>
      </c>
      <c r="AC438" s="278">
        <f>+(Tabla1[[#This Row],[Avance PDI]]*100%)/Tabla1[[#This Row],[ponderacion_meta]]</f>
        <v>0.1</v>
      </c>
      <c r="AD438" s="279">
        <v>1.1628000000000001E-3</v>
      </c>
      <c r="AE438" s="279">
        <v>1.0465199999999999E-2</v>
      </c>
      <c r="AF438" s="279">
        <v>0</v>
      </c>
      <c r="AG438" s="279">
        <v>0</v>
      </c>
      <c r="AH438" s="393">
        <f t="shared" si="68"/>
        <v>1.03071E-2</v>
      </c>
      <c r="AI438" s="393">
        <f t="shared" si="69"/>
        <v>7.1052631578947381E-2</v>
      </c>
      <c r="AJ438" s="316">
        <f t="shared" si="67"/>
        <v>7.1052631578947381E-2</v>
      </c>
      <c r="AK438" s="392">
        <v>6.4107000000000001E-3</v>
      </c>
      <c r="AL438" s="409">
        <f t="shared" si="70"/>
        <v>8.3333333333333356E-2</v>
      </c>
      <c r="AM438" s="327">
        <v>0</v>
      </c>
      <c r="AN438" s="410">
        <f t="shared" si="71"/>
        <v>8.3333333333333356E-2</v>
      </c>
      <c r="AO438" s="344" t="e">
        <f>+([1]!Tabla1[[#This Row],[ponderacion_accion]]/10%)*AQ438</f>
        <v>#REF!</v>
      </c>
      <c r="AP438" s="334" t="e">
        <f>Tabla1[[#This Row],[ponderacion_meta]]*AO438</f>
        <v>#REF!</v>
      </c>
      <c r="AQ438" s="370">
        <v>0.1</v>
      </c>
      <c r="AR438" s="378">
        <v>0</v>
      </c>
      <c r="AS438" s="9"/>
      <c r="AT438" s="521">
        <v>0</v>
      </c>
    </row>
    <row r="439" spans="1:46" ht="15" customHeight="1" x14ac:dyDescent="0.35">
      <c r="A439" s="236" t="s">
        <v>1152</v>
      </c>
      <c r="B439" s="237" t="s">
        <v>880</v>
      </c>
      <c r="C439" s="237" t="s">
        <v>1721</v>
      </c>
      <c r="D439" s="237" t="s">
        <v>1166</v>
      </c>
      <c r="E439" s="176" t="s">
        <v>881</v>
      </c>
      <c r="F439" s="176" t="s">
        <v>2616</v>
      </c>
      <c r="G439" s="170" t="s">
        <v>882</v>
      </c>
      <c r="H439" s="170" t="s">
        <v>1750</v>
      </c>
      <c r="I439" s="12" t="s">
        <v>895</v>
      </c>
      <c r="J439" s="264">
        <v>1.1627999999999999E-2</v>
      </c>
      <c r="K439" s="6" t="s">
        <v>896</v>
      </c>
      <c r="L439" s="180" t="s">
        <v>1135</v>
      </c>
      <c r="M439" s="148">
        <v>0</v>
      </c>
      <c r="N439" s="456"/>
      <c r="O439" s="456" t="s">
        <v>1753</v>
      </c>
      <c r="P439" s="183">
        <v>0.1</v>
      </c>
      <c r="Q439" s="184">
        <v>0.9</v>
      </c>
      <c r="R439" s="184">
        <v>0</v>
      </c>
      <c r="S439" s="184">
        <v>0</v>
      </c>
      <c r="T439" s="184" t="s">
        <v>1608</v>
      </c>
      <c r="U439" s="88" t="s">
        <v>901</v>
      </c>
      <c r="V439" s="10">
        <v>0.1</v>
      </c>
      <c r="W439" s="6" t="s">
        <v>902</v>
      </c>
      <c r="X439" s="6"/>
      <c r="Y439" s="6" t="s">
        <v>2587</v>
      </c>
      <c r="Z439" s="6" t="s">
        <v>1889</v>
      </c>
      <c r="AA439" s="238">
        <f t="shared" si="65"/>
        <v>1.1628000000000001E-3</v>
      </c>
      <c r="AB439" s="252">
        <v>0</v>
      </c>
      <c r="AC439" s="278">
        <f>+(Tabla1[[#This Row],[Avance PDI]]*100%)/Tabla1[[#This Row],[ponderacion_meta]]</f>
        <v>0</v>
      </c>
      <c r="AD439" s="279">
        <v>1.1628000000000001E-3</v>
      </c>
      <c r="AE439" s="279">
        <v>1.0465199999999999E-2</v>
      </c>
      <c r="AF439" s="279">
        <v>0</v>
      </c>
      <c r="AG439" s="279">
        <v>0</v>
      </c>
      <c r="AH439" s="393">
        <f t="shared" si="68"/>
        <v>1.03071E-2</v>
      </c>
      <c r="AI439" s="393">
        <f t="shared" si="69"/>
        <v>7.1052631578947381E-2</v>
      </c>
      <c r="AJ439" s="316">
        <f t="shared" si="67"/>
        <v>7.1052631578947381E-2</v>
      </c>
      <c r="AK439" s="392">
        <v>6.4107000000000001E-3</v>
      </c>
      <c r="AL439" s="409">
        <f t="shared" si="70"/>
        <v>8.3333333333333356E-2</v>
      </c>
      <c r="AM439" s="327">
        <v>0</v>
      </c>
      <c r="AN439" s="410">
        <f t="shared" si="71"/>
        <v>8.3333333333333356E-2</v>
      </c>
      <c r="AO439" s="344" t="e">
        <f>+([1]!Tabla1[[#This Row],[ponderacion_accion]]/10%)*AQ439</f>
        <v>#REF!</v>
      </c>
      <c r="AP439" s="334" t="e">
        <f>Tabla1[[#This Row],[ponderacion_meta]]*AO439</f>
        <v>#REF!</v>
      </c>
      <c r="AQ439" s="505">
        <v>0.1</v>
      </c>
      <c r="AR439" s="378">
        <v>0</v>
      </c>
      <c r="AS439" s="9"/>
      <c r="AT439" s="521">
        <v>0</v>
      </c>
    </row>
    <row r="440" spans="1:46" ht="15" customHeight="1" x14ac:dyDescent="0.35">
      <c r="A440" s="236" t="s">
        <v>1152</v>
      </c>
      <c r="B440" s="237" t="s">
        <v>880</v>
      </c>
      <c r="C440" s="237" t="s">
        <v>1721</v>
      </c>
      <c r="D440" s="237" t="s">
        <v>1166</v>
      </c>
      <c r="E440" s="176" t="s">
        <v>881</v>
      </c>
      <c r="F440" s="176" t="s">
        <v>2616</v>
      </c>
      <c r="G440" s="170" t="s">
        <v>882</v>
      </c>
      <c r="H440" s="170" t="s">
        <v>1750</v>
      </c>
      <c r="I440" s="12" t="s">
        <v>895</v>
      </c>
      <c r="J440" s="264">
        <v>1.1627999999999999E-2</v>
      </c>
      <c r="K440" s="6" t="s">
        <v>896</v>
      </c>
      <c r="L440" s="180" t="s">
        <v>1135</v>
      </c>
      <c r="M440" s="148">
        <v>0</v>
      </c>
      <c r="N440" s="456"/>
      <c r="O440" s="456" t="s">
        <v>1753</v>
      </c>
      <c r="P440" s="183">
        <v>0.1</v>
      </c>
      <c r="Q440" s="184">
        <v>0.9</v>
      </c>
      <c r="R440" s="184">
        <v>0</v>
      </c>
      <c r="S440" s="184">
        <v>0</v>
      </c>
      <c r="T440" s="184" t="s">
        <v>1609</v>
      </c>
      <c r="U440" s="88" t="s">
        <v>903</v>
      </c>
      <c r="V440" s="10">
        <v>0.1</v>
      </c>
      <c r="W440" s="6" t="s">
        <v>904</v>
      </c>
      <c r="X440" s="6"/>
      <c r="Y440" s="6" t="s">
        <v>2587</v>
      </c>
      <c r="Z440" s="6" t="s">
        <v>1889</v>
      </c>
      <c r="AA440" s="238">
        <f t="shared" si="65"/>
        <v>1.1628000000000001E-3</v>
      </c>
      <c r="AB440" s="252">
        <v>0</v>
      </c>
      <c r="AC440" s="278">
        <f>+(Tabla1[[#This Row],[Avance PDI]]*100%)/Tabla1[[#This Row],[ponderacion_meta]]</f>
        <v>0</v>
      </c>
      <c r="AD440" s="279">
        <v>1.1628000000000001E-3</v>
      </c>
      <c r="AE440" s="279">
        <v>1.0465199999999999E-2</v>
      </c>
      <c r="AF440" s="279">
        <v>0</v>
      </c>
      <c r="AG440" s="279">
        <v>0</v>
      </c>
      <c r="AH440" s="393">
        <f t="shared" si="68"/>
        <v>1.03071E-2</v>
      </c>
      <c r="AI440" s="393">
        <f t="shared" si="69"/>
        <v>7.1052631578947381E-2</v>
      </c>
      <c r="AJ440" s="316">
        <f t="shared" si="67"/>
        <v>7.1052631578947381E-2</v>
      </c>
      <c r="AK440" s="392">
        <v>6.4107000000000001E-3</v>
      </c>
      <c r="AL440" s="409">
        <f t="shared" si="70"/>
        <v>8.3333333333333356E-2</v>
      </c>
      <c r="AM440" s="327">
        <v>0</v>
      </c>
      <c r="AN440" s="410">
        <f t="shared" si="71"/>
        <v>8.3333333333333356E-2</v>
      </c>
      <c r="AO440" s="344" t="e">
        <f>+([1]!Tabla1[[#This Row],[ponderacion_accion]]/10%)*AQ440</f>
        <v>#REF!</v>
      </c>
      <c r="AP440" s="334" t="e">
        <f>Tabla1[[#This Row],[ponderacion_meta]]*AO440</f>
        <v>#REF!</v>
      </c>
      <c r="AQ440" s="505">
        <v>0.1</v>
      </c>
      <c r="AR440" s="378">
        <v>0</v>
      </c>
      <c r="AS440" s="9"/>
      <c r="AT440" s="521">
        <v>0</v>
      </c>
    </row>
    <row r="441" spans="1:46" ht="15" customHeight="1" x14ac:dyDescent="0.35">
      <c r="A441" s="236" t="s">
        <v>1152</v>
      </c>
      <c r="B441" s="237" t="s">
        <v>880</v>
      </c>
      <c r="C441" s="237" t="s">
        <v>1721</v>
      </c>
      <c r="D441" s="237" t="s">
        <v>1166</v>
      </c>
      <c r="E441" s="176" t="s">
        <v>881</v>
      </c>
      <c r="F441" s="176" t="s">
        <v>2616</v>
      </c>
      <c r="G441" s="170" t="s">
        <v>882</v>
      </c>
      <c r="H441" s="170" t="s">
        <v>1750</v>
      </c>
      <c r="I441" s="12" t="s">
        <v>895</v>
      </c>
      <c r="J441" s="264">
        <v>1.1627999999999999E-2</v>
      </c>
      <c r="K441" s="6" t="s">
        <v>896</v>
      </c>
      <c r="L441" s="180" t="s">
        <v>1135</v>
      </c>
      <c r="M441" s="148">
        <v>0</v>
      </c>
      <c r="N441" s="456"/>
      <c r="O441" s="456" t="s">
        <v>1753</v>
      </c>
      <c r="P441" s="183">
        <v>0.1</v>
      </c>
      <c r="Q441" s="184">
        <v>0.9</v>
      </c>
      <c r="R441" s="184">
        <v>0</v>
      </c>
      <c r="S441" s="184">
        <v>0</v>
      </c>
      <c r="T441" s="184" t="s">
        <v>1610</v>
      </c>
      <c r="U441" s="88" t="s">
        <v>905</v>
      </c>
      <c r="V441" s="10">
        <v>0.1</v>
      </c>
      <c r="W441" s="6" t="s">
        <v>136</v>
      </c>
      <c r="X441" s="6"/>
      <c r="Y441" s="6" t="s">
        <v>2587</v>
      </c>
      <c r="Z441" s="6" t="s">
        <v>1889</v>
      </c>
      <c r="AA441" s="238">
        <f t="shared" si="65"/>
        <v>1.1628000000000001E-3</v>
      </c>
      <c r="AB441" s="252">
        <v>0</v>
      </c>
      <c r="AC441" s="278">
        <f>+(Tabla1[[#This Row],[Avance PDI]]*100%)/Tabla1[[#This Row],[ponderacion_meta]]</f>
        <v>0</v>
      </c>
      <c r="AD441" s="279">
        <v>1.1628000000000001E-3</v>
      </c>
      <c r="AE441" s="279">
        <v>1.0465199999999999E-2</v>
      </c>
      <c r="AF441" s="279">
        <v>0</v>
      </c>
      <c r="AG441" s="279">
        <v>0</v>
      </c>
      <c r="AH441" s="393">
        <f t="shared" si="68"/>
        <v>1.03071E-2</v>
      </c>
      <c r="AI441" s="393">
        <f t="shared" si="69"/>
        <v>7.1052631578947381E-2</v>
      </c>
      <c r="AJ441" s="316">
        <f t="shared" si="67"/>
        <v>7.1052631578947381E-2</v>
      </c>
      <c r="AK441" s="392">
        <v>6.4107000000000001E-3</v>
      </c>
      <c r="AL441" s="409">
        <f t="shared" si="70"/>
        <v>8.3333333333333356E-2</v>
      </c>
      <c r="AM441" s="327">
        <v>0</v>
      </c>
      <c r="AN441" s="410">
        <f t="shared" si="71"/>
        <v>8.3333333333333356E-2</v>
      </c>
      <c r="AO441" s="344" t="e">
        <f>+([1]!Tabla1[[#This Row],[ponderacion_accion]]/10%)*AQ441</f>
        <v>#REF!</v>
      </c>
      <c r="AP441" s="334" t="e">
        <f>Tabla1[[#This Row],[ponderacion_meta]]*AO441</f>
        <v>#REF!</v>
      </c>
      <c r="AQ441" s="505">
        <v>0.1</v>
      </c>
      <c r="AR441" s="378">
        <v>0</v>
      </c>
      <c r="AS441" s="9"/>
      <c r="AT441" s="521">
        <v>0</v>
      </c>
    </row>
    <row r="442" spans="1:46" ht="15" customHeight="1" x14ac:dyDescent="0.35">
      <c r="A442" s="236" t="s">
        <v>1152</v>
      </c>
      <c r="B442" s="237" t="s">
        <v>880</v>
      </c>
      <c r="C442" s="237" t="s">
        <v>1721</v>
      </c>
      <c r="D442" s="237" t="s">
        <v>1166</v>
      </c>
      <c r="E442" s="176" t="s">
        <v>881</v>
      </c>
      <c r="F442" s="176" t="s">
        <v>2616</v>
      </c>
      <c r="G442" s="170" t="s">
        <v>882</v>
      </c>
      <c r="H442" s="170" t="s">
        <v>1750</v>
      </c>
      <c r="I442" s="12" t="s">
        <v>895</v>
      </c>
      <c r="J442" s="264">
        <v>1.1627999999999999E-2</v>
      </c>
      <c r="K442" s="6" t="s">
        <v>896</v>
      </c>
      <c r="L442" s="180" t="s">
        <v>1135</v>
      </c>
      <c r="M442" s="148">
        <v>0</v>
      </c>
      <c r="N442" s="456"/>
      <c r="O442" s="456" t="s">
        <v>1753</v>
      </c>
      <c r="P442" s="183">
        <v>0.1</v>
      </c>
      <c r="Q442" s="184">
        <v>0.9</v>
      </c>
      <c r="R442" s="184">
        <v>0</v>
      </c>
      <c r="S442" s="184">
        <v>0</v>
      </c>
      <c r="T442" s="184" t="s">
        <v>1611</v>
      </c>
      <c r="U442" s="88" t="s">
        <v>906</v>
      </c>
      <c r="V442" s="10">
        <v>0.5</v>
      </c>
      <c r="W442" s="6" t="s">
        <v>907</v>
      </c>
      <c r="X442" s="6"/>
      <c r="Y442" s="6" t="s">
        <v>2587</v>
      </c>
      <c r="Z442" s="6" t="s">
        <v>1889</v>
      </c>
      <c r="AA442" s="238">
        <f t="shared" si="65"/>
        <v>5.8139999999999997E-3</v>
      </c>
      <c r="AB442" s="252">
        <v>0</v>
      </c>
      <c r="AC442" s="278">
        <f>+(Tabla1[[#This Row],[Avance PDI]]*100%)/Tabla1[[#This Row],[ponderacion_meta]]</f>
        <v>0</v>
      </c>
      <c r="AD442" s="279">
        <v>1.1628000000000001E-3</v>
      </c>
      <c r="AE442" s="279">
        <v>1.0465199999999999E-2</v>
      </c>
      <c r="AF442" s="279">
        <v>0</v>
      </c>
      <c r="AG442" s="279">
        <v>0</v>
      </c>
      <c r="AH442" s="393">
        <f t="shared" si="68"/>
        <v>1.03071E-2</v>
      </c>
      <c r="AI442" s="393">
        <f t="shared" si="69"/>
        <v>7.1052631578947381E-2</v>
      </c>
      <c r="AJ442" s="316">
        <f t="shared" si="67"/>
        <v>7.1052631578947381E-2</v>
      </c>
      <c r="AK442" s="392">
        <v>6.4107000000000001E-3</v>
      </c>
      <c r="AL442" s="409">
        <f t="shared" si="70"/>
        <v>8.3333333333333356E-2</v>
      </c>
      <c r="AM442" s="327">
        <v>0</v>
      </c>
      <c r="AN442" s="410">
        <f t="shared" si="71"/>
        <v>8.3333333333333356E-2</v>
      </c>
      <c r="AO442" s="345" t="e">
        <f>+([1]!Tabla1[[#This Row],[ponderacion_accion]]/50%)*AQ442</f>
        <v>#REF!</v>
      </c>
      <c r="AP442" s="334" t="e">
        <f>Tabla1[[#This Row],[ponderacion_meta]]*AO442</f>
        <v>#REF!</v>
      </c>
      <c r="AQ442" s="509">
        <v>0.125</v>
      </c>
      <c r="AR442" s="379">
        <v>0</v>
      </c>
      <c r="AS442" s="9"/>
      <c r="AT442" s="521">
        <v>0</v>
      </c>
    </row>
    <row r="443" spans="1:46" ht="15" customHeight="1" x14ac:dyDescent="0.35">
      <c r="A443" s="236" t="s">
        <v>1152</v>
      </c>
      <c r="B443" s="237" t="s">
        <v>880</v>
      </c>
      <c r="C443" s="237" t="s">
        <v>1721</v>
      </c>
      <c r="D443" s="237" t="s">
        <v>1166</v>
      </c>
      <c r="E443" s="176" t="s">
        <v>881</v>
      </c>
      <c r="F443" s="176" t="s">
        <v>2616</v>
      </c>
      <c r="G443" s="170" t="s">
        <v>882</v>
      </c>
      <c r="H443" s="170" t="s">
        <v>1750</v>
      </c>
      <c r="I443" s="14" t="s">
        <v>908</v>
      </c>
      <c r="J443" s="265">
        <v>6.4939999999999998E-3</v>
      </c>
      <c r="K443" s="26" t="s">
        <v>909</v>
      </c>
      <c r="L443" s="127">
        <v>1000000000</v>
      </c>
      <c r="M443" s="127">
        <v>0</v>
      </c>
      <c r="N443" s="435"/>
      <c r="O443" s="435" t="s">
        <v>1753</v>
      </c>
      <c r="P443" s="185">
        <v>0</v>
      </c>
      <c r="Q443" s="186">
        <v>1</v>
      </c>
      <c r="R443" s="186">
        <v>0</v>
      </c>
      <c r="S443" s="186">
        <v>0</v>
      </c>
      <c r="T443" s="186" t="s">
        <v>1612</v>
      </c>
      <c r="U443" s="89" t="s">
        <v>910</v>
      </c>
      <c r="V443" s="15">
        <v>0.1</v>
      </c>
      <c r="W443" s="26" t="s">
        <v>911</v>
      </c>
      <c r="X443" s="26"/>
      <c r="Y443" s="26" t="s">
        <v>2587</v>
      </c>
      <c r="Z443" s="26" t="s">
        <v>2161</v>
      </c>
      <c r="AA443" s="239">
        <f t="shared" si="65"/>
        <v>6.4940000000000006E-4</v>
      </c>
      <c r="AB443" s="252">
        <v>0</v>
      </c>
      <c r="AC443" s="262">
        <f>+(Tabla1[[#This Row],[Avance PDI]]*100%)/Tabla1[[#This Row],[ponderacion_meta]]</f>
        <v>0</v>
      </c>
      <c r="AD443" s="257">
        <f>+Tabla1[[#This Row],[ponderacion_meta]]*Tabla1[[#This Row],[proyeccion_año1]]</f>
        <v>0</v>
      </c>
      <c r="AE443" s="257">
        <f>+Tabla1[[#This Row],[ponderacion_meta]]*Tabla1[[#This Row],[proyeccion_año2]]</f>
        <v>6.4939999999999998E-3</v>
      </c>
      <c r="AF443" s="257">
        <f>+Tabla1[[#This Row],[ponderacion_meta]]*Tabla1[[#This Row],[proyeccion_año3]]</f>
        <v>0</v>
      </c>
      <c r="AG443" s="257">
        <f>+Tabla1[[#This Row],[ponderacion_meta]]*Tabla1[[#This Row],[proyeccion_año4]]</f>
        <v>0</v>
      </c>
      <c r="AH443" s="393">
        <f t="shared" si="68"/>
        <v>1.03071E-2</v>
      </c>
      <c r="AI443" s="393">
        <f t="shared" si="69"/>
        <v>7.1052631578947381E-2</v>
      </c>
      <c r="AJ443" s="316">
        <f t="shared" si="67"/>
        <v>7.1052631578947381E-2</v>
      </c>
      <c r="AK443" s="392">
        <v>6.4107000000000001E-3</v>
      </c>
      <c r="AL443" s="409">
        <f t="shared" si="70"/>
        <v>8.3333333333333356E-2</v>
      </c>
      <c r="AM443" s="327">
        <v>0</v>
      </c>
      <c r="AN443" s="410">
        <f t="shared" si="71"/>
        <v>8.3333333333333356E-2</v>
      </c>
      <c r="AO443" s="358" t="e">
        <f>+([1]!Tabla1[[#This Row],[ponderacion_accion]]/10%)*AQ443</f>
        <v>#REF!</v>
      </c>
      <c r="AP443" s="358" t="e">
        <f>Tabla1[[#This Row],[ponderacion_meta]]*AO443</f>
        <v>#REF!</v>
      </c>
      <c r="AQ443" s="361"/>
      <c r="AR443" s="380">
        <v>0</v>
      </c>
      <c r="AS443" s="7" t="e">
        <f>+((SUM(AO443:AO448)*100))/100</f>
        <v>#REF!</v>
      </c>
      <c r="AT443" s="521">
        <v>0</v>
      </c>
    </row>
    <row r="444" spans="1:46" ht="15" customHeight="1" x14ac:dyDescent="0.35">
      <c r="A444" s="236" t="s">
        <v>1152</v>
      </c>
      <c r="B444" s="237" t="s">
        <v>880</v>
      </c>
      <c r="C444" s="237" t="s">
        <v>1721</v>
      </c>
      <c r="D444" s="237" t="s">
        <v>1166</v>
      </c>
      <c r="E444" s="176" t="s">
        <v>881</v>
      </c>
      <c r="F444" s="176" t="s">
        <v>2616</v>
      </c>
      <c r="G444" s="170" t="s">
        <v>882</v>
      </c>
      <c r="H444" s="170" t="s">
        <v>1750</v>
      </c>
      <c r="I444" s="14" t="s">
        <v>908</v>
      </c>
      <c r="J444" s="265">
        <v>6.4939999999999998E-3</v>
      </c>
      <c r="K444" s="26" t="s">
        <v>909</v>
      </c>
      <c r="L444" s="127">
        <v>1000000000</v>
      </c>
      <c r="M444" s="127">
        <v>0</v>
      </c>
      <c r="N444" s="435"/>
      <c r="O444" s="435" t="s">
        <v>1753</v>
      </c>
      <c r="P444" s="185">
        <v>0</v>
      </c>
      <c r="Q444" s="186">
        <v>1</v>
      </c>
      <c r="R444" s="186">
        <v>0</v>
      </c>
      <c r="S444" s="186">
        <v>0</v>
      </c>
      <c r="T444" s="186" t="s">
        <v>1613</v>
      </c>
      <c r="U444" s="89" t="s">
        <v>912</v>
      </c>
      <c r="V444" s="15">
        <v>0.1</v>
      </c>
      <c r="W444" s="26" t="s">
        <v>913</v>
      </c>
      <c r="X444" s="26"/>
      <c r="Y444" s="26" t="s">
        <v>2587</v>
      </c>
      <c r="Z444" s="26" t="s">
        <v>2161</v>
      </c>
      <c r="AA444" s="239">
        <f t="shared" si="65"/>
        <v>6.4940000000000006E-4</v>
      </c>
      <c r="AB444" s="252">
        <v>0</v>
      </c>
      <c r="AC444" s="262">
        <f>+(Tabla1[[#This Row],[Avance PDI]]*100%)/Tabla1[[#This Row],[ponderacion_meta]]</f>
        <v>0</v>
      </c>
      <c r="AD444" s="257">
        <v>0</v>
      </c>
      <c r="AE444" s="257">
        <v>6.4939999999999998E-3</v>
      </c>
      <c r="AF444" s="257">
        <v>0</v>
      </c>
      <c r="AG444" s="257">
        <v>0</v>
      </c>
      <c r="AH444" s="393">
        <f t="shared" si="68"/>
        <v>1.03071E-2</v>
      </c>
      <c r="AI444" s="393">
        <f t="shared" si="69"/>
        <v>7.1052631578947381E-2</v>
      </c>
      <c r="AJ444" s="316">
        <f t="shared" si="67"/>
        <v>7.1052631578947381E-2</v>
      </c>
      <c r="AK444" s="392">
        <v>6.4107000000000001E-3</v>
      </c>
      <c r="AL444" s="409">
        <f t="shared" si="70"/>
        <v>8.3333333333333356E-2</v>
      </c>
      <c r="AM444" s="327">
        <v>0</v>
      </c>
      <c r="AN444" s="410">
        <f t="shared" si="71"/>
        <v>8.3333333333333356E-2</v>
      </c>
      <c r="AO444" s="359" t="e">
        <f>+([1]!Tabla1[[#This Row],[ponderacion_accion]]/10%)*AQ444</f>
        <v>#REF!</v>
      </c>
      <c r="AP444" s="359" t="e">
        <f>Tabla1[[#This Row],[ponderacion_meta]]*AO444</f>
        <v>#REF!</v>
      </c>
      <c r="AQ444" s="351"/>
      <c r="AR444" s="380">
        <v>0</v>
      </c>
      <c r="AS444" s="9"/>
      <c r="AT444" s="521">
        <v>0</v>
      </c>
    </row>
    <row r="445" spans="1:46" ht="15" customHeight="1" x14ac:dyDescent="0.35">
      <c r="A445" s="236" t="s">
        <v>1152</v>
      </c>
      <c r="B445" s="237" t="s">
        <v>880</v>
      </c>
      <c r="C445" s="237" t="s">
        <v>1721</v>
      </c>
      <c r="D445" s="237" t="s">
        <v>1166</v>
      </c>
      <c r="E445" s="176" t="s">
        <v>881</v>
      </c>
      <c r="F445" s="176" t="s">
        <v>2616</v>
      </c>
      <c r="G445" s="170" t="s">
        <v>882</v>
      </c>
      <c r="H445" s="170" t="s">
        <v>1750</v>
      </c>
      <c r="I445" s="14" t="s">
        <v>908</v>
      </c>
      <c r="J445" s="265">
        <v>6.4939999999999998E-3</v>
      </c>
      <c r="K445" s="26" t="s">
        <v>909</v>
      </c>
      <c r="L445" s="127">
        <v>1000000000</v>
      </c>
      <c r="M445" s="127">
        <v>0</v>
      </c>
      <c r="N445" s="435"/>
      <c r="O445" s="435" t="s">
        <v>1753</v>
      </c>
      <c r="P445" s="185">
        <v>0</v>
      </c>
      <c r="Q445" s="186">
        <v>1</v>
      </c>
      <c r="R445" s="186">
        <v>0</v>
      </c>
      <c r="S445" s="186">
        <v>0</v>
      </c>
      <c r="T445" s="186" t="s">
        <v>1614</v>
      </c>
      <c r="U445" s="89" t="s">
        <v>914</v>
      </c>
      <c r="V445" s="15">
        <v>0.2</v>
      </c>
      <c r="W445" s="26" t="s">
        <v>913</v>
      </c>
      <c r="X445" s="26"/>
      <c r="Y445" s="26" t="s">
        <v>2587</v>
      </c>
      <c r="Z445" s="26" t="s">
        <v>2161</v>
      </c>
      <c r="AA445" s="239">
        <f t="shared" si="65"/>
        <v>1.2988000000000001E-3</v>
      </c>
      <c r="AB445" s="252">
        <v>0</v>
      </c>
      <c r="AC445" s="262">
        <f>+(Tabla1[[#This Row],[Avance PDI]]*100%)/Tabla1[[#This Row],[ponderacion_meta]]</f>
        <v>0</v>
      </c>
      <c r="AD445" s="257">
        <v>0</v>
      </c>
      <c r="AE445" s="257">
        <v>6.4939999999999998E-3</v>
      </c>
      <c r="AF445" s="257">
        <v>0</v>
      </c>
      <c r="AG445" s="257">
        <v>0</v>
      </c>
      <c r="AH445" s="393">
        <f t="shared" si="68"/>
        <v>1.03071E-2</v>
      </c>
      <c r="AI445" s="393">
        <f t="shared" si="69"/>
        <v>7.1052631578947381E-2</v>
      </c>
      <c r="AJ445" s="316">
        <f t="shared" si="67"/>
        <v>7.1052631578947381E-2</v>
      </c>
      <c r="AK445" s="392">
        <v>6.4107000000000001E-3</v>
      </c>
      <c r="AL445" s="409">
        <f t="shared" si="70"/>
        <v>8.3333333333333356E-2</v>
      </c>
      <c r="AM445" s="327">
        <v>0</v>
      </c>
      <c r="AN445" s="410">
        <f t="shared" si="71"/>
        <v>8.3333333333333356E-2</v>
      </c>
      <c r="AO445" s="359" t="e">
        <f>+([1]!Tabla1[[#This Row],[ponderacion_accion]]/20%)*AQ445</f>
        <v>#REF!</v>
      </c>
      <c r="AP445" s="359" t="e">
        <f>Tabla1[[#This Row],[ponderacion_meta]]*AO445</f>
        <v>#REF!</v>
      </c>
      <c r="AQ445" s="351"/>
      <c r="AR445" s="380">
        <v>0</v>
      </c>
      <c r="AS445" s="9"/>
      <c r="AT445" s="521">
        <v>0</v>
      </c>
    </row>
    <row r="446" spans="1:46" ht="15" customHeight="1" x14ac:dyDescent="0.35">
      <c r="A446" s="236" t="s">
        <v>1152</v>
      </c>
      <c r="B446" s="237" t="s">
        <v>880</v>
      </c>
      <c r="C446" s="237" t="s">
        <v>1721</v>
      </c>
      <c r="D446" s="237" t="s">
        <v>1166</v>
      </c>
      <c r="E446" s="176" t="s">
        <v>881</v>
      </c>
      <c r="F446" s="176" t="s">
        <v>2616</v>
      </c>
      <c r="G446" s="170" t="s">
        <v>882</v>
      </c>
      <c r="H446" s="170" t="s">
        <v>1750</v>
      </c>
      <c r="I446" s="14" t="s">
        <v>908</v>
      </c>
      <c r="J446" s="265">
        <v>6.4939999999999998E-3</v>
      </c>
      <c r="K446" s="98" t="s">
        <v>909</v>
      </c>
      <c r="L446" s="134">
        <v>1000000000</v>
      </c>
      <c r="M446" s="134">
        <v>0</v>
      </c>
      <c r="N446" s="442"/>
      <c r="O446" s="442" t="s">
        <v>1753</v>
      </c>
      <c r="P446" s="191">
        <v>0</v>
      </c>
      <c r="Q446" s="205">
        <v>1</v>
      </c>
      <c r="R446" s="188">
        <v>0</v>
      </c>
      <c r="S446" s="188">
        <v>0</v>
      </c>
      <c r="T446" s="188" t="s">
        <v>1615</v>
      </c>
      <c r="U446" s="89" t="s">
        <v>915</v>
      </c>
      <c r="V446" s="15">
        <v>0.2</v>
      </c>
      <c r="W446" s="26" t="s">
        <v>916</v>
      </c>
      <c r="X446" s="26"/>
      <c r="Y446" s="26" t="s">
        <v>2587</v>
      </c>
      <c r="Z446" s="26" t="s">
        <v>2562</v>
      </c>
      <c r="AA446" s="239">
        <f t="shared" si="65"/>
        <v>1.2988000000000001E-3</v>
      </c>
      <c r="AB446" s="252">
        <v>0</v>
      </c>
      <c r="AC446" s="262">
        <f>+(Tabla1[[#This Row],[Avance PDI]]*100%)/Tabla1[[#This Row],[ponderacion_meta]]</f>
        <v>0</v>
      </c>
      <c r="AD446" s="257">
        <v>0</v>
      </c>
      <c r="AE446" s="257">
        <v>6.4939999999999998E-3</v>
      </c>
      <c r="AF446" s="257">
        <v>0</v>
      </c>
      <c r="AG446" s="257">
        <v>0</v>
      </c>
      <c r="AH446" s="393">
        <f t="shared" si="68"/>
        <v>1.03071E-2</v>
      </c>
      <c r="AI446" s="393">
        <f t="shared" si="69"/>
        <v>7.1052631578947381E-2</v>
      </c>
      <c r="AJ446" s="316">
        <f t="shared" si="67"/>
        <v>7.1052631578947381E-2</v>
      </c>
      <c r="AK446" s="392">
        <v>6.4107000000000001E-3</v>
      </c>
      <c r="AL446" s="409">
        <f t="shared" si="70"/>
        <v>8.3333333333333356E-2</v>
      </c>
      <c r="AM446" s="327">
        <v>0</v>
      </c>
      <c r="AN446" s="410">
        <f t="shared" si="71"/>
        <v>8.3333333333333356E-2</v>
      </c>
      <c r="AO446" s="359" t="e">
        <f>+([1]!Tabla1[[#This Row],[ponderacion_accion]]/20%)*AQ446</f>
        <v>#REF!</v>
      </c>
      <c r="AP446" s="359" t="e">
        <f>Tabla1[[#This Row],[ponderacion_meta]]*AO446</f>
        <v>#REF!</v>
      </c>
      <c r="AQ446" s="351"/>
      <c r="AR446" s="380">
        <v>0</v>
      </c>
      <c r="AS446" s="9"/>
      <c r="AT446" s="521">
        <v>0</v>
      </c>
    </row>
    <row r="447" spans="1:46" ht="15" customHeight="1" x14ac:dyDescent="0.35">
      <c r="A447" s="236" t="s">
        <v>1152</v>
      </c>
      <c r="B447" s="237" t="s">
        <v>880</v>
      </c>
      <c r="C447" s="237" t="s">
        <v>1721</v>
      </c>
      <c r="D447" s="237" t="s">
        <v>1166</v>
      </c>
      <c r="E447" s="176" t="s">
        <v>881</v>
      </c>
      <c r="F447" s="176" t="s">
        <v>2616</v>
      </c>
      <c r="G447" s="170" t="s">
        <v>882</v>
      </c>
      <c r="H447" s="170" t="s">
        <v>1750</v>
      </c>
      <c r="I447" s="14" t="s">
        <v>908</v>
      </c>
      <c r="J447" s="265">
        <v>6.4939999999999998E-3</v>
      </c>
      <c r="K447" s="98" t="s">
        <v>909</v>
      </c>
      <c r="L447" s="134">
        <v>1000000000</v>
      </c>
      <c r="M447" s="134">
        <v>0</v>
      </c>
      <c r="N447" s="442"/>
      <c r="O447" s="442" t="s">
        <v>1753</v>
      </c>
      <c r="P447" s="191">
        <v>0</v>
      </c>
      <c r="Q447" s="205">
        <v>1</v>
      </c>
      <c r="R447" s="188">
        <v>0</v>
      </c>
      <c r="S447" s="188">
        <v>0</v>
      </c>
      <c r="T447" s="188" t="s">
        <v>1616</v>
      </c>
      <c r="U447" s="89" t="s">
        <v>917</v>
      </c>
      <c r="V447" s="15">
        <v>0.2</v>
      </c>
      <c r="W447" s="26" t="s">
        <v>918</v>
      </c>
      <c r="X447" s="26"/>
      <c r="Y447" s="26" t="s">
        <v>2587</v>
      </c>
      <c r="Z447" s="26" t="s">
        <v>2562</v>
      </c>
      <c r="AA447" s="239">
        <f t="shared" si="65"/>
        <v>1.2988000000000001E-3</v>
      </c>
      <c r="AB447" s="252">
        <v>0</v>
      </c>
      <c r="AC447" s="262">
        <f>+(Tabla1[[#This Row],[Avance PDI]]*100%)/Tabla1[[#This Row],[ponderacion_meta]]</f>
        <v>0</v>
      </c>
      <c r="AD447" s="257">
        <v>0</v>
      </c>
      <c r="AE447" s="257">
        <v>6.4939999999999998E-3</v>
      </c>
      <c r="AF447" s="257">
        <v>0</v>
      </c>
      <c r="AG447" s="257">
        <v>0</v>
      </c>
      <c r="AH447" s="393">
        <f t="shared" si="68"/>
        <v>1.03071E-2</v>
      </c>
      <c r="AI447" s="393">
        <f t="shared" si="69"/>
        <v>7.1052631578947381E-2</v>
      </c>
      <c r="AJ447" s="316">
        <f t="shared" si="67"/>
        <v>7.1052631578947381E-2</v>
      </c>
      <c r="AK447" s="392">
        <v>6.4107000000000001E-3</v>
      </c>
      <c r="AL447" s="409">
        <f t="shared" si="70"/>
        <v>8.3333333333333356E-2</v>
      </c>
      <c r="AM447" s="327">
        <v>0</v>
      </c>
      <c r="AN447" s="410">
        <f t="shared" si="71"/>
        <v>8.3333333333333356E-2</v>
      </c>
      <c r="AO447" s="359" t="e">
        <f>+([1]!Tabla1[[#This Row],[ponderacion_accion]]/20%)*AQ447</f>
        <v>#REF!</v>
      </c>
      <c r="AP447" s="359" t="e">
        <f>Tabla1[[#This Row],[ponderacion_meta]]*AO447</f>
        <v>#REF!</v>
      </c>
      <c r="AQ447" s="351"/>
      <c r="AR447" s="380">
        <v>0</v>
      </c>
      <c r="AS447" s="9"/>
      <c r="AT447" s="521">
        <v>0</v>
      </c>
    </row>
    <row r="448" spans="1:46" ht="15" customHeight="1" x14ac:dyDescent="0.35">
      <c r="A448" s="236" t="s">
        <v>1152</v>
      </c>
      <c r="B448" s="237" t="s">
        <v>880</v>
      </c>
      <c r="C448" s="237" t="s">
        <v>1721</v>
      </c>
      <c r="D448" s="237" t="s">
        <v>1166</v>
      </c>
      <c r="E448" s="176" t="s">
        <v>881</v>
      </c>
      <c r="F448" s="176" t="s">
        <v>2616</v>
      </c>
      <c r="G448" s="170" t="s">
        <v>882</v>
      </c>
      <c r="H448" s="170" t="s">
        <v>1750</v>
      </c>
      <c r="I448" s="14" t="s">
        <v>908</v>
      </c>
      <c r="J448" s="265">
        <v>6.4939999999999998E-3</v>
      </c>
      <c r="K448" s="98" t="s">
        <v>909</v>
      </c>
      <c r="L448" s="134">
        <v>1000000000</v>
      </c>
      <c r="M448" s="134">
        <v>0</v>
      </c>
      <c r="N448" s="442"/>
      <c r="O448" s="442" t="s">
        <v>1753</v>
      </c>
      <c r="P448" s="191">
        <v>0</v>
      </c>
      <c r="Q448" s="205">
        <v>1</v>
      </c>
      <c r="R448" s="188">
        <v>0</v>
      </c>
      <c r="S448" s="188">
        <v>0</v>
      </c>
      <c r="T448" s="188" t="s">
        <v>1617</v>
      </c>
      <c r="U448" s="89" t="s">
        <v>1144</v>
      </c>
      <c r="V448" s="15">
        <v>0.2</v>
      </c>
      <c r="W448" s="26" t="s">
        <v>916</v>
      </c>
      <c r="X448" s="26"/>
      <c r="Y448" s="26" t="s">
        <v>2587</v>
      </c>
      <c r="Z448" s="26" t="s">
        <v>2536</v>
      </c>
      <c r="AA448" s="239">
        <f t="shared" si="65"/>
        <v>1.2988000000000001E-3</v>
      </c>
      <c r="AB448" s="252">
        <v>0</v>
      </c>
      <c r="AC448" s="262">
        <f>+(Tabla1[[#This Row],[Avance PDI]]*100%)/Tabla1[[#This Row],[ponderacion_meta]]</f>
        <v>0</v>
      </c>
      <c r="AD448" s="257">
        <v>0</v>
      </c>
      <c r="AE448" s="257">
        <v>6.4939999999999998E-3</v>
      </c>
      <c r="AF448" s="257">
        <v>0</v>
      </c>
      <c r="AG448" s="257">
        <v>0</v>
      </c>
      <c r="AH448" s="393">
        <f t="shared" si="68"/>
        <v>1.03071E-2</v>
      </c>
      <c r="AI448" s="393">
        <f t="shared" si="69"/>
        <v>7.1052631578947381E-2</v>
      </c>
      <c r="AJ448" s="316">
        <f t="shared" si="67"/>
        <v>7.1052631578947381E-2</v>
      </c>
      <c r="AK448" s="392">
        <v>6.4107000000000001E-3</v>
      </c>
      <c r="AL448" s="409">
        <f t="shared" si="70"/>
        <v>8.3333333333333356E-2</v>
      </c>
      <c r="AM448" s="327">
        <v>0</v>
      </c>
      <c r="AN448" s="410">
        <f t="shared" si="71"/>
        <v>8.3333333333333356E-2</v>
      </c>
      <c r="AO448" s="360" t="e">
        <f>+([1]!Tabla1[[#This Row],[ponderacion_accion]]/20%)*AQ448</f>
        <v>#REF!</v>
      </c>
      <c r="AP448" s="360" t="e">
        <f>Tabla1[[#This Row],[ponderacion_meta]]*AO448</f>
        <v>#REF!</v>
      </c>
      <c r="AQ448" s="356"/>
      <c r="AR448" s="380">
        <v>0</v>
      </c>
      <c r="AS448" s="9"/>
      <c r="AT448" s="521">
        <v>0</v>
      </c>
    </row>
    <row r="449" spans="1:46" ht="15" customHeight="1" x14ac:dyDescent="0.35">
      <c r="A449" s="236" t="s">
        <v>1152</v>
      </c>
      <c r="B449" s="237" t="s">
        <v>880</v>
      </c>
      <c r="C449" s="237" t="s">
        <v>1721</v>
      </c>
      <c r="D449" s="237" t="s">
        <v>1166</v>
      </c>
      <c r="E449" s="176" t="s">
        <v>881</v>
      </c>
      <c r="F449" s="176" t="s">
        <v>2616</v>
      </c>
      <c r="G449" s="170" t="s">
        <v>882</v>
      </c>
      <c r="H449" s="170" t="s">
        <v>1750</v>
      </c>
      <c r="I449" s="2" t="s">
        <v>919</v>
      </c>
      <c r="J449" s="264">
        <v>6.4939999999999998E-3</v>
      </c>
      <c r="K449" s="110" t="s">
        <v>920</v>
      </c>
      <c r="L449" s="149">
        <v>413135046</v>
      </c>
      <c r="M449" s="149">
        <v>0</v>
      </c>
      <c r="N449" s="457"/>
      <c r="O449" s="457" t="s">
        <v>2622</v>
      </c>
      <c r="P449" s="189">
        <v>1</v>
      </c>
      <c r="Q449" s="190">
        <v>2</v>
      </c>
      <c r="R449" s="190">
        <v>3</v>
      </c>
      <c r="S449" s="190">
        <v>3</v>
      </c>
      <c r="T449" s="190" t="s">
        <v>1618</v>
      </c>
      <c r="U449" s="88" t="s">
        <v>921</v>
      </c>
      <c r="V449" s="10">
        <v>0.1</v>
      </c>
      <c r="W449" s="6" t="s">
        <v>922</v>
      </c>
      <c r="X449" s="6"/>
      <c r="Y449" s="6" t="s">
        <v>2587</v>
      </c>
      <c r="Z449" s="6" t="s">
        <v>2562</v>
      </c>
      <c r="AA449" s="238">
        <f t="shared" si="65"/>
        <v>6.4940000000000006E-4</v>
      </c>
      <c r="AB449" s="252">
        <v>0</v>
      </c>
      <c r="AC449" s="278">
        <f>+(Tabla1[[#This Row],[Avance PDI]]*100%)/Tabla1[[#This Row],[ponderacion_meta]]</f>
        <v>0</v>
      </c>
      <c r="AD449" s="279">
        <f>+Tabla1[[#This Row],[ponderacion_meta]]/9*Tabla1[[#This Row],[proyeccion_año1]]</f>
        <v>7.2155555555555558E-4</v>
      </c>
      <c r="AE449" s="279">
        <f>+Tabla1[[#This Row],[ponderacion_meta]]/9*Tabla1[[#This Row],[proyeccion_año2]]</f>
        <v>1.4431111111111112E-3</v>
      </c>
      <c r="AF449" s="279">
        <f>+Tabla1[[#This Row],[ponderacion_meta]]/9*Tabla1[[#This Row],[proyeccion_año3]]</f>
        <v>2.1646666666666667E-3</v>
      </c>
      <c r="AG449" s="279">
        <f>+Tabla1[[#This Row],[ponderacion_meta]]/9*Tabla1[[#This Row],[proyeccion_año4]]</f>
        <v>2.1646666666666667E-3</v>
      </c>
      <c r="AH449" s="393">
        <f t="shared" si="68"/>
        <v>1.03071E-2</v>
      </c>
      <c r="AI449" s="393">
        <f t="shared" si="69"/>
        <v>7.1052631578947381E-2</v>
      </c>
      <c r="AJ449" s="316">
        <f t="shared" si="67"/>
        <v>7.1052631578947381E-2</v>
      </c>
      <c r="AK449" s="392">
        <v>6.4107000000000001E-3</v>
      </c>
      <c r="AL449" s="409">
        <f t="shared" si="70"/>
        <v>8.3333333333333356E-2</v>
      </c>
      <c r="AM449" s="327">
        <v>0</v>
      </c>
      <c r="AN449" s="410">
        <f t="shared" si="71"/>
        <v>8.3333333333333356E-2</v>
      </c>
      <c r="AO449" s="343" t="e">
        <f>+([1]!Tabla1[[#This Row],[ponderacion_accion]]/9)*AQ449</f>
        <v>#REF!</v>
      </c>
      <c r="AP449" s="334" t="e">
        <f>Tabla1[[#This Row],[ponderacion_meta]]*AO449</f>
        <v>#REF!</v>
      </c>
      <c r="AQ449" s="353"/>
      <c r="AR449" s="377">
        <v>100460250</v>
      </c>
      <c r="AS449" s="7" t="e">
        <f>+((SUM(AO449:AO457)*100))/33.33</f>
        <v>#REF!</v>
      </c>
      <c r="AT449" s="521">
        <v>0</v>
      </c>
    </row>
    <row r="450" spans="1:46" ht="15" customHeight="1" x14ac:dyDescent="0.35">
      <c r="A450" s="236" t="s">
        <v>1152</v>
      </c>
      <c r="B450" s="237" t="s">
        <v>880</v>
      </c>
      <c r="C450" s="237" t="s">
        <v>1721</v>
      </c>
      <c r="D450" s="237" t="s">
        <v>1166</v>
      </c>
      <c r="E450" s="176" t="s">
        <v>881</v>
      </c>
      <c r="F450" s="176" t="s">
        <v>2616</v>
      </c>
      <c r="G450" s="170" t="s">
        <v>882</v>
      </c>
      <c r="H450" s="170" t="s">
        <v>1750</v>
      </c>
      <c r="I450" s="2" t="s">
        <v>919</v>
      </c>
      <c r="J450" s="264">
        <v>6.4939999999999998E-3</v>
      </c>
      <c r="K450" s="6" t="s">
        <v>920</v>
      </c>
      <c r="L450" s="149">
        <v>413135046</v>
      </c>
      <c r="M450" s="149">
        <v>0</v>
      </c>
      <c r="N450" s="457"/>
      <c r="O450" s="457" t="s">
        <v>2622</v>
      </c>
      <c r="P450" s="189">
        <v>1</v>
      </c>
      <c r="Q450" s="190">
        <v>2</v>
      </c>
      <c r="R450" s="190">
        <v>3</v>
      </c>
      <c r="S450" s="190">
        <v>3</v>
      </c>
      <c r="T450" s="190" t="s">
        <v>1619</v>
      </c>
      <c r="U450" s="88" t="s">
        <v>923</v>
      </c>
      <c r="V450" s="10">
        <v>0.2</v>
      </c>
      <c r="W450" s="6" t="s">
        <v>924</v>
      </c>
      <c r="X450" s="6"/>
      <c r="Y450" s="6" t="s">
        <v>2587</v>
      </c>
      <c r="Z450" s="6" t="s">
        <v>2562</v>
      </c>
      <c r="AA450" s="238">
        <f t="shared" si="65"/>
        <v>1.2988000000000001E-3</v>
      </c>
      <c r="AB450" s="252">
        <v>0</v>
      </c>
      <c r="AC450" s="278">
        <f>+(Tabla1[[#This Row],[Avance PDI]]*100%)/Tabla1[[#This Row],[ponderacion_meta]]</f>
        <v>0</v>
      </c>
      <c r="AD450" s="279">
        <v>7.2155555555555558E-4</v>
      </c>
      <c r="AE450" s="279">
        <v>1.4431111111111112E-3</v>
      </c>
      <c r="AF450" s="279">
        <v>2.1646666666666667E-3</v>
      </c>
      <c r="AG450" s="279">
        <v>2.1646666666666667E-3</v>
      </c>
      <c r="AH450" s="393">
        <f t="shared" si="68"/>
        <v>1.03071E-2</v>
      </c>
      <c r="AI450" s="393">
        <f t="shared" si="69"/>
        <v>7.1052631578947381E-2</v>
      </c>
      <c r="AJ450" s="316">
        <f t="shared" si="67"/>
        <v>7.1052631578947381E-2</v>
      </c>
      <c r="AK450" s="392">
        <v>6.4107000000000001E-3</v>
      </c>
      <c r="AL450" s="409">
        <f t="shared" si="70"/>
        <v>8.3333333333333356E-2</v>
      </c>
      <c r="AM450" s="327">
        <v>0</v>
      </c>
      <c r="AN450" s="410">
        <f t="shared" si="71"/>
        <v>8.3333333333333356E-2</v>
      </c>
      <c r="AO450" s="344" t="e">
        <f>+([1]!Tabla1[[#This Row],[ponderacion_accion]]/9)*AQ450</f>
        <v>#REF!</v>
      </c>
      <c r="AP450" s="334" t="e">
        <f>Tabla1[[#This Row],[ponderacion_meta]]*AO450</f>
        <v>#REF!</v>
      </c>
      <c r="AQ450" s="354"/>
      <c r="AR450" s="378">
        <v>0</v>
      </c>
      <c r="AS450" s="9"/>
      <c r="AT450" s="521">
        <v>0</v>
      </c>
    </row>
    <row r="451" spans="1:46" ht="15" customHeight="1" x14ac:dyDescent="0.35">
      <c r="A451" s="236" t="s">
        <v>1152</v>
      </c>
      <c r="B451" s="237" t="s">
        <v>880</v>
      </c>
      <c r="C451" s="237" t="s">
        <v>1721</v>
      </c>
      <c r="D451" s="237" t="s">
        <v>1166</v>
      </c>
      <c r="E451" s="176" t="s">
        <v>881</v>
      </c>
      <c r="F451" s="176" t="s">
        <v>2616</v>
      </c>
      <c r="G451" s="170" t="s">
        <v>882</v>
      </c>
      <c r="H451" s="170" t="s">
        <v>1750</v>
      </c>
      <c r="I451" s="2" t="s">
        <v>919</v>
      </c>
      <c r="J451" s="264">
        <v>6.4939999999999998E-3</v>
      </c>
      <c r="K451" s="6" t="s">
        <v>920</v>
      </c>
      <c r="L451" s="149">
        <v>413135046</v>
      </c>
      <c r="M451" s="149">
        <v>0</v>
      </c>
      <c r="N451" s="457"/>
      <c r="O451" s="457" t="s">
        <v>2622</v>
      </c>
      <c r="P451" s="189">
        <v>1</v>
      </c>
      <c r="Q451" s="190">
        <v>2</v>
      </c>
      <c r="R451" s="190">
        <v>3</v>
      </c>
      <c r="S451" s="190">
        <v>3</v>
      </c>
      <c r="T451" s="190" t="s">
        <v>1620</v>
      </c>
      <c r="U451" s="88" t="s">
        <v>925</v>
      </c>
      <c r="V451" s="10">
        <v>0.1</v>
      </c>
      <c r="W451" s="6" t="s">
        <v>926</v>
      </c>
      <c r="X451" s="6"/>
      <c r="Y451" s="6" t="s">
        <v>2587</v>
      </c>
      <c r="Z451" s="6" t="s">
        <v>2562</v>
      </c>
      <c r="AA451" s="238">
        <f t="shared" si="65"/>
        <v>6.4940000000000006E-4</v>
      </c>
      <c r="AB451" s="252">
        <v>0</v>
      </c>
      <c r="AC451" s="278">
        <f>+(Tabla1[[#This Row],[Avance PDI]]*100%)/Tabla1[[#This Row],[ponderacion_meta]]</f>
        <v>0</v>
      </c>
      <c r="AD451" s="279">
        <v>7.2155555555555558E-4</v>
      </c>
      <c r="AE451" s="279">
        <v>1.4431111111111112E-3</v>
      </c>
      <c r="AF451" s="279">
        <v>2.1646666666666667E-3</v>
      </c>
      <c r="AG451" s="279">
        <v>2.1646666666666667E-3</v>
      </c>
      <c r="AH451" s="393">
        <f t="shared" si="68"/>
        <v>1.03071E-2</v>
      </c>
      <c r="AI451" s="393">
        <f t="shared" si="69"/>
        <v>7.1052631578947381E-2</v>
      </c>
      <c r="AJ451" s="316">
        <f t="shared" si="67"/>
        <v>7.1052631578947381E-2</v>
      </c>
      <c r="AK451" s="392">
        <v>6.4107000000000001E-3</v>
      </c>
      <c r="AL451" s="409">
        <f t="shared" si="70"/>
        <v>8.3333333333333356E-2</v>
      </c>
      <c r="AM451" s="327">
        <v>0</v>
      </c>
      <c r="AN451" s="410">
        <f t="shared" si="71"/>
        <v>8.3333333333333356E-2</v>
      </c>
      <c r="AO451" s="344" t="e">
        <f>+([1]!Tabla1[[#This Row],[ponderacion_accion]]/9)*AQ451</f>
        <v>#REF!</v>
      </c>
      <c r="AP451" s="334" t="e">
        <f>Tabla1[[#This Row],[ponderacion_meta]]*AO451</f>
        <v>#REF!</v>
      </c>
      <c r="AQ451" s="354"/>
      <c r="AR451" s="378">
        <v>0</v>
      </c>
      <c r="AS451" s="9"/>
      <c r="AT451" s="521">
        <v>0</v>
      </c>
    </row>
    <row r="452" spans="1:46" ht="15" customHeight="1" x14ac:dyDescent="0.35">
      <c r="A452" s="236" t="s">
        <v>1152</v>
      </c>
      <c r="B452" s="237" t="s">
        <v>880</v>
      </c>
      <c r="C452" s="237" t="s">
        <v>1721</v>
      </c>
      <c r="D452" s="237" t="s">
        <v>1166</v>
      </c>
      <c r="E452" s="176" t="s">
        <v>881</v>
      </c>
      <c r="F452" s="176" t="s">
        <v>2616</v>
      </c>
      <c r="G452" s="170" t="s">
        <v>882</v>
      </c>
      <c r="H452" s="170" t="s">
        <v>1750</v>
      </c>
      <c r="I452" s="2" t="s">
        <v>919</v>
      </c>
      <c r="J452" s="264">
        <v>6.4939999999999998E-3</v>
      </c>
      <c r="K452" s="6" t="s">
        <v>920</v>
      </c>
      <c r="L452" s="149">
        <v>413135046</v>
      </c>
      <c r="M452" s="149">
        <v>0</v>
      </c>
      <c r="N452" s="457"/>
      <c r="O452" s="457" t="s">
        <v>2622</v>
      </c>
      <c r="P452" s="189">
        <v>1</v>
      </c>
      <c r="Q452" s="190">
        <v>2</v>
      </c>
      <c r="R452" s="190">
        <v>3</v>
      </c>
      <c r="S452" s="190">
        <v>3</v>
      </c>
      <c r="T452" s="190" t="s">
        <v>1621</v>
      </c>
      <c r="U452" s="88" t="s">
        <v>927</v>
      </c>
      <c r="V452" s="10">
        <v>0.1</v>
      </c>
      <c r="W452" s="6" t="s">
        <v>928</v>
      </c>
      <c r="X452" s="6"/>
      <c r="Y452" s="6" t="s">
        <v>2587</v>
      </c>
      <c r="Z452" s="6" t="s">
        <v>2562</v>
      </c>
      <c r="AA452" s="238">
        <f t="shared" si="65"/>
        <v>6.4940000000000006E-4</v>
      </c>
      <c r="AB452" s="252">
        <v>0</v>
      </c>
      <c r="AC452" s="278">
        <f>+(Tabla1[[#This Row],[Avance PDI]]*100%)/Tabla1[[#This Row],[ponderacion_meta]]</f>
        <v>0</v>
      </c>
      <c r="AD452" s="279">
        <v>7.2155555555555558E-4</v>
      </c>
      <c r="AE452" s="279">
        <v>1.4431111111111112E-3</v>
      </c>
      <c r="AF452" s="279">
        <v>2.1646666666666667E-3</v>
      </c>
      <c r="AG452" s="279">
        <v>2.1646666666666667E-3</v>
      </c>
      <c r="AH452" s="393">
        <f t="shared" si="68"/>
        <v>1.03071E-2</v>
      </c>
      <c r="AI452" s="393">
        <f t="shared" si="69"/>
        <v>7.1052631578947381E-2</v>
      </c>
      <c r="AJ452" s="316">
        <f t="shared" si="67"/>
        <v>7.1052631578947381E-2</v>
      </c>
      <c r="AK452" s="392">
        <v>6.4107000000000001E-3</v>
      </c>
      <c r="AL452" s="409">
        <f t="shared" si="70"/>
        <v>8.3333333333333356E-2</v>
      </c>
      <c r="AM452" s="327">
        <v>0</v>
      </c>
      <c r="AN452" s="410">
        <f t="shared" si="71"/>
        <v>8.3333333333333356E-2</v>
      </c>
      <c r="AO452" s="344" t="e">
        <f>+([1]!Tabla1[[#This Row],[ponderacion_accion]]/9)*AQ452</f>
        <v>#REF!</v>
      </c>
      <c r="AP452" s="334" t="e">
        <f>Tabla1[[#This Row],[ponderacion_meta]]*AO452</f>
        <v>#REF!</v>
      </c>
      <c r="AQ452" s="354"/>
      <c r="AR452" s="378">
        <v>0</v>
      </c>
      <c r="AS452" s="9"/>
      <c r="AT452" s="521">
        <v>0</v>
      </c>
    </row>
    <row r="453" spans="1:46" ht="15" customHeight="1" x14ac:dyDescent="0.35">
      <c r="A453" s="236" t="s">
        <v>1152</v>
      </c>
      <c r="B453" s="237" t="s">
        <v>880</v>
      </c>
      <c r="C453" s="237" t="s">
        <v>1721</v>
      </c>
      <c r="D453" s="237" t="s">
        <v>1166</v>
      </c>
      <c r="E453" s="176" t="s">
        <v>881</v>
      </c>
      <c r="F453" s="176" t="s">
        <v>2616</v>
      </c>
      <c r="G453" s="170" t="s">
        <v>882</v>
      </c>
      <c r="H453" s="170" t="s">
        <v>1750</v>
      </c>
      <c r="I453" s="2" t="s">
        <v>919</v>
      </c>
      <c r="J453" s="264">
        <v>6.4939999999999998E-3</v>
      </c>
      <c r="K453" s="6" t="s">
        <v>920</v>
      </c>
      <c r="L453" s="149">
        <v>413135046</v>
      </c>
      <c r="M453" s="149">
        <v>0</v>
      </c>
      <c r="N453" s="457"/>
      <c r="O453" s="457" t="s">
        <v>2622</v>
      </c>
      <c r="P453" s="189">
        <v>1</v>
      </c>
      <c r="Q453" s="190">
        <v>2</v>
      </c>
      <c r="R453" s="190">
        <v>3</v>
      </c>
      <c r="S453" s="190">
        <v>3</v>
      </c>
      <c r="T453" s="190" t="s">
        <v>1622</v>
      </c>
      <c r="U453" s="88" t="s">
        <v>929</v>
      </c>
      <c r="V453" s="10">
        <v>0.1</v>
      </c>
      <c r="W453" s="6" t="s">
        <v>930</v>
      </c>
      <c r="X453" s="6"/>
      <c r="Y453" s="6" t="s">
        <v>2588</v>
      </c>
      <c r="Z453" s="6" t="s">
        <v>2562</v>
      </c>
      <c r="AA453" s="238">
        <f t="shared" si="65"/>
        <v>6.4940000000000006E-4</v>
      </c>
      <c r="AB453" s="252">
        <v>0</v>
      </c>
      <c r="AC453" s="278">
        <f>+(Tabla1[[#This Row],[Avance PDI]]*100%)/Tabla1[[#This Row],[ponderacion_meta]]</f>
        <v>0</v>
      </c>
      <c r="AD453" s="279">
        <v>7.2155555555555558E-4</v>
      </c>
      <c r="AE453" s="279">
        <v>1.4431111111111112E-3</v>
      </c>
      <c r="AF453" s="279">
        <v>2.1646666666666667E-3</v>
      </c>
      <c r="AG453" s="279">
        <v>2.1646666666666667E-3</v>
      </c>
      <c r="AH453" s="393">
        <f t="shared" si="68"/>
        <v>1.03071E-2</v>
      </c>
      <c r="AI453" s="393">
        <f t="shared" si="69"/>
        <v>7.1052631578947381E-2</v>
      </c>
      <c r="AJ453" s="316">
        <f t="shared" si="67"/>
        <v>7.1052631578947381E-2</v>
      </c>
      <c r="AK453" s="392">
        <v>6.4107000000000001E-3</v>
      </c>
      <c r="AL453" s="409">
        <f t="shared" si="70"/>
        <v>8.3333333333333356E-2</v>
      </c>
      <c r="AM453" s="327">
        <v>0</v>
      </c>
      <c r="AN453" s="410">
        <f t="shared" si="71"/>
        <v>8.3333333333333356E-2</v>
      </c>
      <c r="AO453" s="344" t="e">
        <f>+([1]!Tabla1[[#This Row],[ponderacion_accion]]/9)*AQ453</f>
        <v>#REF!</v>
      </c>
      <c r="AP453" s="334" t="e">
        <f>Tabla1[[#This Row],[ponderacion_meta]]*AO453</f>
        <v>#REF!</v>
      </c>
      <c r="AQ453" s="354"/>
      <c r="AR453" s="378">
        <v>0</v>
      </c>
      <c r="AS453" s="9"/>
      <c r="AT453" s="521">
        <v>0</v>
      </c>
    </row>
    <row r="454" spans="1:46" ht="15" customHeight="1" x14ac:dyDescent="0.35">
      <c r="A454" s="236" t="s">
        <v>1152</v>
      </c>
      <c r="B454" s="237" t="s">
        <v>880</v>
      </c>
      <c r="C454" s="237" t="s">
        <v>1721</v>
      </c>
      <c r="D454" s="237" t="s">
        <v>1166</v>
      </c>
      <c r="E454" s="176" t="s">
        <v>881</v>
      </c>
      <c r="F454" s="176" t="s">
        <v>2616</v>
      </c>
      <c r="G454" s="170" t="s">
        <v>882</v>
      </c>
      <c r="H454" s="170" t="s">
        <v>1750</v>
      </c>
      <c r="I454" s="2" t="s">
        <v>919</v>
      </c>
      <c r="J454" s="264">
        <v>6.4939999999999998E-3</v>
      </c>
      <c r="K454" s="6" t="s">
        <v>920</v>
      </c>
      <c r="L454" s="149">
        <v>413135046</v>
      </c>
      <c r="M454" s="149">
        <v>0</v>
      </c>
      <c r="N454" s="457"/>
      <c r="O454" s="457" t="s">
        <v>2622</v>
      </c>
      <c r="P454" s="189">
        <v>1</v>
      </c>
      <c r="Q454" s="190">
        <v>2</v>
      </c>
      <c r="R454" s="190">
        <v>3</v>
      </c>
      <c r="S454" s="190">
        <v>3</v>
      </c>
      <c r="T454" s="190" t="s">
        <v>1623</v>
      </c>
      <c r="U454" s="88" t="s">
        <v>931</v>
      </c>
      <c r="V454" s="10">
        <v>0.1</v>
      </c>
      <c r="W454" s="6" t="s">
        <v>932</v>
      </c>
      <c r="X454" s="6"/>
      <c r="Y454" s="6" t="s">
        <v>2588</v>
      </c>
      <c r="Z454" s="6" t="s">
        <v>2562</v>
      </c>
      <c r="AA454" s="238">
        <f t="shared" si="65"/>
        <v>6.4940000000000006E-4</v>
      </c>
      <c r="AB454" s="252">
        <v>0</v>
      </c>
      <c r="AC454" s="278">
        <f>+(Tabla1[[#This Row],[Avance PDI]]*100%)/Tabla1[[#This Row],[ponderacion_meta]]</f>
        <v>0</v>
      </c>
      <c r="AD454" s="279">
        <v>7.2155555555555558E-4</v>
      </c>
      <c r="AE454" s="279">
        <v>1.4431111111111112E-3</v>
      </c>
      <c r="AF454" s="279">
        <v>2.1646666666666667E-3</v>
      </c>
      <c r="AG454" s="279">
        <v>2.1646666666666667E-3</v>
      </c>
      <c r="AH454" s="393">
        <f t="shared" si="68"/>
        <v>1.03071E-2</v>
      </c>
      <c r="AI454" s="393">
        <f t="shared" si="69"/>
        <v>7.1052631578947381E-2</v>
      </c>
      <c r="AJ454" s="316">
        <f t="shared" si="67"/>
        <v>7.1052631578947381E-2</v>
      </c>
      <c r="AK454" s="392">
        <v>6.4107000000000001E-3</v>
      </c>
      <c r="AL454" s="409">
        <f t="shared" si="70"/>
        <v>8.3333333333333356E-2</v>
      </c>
      <c r="AM454" s="327">
        <v>0</v>
      </c>
      <c r="AN454" s="410">
        <f t="shared" si="71"/>
        <v>8.3333333333333356E-2</v>
      </c>
      <c r="AO454" s="344" t="e">
        <f>+([1]!Tabla1[[#This Row],[ponderacion_accion]]/9)*AQ454</f>
        <v>#REF!</v>
      </c>
      <c r="AP454" s="334" t="e">
        <f>Tabla1[[#This Row],[ponderacion_meta]]*AO454</f>
        <v>#REF!</v>
      </c>
      <c r="AQ454" s="354"/>
      <c r="AR454" s="378">
        <v>0</v>
      </c>
      <c r="AS454" s="9"/>
      <c r="AT454" s="521">
        <v>0</v>
      </c>
    </row>
    <row r="455" spans="1:46" ht="15" customHeight="1" x14ac:dyDescent="0.35">
      <c r="A455" s="236" t="s">
        <v>1152</v>
      </c>
      <c r="B455" s="237" t="s">
        <v>880</v>
      </c>
      <c r="C455" s="237" t="s">
        <v>1721</v>
      </c>
      <c r="D455" s="237" t="s">
        <v>1166</v>
      </c>
      <c r="E455" s="176" t="s">
        <v>881</v>
      </c>
      <c r="F455" s="176" t="s">
        <v>2616</v>
      </c>
      <c r="G455" s="170" t="s">
        <v>882</v>
      </c>
      <c r="H455" s="170" t="s">
        <v>1750</v>
      </c>
      <c r="I455" s="2" t="s">
        <v>919</v>
      </c>
      <c r="J455" s="264">
        <v>6.4939999999999998E-3</v>
      </c>
      <c r="K455" s="6" t="s">
        <v>920</v>
      </c>
      <c r="L455" s="149">
        <v>413135046</v>
      </c>
      <c r="M455" s="149">
        <v>0</v>
      </c>
      <c r="N455" s="457"/>
      <c r="O455" s="457" t="s">
        <v>2622</v>
      </c>
      <c r="P455" s="189">
        <v>1</v>
      </c>
      <c r="Q455" s="190">
        <v>2</v>
      </c>
      <c r="R455" s="190">
        <v>3</v>
      </c>
      <c r="S455" s="190">
        <v>3</v>
      </c>
      <c r="T455" s="190" t="s">
        <v>1624</v>
      </c>
      <c r="U455" s="88" t="s">
        <v>1145</v>
      </c>
      <c r="V455" s="10">
        <v>0.05</v>
      </c>
      <c r="W455" s="6" t="s">
        <v>1146</v>
      </c>
      <c r="X455" s="6"/>
      <c r="Y455" s="6" t="s">
        <v>2588</v>
      </c>
      <c r="Z455" s="6" t="s">
        <v>2562</v>
      </c>
      <c r="AA455" s="238">
        <f t="shared" si="65"/>
        <v>3.2470000000000003E-4</v>
      </c>
      <c r="AB455" s="252">
        <v>0</v>
      </c>
      <c r="AC455" s="278">
        <f>+(Tabla1[[#This Row],[Avance PDI]]*100%)/Tabla1[[#This Row],[ponderacion_meta]]</f>
        <v>0</v>
      </c>
      <c r="AD455" s="279">
        <v>7.2155555555555558E-4</v>
      </c>
      <c r="AE455" s="279">
        <v>1.4431111111111112E-3</v>
      </c>
      <c r="AF455" s="279">
        <v>2.1646666666666667E-3</v>
      </c>
      <c r="AG455" s="279">
        <v>2.1646666666666667E-3</v>
      </c>
      <c r="AH455" s="393">
        <f t="shared" si="68"/>
        <v>1.03071E-2</v>
      </c>
      <c r="AI455" s="393">
        <f t="shared" si="69"/>
        <v>7.1052631578947381E-2</v>
      </c>
      <c r="AJ455" s="316">
        <f t="shared" si="67"/>
        <v>7.1052631578947381E-2</v>
      </c>
      <c r="AK455" s="392">
        <v>6.4107000000000001E-3</v>
      </c>
      <c r="AL455" s="409">
        <f t="shared" si="70"/>
        <v>8.3333333333333356E-2</v>
      </c>
      <c r="AM455" s="327">
        <v>0</v>
      </c>
      <c r="AN455" s="410">
        <f t="shared" si="71"/>
        <v>8.3333333333333356E-2</v>
      </c>
      <c r="AO455" s="344" t="e">
        <f>+([1]!Tabla1[[#This Row],[ponderacion_accion]]/9)*AQ455</f>
        <v>#REF!</v>
      </c>
      <c r="AP455" s="334" t="e">
        <f>Tabla1[[#This Row],[ponderacion_meta]]*AO455</f>
        <v>#REF!</v>
      </c>
      <c r="AQ455" s="354"/>
      <c r="AR455" s="378">
        <v>0</v>
      </c>
      <c r="AS455" s="9"/>
      <c r="AT455" s="521">
        <v>0</v>
      </c>
    </row>
    <row r="456" spans="1:46" ht="15" customHeight="1" x14ac:dyDescent="0.35">
      <c r="A456" s="236" t="s">
        <v>1152</v>
      </c>
      <c r="B456" s="237" t="s">
        <v>880</v>
      </c>
      <c r="C456" s="237" t="s">
        <v>1721</v>
      </c>
      <c r="D456" s="237" t="s">
        <v>1166</v>
      </c>
      <c r="E456" s="176" t="s">
        <v>881</v>
      </c>
      <c r="F456" s="176" t="s">
        <v>2616</v>
      </c>
      <c r="G456" s="170" t="s">
        <v>882</v>
      </c>
      <c r="H456" s="170" t="s">
        <v>1750</v>
      </c>
      <c r="I456" s="2" t="s">
        <v>919</v>
      </c>
      <c r="J456" s="264">
        <v>6.4939999999999998E-3</v>
      </c>
      <c r="K456" s="6" t="s">
        <v>920</v>
      </c>
      <c r="L456" s="149">
        <v>413135046</v>
      </c>
      <c r="M456" s="149">
        <v>0</v>
      </c>
      <c r="N456" s="457"/>
      <c r="O456" s="457" t="s">
        <v>2622</v>
      </c>
      <c r="P456" s="189">
        <v>1</v>
      </c>
      <c r="Q456" s="190">
        <v>2</v>
      </c>
      <c r="R456" s="190">
        <v>3</v>
      </c>
      <c r="S456" s="190">
        <v>3</v>
      </c>
      <c r="T456" s="190" t="s">
        <v>1625</v>
      </c>
      <c r="U456" s="88" t="s">
        <v>933</v>
      </c>
      <c r="V456" s="10">
        <v>0.15</v>
      </c>
      <c r="W456" s="6" t="s">
        <v>934</v>
      </c>
      <c r="X456" s="6"/>
      <c r="Y456" s="6" t="s">
        <v>2588</v>
      </c>
      <c r="Z456" s="6" t="s">
        <v>2562</v>
      </c>
      <c r="AA456" s="238">
        <f t="shared" si="65"/>
        <v>9.7409999999999988E-4</v>
      </c>
      <c r="AB456" s="252">
        <v>0</v>
      </c>
      <c r="AC456" s="278">
        <f>+(Tabla1[[#This Row],[Avance PDI]]*100%)/Tabla1[[#This Row],[ponderacion_meta]]</f>
        <v>0</v>
      </c>
      <c r="AD456" s="279">
        <v>7.2155555555555558E-4</v>
      </c>
      <c r="AE456" s="279">
        <v>1.4431111111111112E-3</v>
      </c>
      <c r="AF456" s="279">
        <v>2.1646666666666667E-3</v>
      </c>
      <c r="AG456" s="279">
        <v>2.1646666666666667E-3</v>
      </c>
      <c r="AH456" s="393">
        <f t="shared" si="68"/>
        <v>1.03071E-2</v>
      </c>
      <c r="AI456" s="393">
        <f t="shared" si="69"/>
        <v>7.1052631578947381E-2</v>
      </c>
      <c r="AJ456" s="316">
        <f t="shared" si="67"/>
        <v>7.1052631578947381E-2</v>
      </c>
      <c r="AK456" s="392">
        <v>6.4107000000000001E-3</v>
      </c>
      <c r="AL456" s="409">
        <f t="shared" si="70"/>
        <v>8.3333333333333356E-2</v>
      </c>
      <c r="AM456" s="327">
        <v>0</v>
      </c>
      <c r="AN456" s="410">
        <f t="shared" si="71"/>
        <v>8.3333333333333356E-2</v>
      </c>
      <c r="AO456" s="344" t="e">
        <f>+([1]!Tabla1[[#This Row],[ponderacion_accion]]/9)*AQ456</f>
        <v>#REF!</v>
      </c>
      <c r="AP456" s="334" t="e">
        <f>Tabla1[[#This Row],[ponderacion_meta]]*AO456</f>
        <v>#REF!</v>
      </c>
      <c r="AQ456" s="354"/>
      <c r="AR456" s="378">
        <v>0</v>
      </c>
      <c r="AS456" s="9"/>
      <c r="AT456" s="521">
        <v>0</v>
      </c>
    </row>
    <row r="457" spans="1:46" ht="15" customHeight="1" x14ac:dyDescent="0.35">
      <c r="A457" s="236" t="s">
        <v>1152</v>
      </c>
      <c r="B457" s="237" t="s">
        <v>880</v>
      </c>
      <c r="C457" s="237" t="s">
        <v>1721</v>
      </c>
      <c r="D457" s="237" t="s">
        <v>1166</v>
      </c>
      <c r="E457" s="176" t="s">
        <v>881</v>
      </c>
      <c r="F457" s="176" t="s">
        <v>2616</v>
      </c>
      <c r="G457" s="170" t="s">
        <v>882</v>
      </c>
      <c r="H457" s="170" t="s">
        <v>1750</v>
      </c>
      <c r="I457" s="2" t="s">
        <v>919</v>
      </c>
      <c r="J457" s="264">
        <v>6.4939999999999998E-3</v>
      </c>
      <c r="K457" s="6" t="s">
        <v>920</v>
      </c>
      <c r="L457" s="149">
        <v>413135046</v>
      </c>
      <c r="M457" s="149">
        <v>0</v>
      </c>
      <c r="N457" s="457"/>
      <c r="O457" s="457" t="s">
        <v>2622</v>
      </c>
      <c r="P457" s="189">
        <v>1</v>
      </c>
      <c r="Q457" s="190">
        <v>2</v>
      </c>
      <c r="R457" s="190">
        <v>3</v>
      </c>
      <c r="S457" s="190">
        <v>3</v>
      </c>
      <c r="T457" s="190" t="s">
        <v>1626</v>
      </c>
      <c r="U457" s="88" t="s">
        <v>935</v>
      </c>
      <c r="V457" s="10">
        <v>0.1</v>
      </c>
      <c r="W457" s="6" t="s">
        <v>936</v>
      </c>
      <c r="X457" s="6"/>
      <c r="Y457" s="6" t="s">
        <v>2588</v>
      </c>
      <c r="Z457" s="6" t="s">
        <v>2562</v>
      </c>
      <c r="AA457" s="238">
        <f t="shared" si="65"/>
        <v>6.4940000000000006E-4</v>
      </c>
      <c r="AB457" s="252">
        <v>0</v>
      </c>
      <c r="AC457" s="278">
        <f>+(Tabla1[[#This Row],[Avance PDI]]*100%)/Tabla1[[#This Row],[ponderacion_meta]]</f>
        <v>0</v>
      </c>
      <c r="AD457" s="279">
        <v>7.2155555555555558E-4</v>
      </c>
      <c r="AE457" s="279">
        <v>1.4431111111111112E-3</v>
      </c>
      <c r="AF457" s="279">
        <v>2.1646666666666667E-3</v>
      </c>
      <c r="AG457" s="279">
        <v>2.1646666666666667E-3</v>
      </c>
      <c r="AH457" s="393">
        <f t="shared" si="68"/>
        <v>1.03071E-2</v>
      </c>
      <c r="AI457" s="393">
        <f t="shared" si="69"/>
        <v>7.1052631578947381E-2</v>
      </c>
      <c r="AJ457" s="316">
        <f t="shared" si="67"/>
        <v>7.1052631578947381E-2</v>
      </c>
      <c r="AK457" s="392">
        <v>6.4107000000000001E-3</v>
      </c>
      <c r="AL457" s="409">
        <f t="shared" si="70"/>
        <v>8.3333333333333356E-2</v>
      </c>
      <c r="AM457" s="327">
        <v>0</v>
      </c>
      <c r="AN457" s="410">
        <f t="shared" si="71"/>
        <v>8.3333333333333356E-2</v>
      </c>
      <c r="AO457" s="345" t="e">
        <f>+([1]!Tabla1[[#This Row],[ponderacion_accion]]/9)*AQ457</f>
        <v>#REF!</v>
      </c>
      <c r="AP457" s="334" t="e">
        <f>Tabla1[[#This Row],[ponderacion_meta]]*AO457</f>
        <v>#REF!</v>
      </c>
      <c r="AQ457" s="357"/>
      <c r="AR457" s="379">
        <v>0</v>
      </c>
      <c r="AS457" s="9"/>
      <c r="AT457" s="521">
        <v>0</v>
      </c>
    </row>
    <row r="458" spans="1:46" ht="15" customHeight="1" x14ac:dyDescent="0.35">
      <c r="A458" s="236" t="s">
        <v>1152</v>
      </c>
      <c r="B458" s="237" t="s">
        <v>880</v>
      </c>
      <c r="C458" s="237" t="s">
        <v>1721</v>
      </c>
      <c r="D458" s="237" t="s">
        <v>1166</v>
      </c>
      <c r="E458" s="176" t="s">
        <v>881</v>
      </c>
      <c r="F458" s="176" t="s">
        <v>2616</v>
      </c>
      <c r="G458" s="170" t="s">
        <v>882</v>
      </c>
      <c r="H458" s="170" t="s">
        <v>1750</v>
      </c>
      <c r="I458" s="13" t="s">
        <v>937</v>
      </c>
      <c r="J458" s="265">
        <v>6.4939999999999998E-3</v>
      </c>
      <c r="K458" s="91" t="s">
        <v>938</v>
      </c>
      <c r="L458" s="150">
        <v>0</v>
      </c>
      <c r="M458" s="150">
        <v>0</v>
      </c>
      <c r="N458" s="458"/>
      <c r="O458" s="458" t="s">
        <v>1753</v>
      </c>
      <c r="P458" s="185">
        <v>1</v>
      </c>
      <c r="Q458" s="186">
        <v>1</v>
      </c>
      <c r="R458" s="186">
        <v>1</v>
      </c>
      <c r="S458" s="186">
        <v>1</v>
      </c>
      <c r="T458" s="186" t="s">
        <v>1627</v>
      </c>
      <c r="U458" s="87" t="s">
        <v>939</v>
      </c>
      <c r="V458" s="11">
        <v>0.2</v>
      </c>
      <c r="W458" s="9" t="s">
        <v>940</v>
      </c>
      <c r="X458" s="9"/>
      <c r="Y458" s="9" t="s">
        <v>2587</v>
      </c>
      <c r="Z458" s="9" t="s">
        <v>2562</v>
      </c>
      <c r="AA458" s="239">
        <f t="shared" si="65"/>
        <v>1.2988000000000001E-3</v>
      </c>
      <c r="AB458" s="252">
        <v>0</v>
      </c>
      <c r="AC458" s="262">
        <f>+(Tabla1[[#This Row],[Avance PDI]]*100%)/Tabla1[[#This Row],[ponderacion_meta]]</f>
        <v>0</v>
      </c>
      <c r="AD458" s="257">
        <f>+Tabla1[[#This Row],[ponderacion_meta]]*Tabla1[[#This Row],[proyeccion_año1]]*25%</f>
        <v>1.6234999999999999E-3</v>
      </c>
      <c r="AE458" s="257">
        <f>+Tabla1[[#This Row],[ponderacion_meta]]*Tabla1[[#This Row],[proyeccion_año2]]*25%</f>
        <v>1.6234999999999999E-3</v>
      </c>
      <c r="AF458" s="257">
        <f>+Tabla1[[#This Row],[ponderacion_meta]]*Tabla1[[#This Row],[proyeccion_año3]]*25%</f>
        <v>1.6234999999999999E-3</v>
      </c>
      <c r="AG458" s="257">
        <f>+Tabla1[[#This Row],[ponderacion_meta]]*Tabla1[[#This Row],[proyeccion_año4]]*25%</f>
        <v>1.6234999999999999E-3</v>
      </c>
      <c r="AH458" s="393">
        <f t="shared" si="68"/>
        <v>1.03071E-2</v>
      </c>
      <c r="AI458" s="393">
        <f t="shared" si="69"/>
        <v>7.1052631578947381E-2</v>
      </c>
      <c r="AJ458" s="316">
        <f t="shared" si="67"/>
        <v>7.1052631578947381E-2</v>
      </c>
      <c r="AK458" s="392">
        <v>6.4107000000000001E-3</v>
      </c>
      <c r="AL458" s="409">
        <f t="shared" si="70"/>
        <v>8.3333333333333356E-2</v>
      </c>
      <c r="AM458" s="327">
        <v>0</v>
      </c>
      <c r="AN458" s="410">
        <f t="shared" si="71"/>
        <v>8.3333333333333356E-2</v>
      </c>
      <c r="AO458" s="358" t="e">
        <f>+([1]!Tabla1[[#This Row],[ponderacion_accion]]/4)*AQ458</f>
        <v>#REF!</v>
      </c>
      <c r="AP458" s="358" t="e">
        <f>Tabla1[[#This Row],[ponderacion_meta]]*AO458</f>
        <v>#REF!</v>
      </c>
      <c r="AQ458" s="510">
        <v>2</v>
      </c>
      <c r="AR458" s="380">
        <v>0</v>
      </c>
      <c r="AS458" s="7" t="e">
        <f>+((SUM(AO458:AO460)*100))/50</f>
        <v>#REF!</v>
      </c>
      <c r="AT458" s="521">
        <v>0</v>
      </c>
    </row>
    <row r="459" spans="1:46" ht="15" customHeight="1" x14ac:dyDescent="0.35">
      <c r="A459" s="236" t="s">
        <v>1152</v>
      </c>
      <c r="B459" s="237" t="s">
        <v>880</v>
      </c>
      <c r="C459" s="237" t="s">
        <v>1721</v>
      </c>
      <c r="D459" s="237" t="s">
        <v>1166</v>
      </c>
      <c r="E459" s="176" t="s">
        <v>881</v>
      </c>
      <c r="F459" s="176" t="s">
        <v>2616</v>
      </c>
      <c r="G459" s="170" t="s">
        <v>882</v>
      </c>
      <c r="H459" s="170" t="s">
        <v>1750</v>
      </c>
      <c r="I459" s="13" t="s">
        <v>937</v>
      </c>
      <c r="J459" s="265">
        <v>6.4939999999999998E-3</v>
      </c>
      <c r="K459" s="9" t="s">
        <v>938</v>
      </c>
      <c r="L459" s="150">
        <v>0</v>
      </c>
      <c r="M459" s="150">
        <v>0</v>
      </c>
      <c r="N459" s="458"/>
      <c r="O459" s="458" t="s">
        <v>1753</v>
      </c>
      <c r="P459" s="185">
        <v>1</v>
      </c>
      <c r="Q459" s="186">
        <v>1</v>
      </c>
      <c r="R459" s="186">
        <v>1</v>
      </c>
      <c r="S459" s="186">
        <v>1</v>
      </c>
      <c r="T459" s="186" t="s">
        <v>1628</v>
      </c>
      <c r="U459" s="87" t="s">
        <v>941</v>
      </c>
      <c r="V459" s="11">
        <v>0.2</v>
      </c>
      <c r="W459" s="9" t="s">
        <v>942</v>
      </c>
      <c r="X459" s="9"/>
      <c r="Y459" s="9" t="s">
        <v>2587</v>
      </c>
      <c r="Z459" s="9" t="s">
        <v>2562</v>
      </c>
      <c r="AA459" s="239">
        <f t="shared" si="65"/>
        <v>1.2988000000000001E-3</v>
      </c>
      <c r="AB459" s="252">
        <v>0</v>
      </c>
      <c r="AC459" s="262">
        <f>+(Tabla1[[#This Row],[Avance PDI]]*100%)/Tabla1[[#This Row],[ponderacion_meta]]</f>
        <v>0</v>
      </c>
      <c r="AD459" s="257">
        <v>1.6234999999999999E-3</v>
      </c>
      <c r="AE459" s="257">
        <v>1.6234999999999999E-3</v>
      </c>
      <c r="AF459" s="257">
        <v>1.6234999999999999E-3</v>
      </c>
      <c r="AG459" s="257">
        <v>1.6234999999999999E-3</v>
      </c>
      <c r="AH459" s="393">
        <f t="shared" si="68"/>
        <v>1.03071E-2</v>
      </c>
      <c r="AI459" s="393">
        <f t="shared" si="69"/>
        <v>7.1052631578947381E-2</v>
      </c>
      <c r="AJ459" s="316">
        <f t="shared" si="67"/>
        <v>7.1052631578947381E-2</v>
      </c>
      <c r="AK459" s="392">
        <v>6.4107000000000001E-3</v>
      </c>
      <c r="AL459" s="409">
        <f t="shared" si="70"/>
        <v>8.3333333333333356E-2</v>
      </c>
      <c r="AM459" s="327">
        <v>0</v>
      </c>
      <c r="AN459" s="410">
        <f t="shared" si="71"/>
        <v>8.3333333333333356E-2</v>
      </c>
      <c r="AO459" s="359" t="e">
        <f>+([1]!Tabla1[[#This Row],[ponderacion_accion]]/4)*AQ459</f>
        <v>#REF!</v>
      </c>
      <c r="AP459" s="359" t="e">
        <f>Tabla1[[#This Row],[ponderacion_meta]]*AO459</f>
        <v>#REF!</v>
      </c>
      <c r="AQ459" s="511">
        <v>2</v>
      </c>
      <c r="AR459" s="380">
        <v>0</v>
      </c>
      <c r="AS459" s="9"/>
      <c r="AT459" s="521">
        <v>0</v>
      </c>
    </row>
    <row r="460" spans="1:46" ht="15" customHeight="1" x14ac:dyDescent="0.35">
      <c r="A460" s="236" t="s">
        <v>1152</v>
      </c>
      <c r="B460" s="237" t="s">
        <v>880</v>
      </c>
      <c r="C460" s="237" t="s">
        <v>1721</v>
      </c>
      <c r="D460" s="237" t="s">
        <v>1166</v>
      </c>
      <c r="E460" s="176" t="s">
        <v>881</v>
      </c>
      <c r="F460" s="176" t="s">
        <v>2616</v>
      </c>
      <c r="G460" s="170" t="s">
        <v>882</v>
      </c>
      <c r="H460" s="170" t="s">
        <v>1750</v>
      </c>
      <c r="I460" s="13" t="s">
        <v>937</v>
      </c>
      <c r="J460" s="265">
        <v>6.4939999999999998E-3</v>
      </c>
      <c r="K460" s="9" t="s">
        <v>938</v>
      </c>
      <c r="L460" s="150">
        <v>0</v>
      </c>
      <c r="M460" s="150">
        <v>0</v>
      </c>
      <c r="N460" s="458"/>
      <c r="O460" s="458" t="s">
        <v>1753</v>
      </c>
      <c r="P460" s="185">
        <v>1</v>
      </c>
      <c r="Q460" s="186">
        <v>1</v>
      </c>
      <c r="R460" s="186">
        <v>1</v>
      </c>
      <c r="S460" s="186">
        <v>1</v>
      </c>
      <c r="T460" s="186" t="s">
        <v>1629</v>
      </c>
      <c r="U460" s="87" t="s">
        <v>943</v>
      </c>
      <c r="V460" s="11">
        <v>0.6</v>
      </c>
      <c r="W460" s="9" t="s">
        <v>944</v>
      </c>
      <c r="X460" s="9"/>
      <c r="Y460" s="9" t="s">
        <v>2587</v>
      </c>
      <c r="Z460" s="9" t="s">
        <v>2562</v>
      </c>
      <c r="AA460" s="239">
        <f t="shared" si="65"/>
        <v>3.8963999999999995E-3</v>
      </c>
      <c r="AB460" s="252">
        <v>0</v>
      </c>
      <c r="AC460" s="262">
        <f>+(Tabla1[[#This Row],[Avance PDI]]*100%)/Tabla1[[#This Row],[ponderacion_meta]]</f>
        <v>0</v>
      </c>
      <c r="AD460" s="257">
        <v>1.6234999999999999E-3</v>
      </c>
      <c r="AE460" s="257">
        <v>1.6234999999999999E-3</v>
      </c>
      <c r="AF460" s="257">
        <v>1.6234999999999999E-3</v>
      </c>
      <c r="AG460" s="257">
        <v>1.6234999999999999E-3</v>
      </c>
      <c r="AH460" s="393">
        <f t="shared" si="68"/>
        <v>1.03071E-2</v>
      </c>
      <c r="AI460" s="393">
        <f t="shared" si="69"/>
        <v>7.1052631578947381E-2</v>
      </c>
      <c r="AJ460" s="316">
        <f t="shared" si="67"/>
        <v>7.1052631578947381E-2</v>
      </c>
      <c r="AK460" s="392">
        <v>6.4107000000000001E-3</v>
      </c>
      <c r="AL460" s="409">
        <f t="shared" si="70"/>
        <v>8.3333333333333356E-2</v>
      </c>
      <c r="AM460" s="327">
        <v>0</v>
      </c>
      <c r="AN460" s="410">
        <f t="shared" si="71"/>
        <v>8.3333333333333356E-2</v>
      </c>
      <c r="AO460" s="360" t="e">
        <f>+([1]!Tabla1[[#This Row],[ponderacion_accion]]/4)*AQ460</f>
        <v>#REF!</v>
      </c>
      <c r="AP460" s="360" t="e">
        <f>Tabla1[[#This Row],[ponderacion_meta]]*AO460</f>
        <v>#REF!</v>
      </c>
      <c r="AQ460" s="512">
        <v>1</v>
      </c>
      <c r="AR460" s="380">
        <v>0</v>
      </c>
      <c r="AS460" s="9"/>
      <c r="AT460" s="521">
        <v>0</v>
      </c>
    </row>
    <row r="461" spans="1:46" ht="15" customHeight="1" x14ac:dyDescent="0.35">
      <c r="A461" s="236" t="s">
        <v>1152</v>
      </c>
      <c r="B461" s="237" t="s">
        <v>880</v>
      </c>
      <c r="C461" s="237" t="s">
        <v>1721</v>
      </c>
      <c r="D461" s="237" t="s">
        <v>1166</v>
      </c>
      <c r="E461" s="176" t="s">
        <v>881</v>
      </c>
      <c r="F461" s="176" t="s">
        <v>2616</v>
      </c>
      <c r="G461" s="170" t="s">
        <v>882</v>
      </c>
      <c r="H461" s="170" t="s">
        <v>1750</v>
      </c>
      <c r="I461" s="12" t="s">
        <v>945</v>
      </c>
      <c r="J461" s="264">
        <v>6.4939999999999998E-3</v>
      </c>
      <c r="K461" s="6" t="s">
        <v>946</v>
      </c>
      <c r="L461" s="148">
        <v>274000000</v>
      </c>
      <c r="M461" s="148">
        <v>0</v>
      </c>
      <c r="N461" s="456"/>
      <c r="O461" s="456" t="s">
        <v>2622</v>
      </c>
      <c r="P461" s="192">
        <v>1</v>
      </c>
      <c r="Q461" s="193">
        <v>1</v>
      </c>
      <c r="R461" s="193">
        <v>1</v>
      </c>
      <c r="S461" s="193">
        <v>1</v>
      </c>
      <c r="T461" s="193" t="s">
        <v>1630</v>
      </c>
      <c r="U461" s="88" t="s">
        <v>947</v>
      </c>
      <c r="V461" s="10">
        <v>0.2</v>
      </c>
      <c r="W461" s="6" t="s">
        <v>948</v>
      </c>
      <c r="X461" s="6"/>
      <c r="Y461" s="6" t="s">
        <v>2587</v>
      </c>
      <c r="Z461" s="6" t="s">
        <v>2565</v>
      </c>
      <c r="AA461" s="238">
        <f t="shared" si="65"/>
        <v>1.2988000000000001E-3</v>
      </c>
      <c r="AB461" s="254">
        <f>+Tabla1[[#This Row],[ponderacion_meta]]*Tabla1[[#This Row],[ponderacion_accion]]</f>
        <v>1.2988000000000001E-3</v>
      </c>
      <c r="AC461" s="278">
        <f>+(Tabla1[[#This Row],[Avance PDI]]*100%)/Tabla1[[#This Row],[ponderacion_meta]]</f>
        <v>0.20000000000000004</v>
      </c>
      <c r="AD461" s="279">
        <f>+Tabla1[[#This Row],[ponderacion_meta]]/4*Tabla1[[#This Row],[proyeccion_año1]]</f>
        <v>1.6234999999999999E-3</v>
      </c>
      <c r="AE461" s="279">
        <f>+Tabla1[[#This Row],[ponderacion_meta]]/4*Tabla1[[#This Row],[proyeccion_año2]]</f>
        <v>1.6234999999999999E-3</v>
      </c>
      <c r="AF461" s="279">
        <f>+Tabla1[[#This Row],[ponderacion_meta]]/4*Tabla1[[#This Row],[proyeccion_año3]]</f>
        <v>1.6234999999999999E-3</v>
      </c>
      <c r="AG461" s="279">
        <f>+Tabla1[[#This Row],[ponderacion_meta]]/4*Tabla1[[#This Row],[proyeccion_año4]]</f>
        <v>1.6234999999999999E-3</v>
      </c>
      <c r="AH461" s="393">
        <f t="shared" si="68"/>
        <v>1.03071E-2</v>
      </c>
      <c r="AI461" s="393">
        <f t="shared" si="69"/>
        <v>7.1052631578947381E-2</v>
      </c>
      <c r="AJ461" s="316">
        <f t="shared" si="67"/>
        <v>7.1052631578947381E-2</v>
      </c>
      <c r="AK461" s="392">
        <v>6.4107000000000001E-3</v>
      </c>
      <c r="AL461" s="409">
        <f t="shared" si="70"/>
        <v>8.3333333333333356E-2</v>
      </c>
      <c r="AM461" s="327">
        <v>0</v>
      </c>
      <c r="AN461" s="410">
        <f t="shared" si="71"/>
        <v>8.3333333333333356E-2</v>
      </c>
      <c r="AO461" s="343" t="e">
        <f>+([1]!Tabla1[[#This Row],[ponderacion_accion]]/4)*AQ461</f>
        <v>#REF!</v>
      </c>
      <c r="AP461" s="343" t="e">
        <f>Tabla1[[#This Row],[ponderacion_meta]]*AO461</f>
        <v>#REF!</v>
      </c>
      <c r="AQ461" s="513">
        <v>1</v>
      </c>
      <c r="AR461" s="377">
        <v>0</v>
      </c>
      <c r="AS461" s="7" t="e">
        <f>+((SUM(AO461:AO464)*100))/25</f>
        <v>#REF!</v>
      </c>
      <c r="AT461" s="521">
        <v>0</v>
      </c>
    </row>
    <row r="462" spans="1:46" ht="15" customHeight="1" x14ac:dyDescent="0.35">
      <c r="A462" s="236" t="s">
        <v>1152</v>
      </c>
      <c r="B462" s="237" t="s">
        <v>880</v>
      </c>
      <c r="C462" s="237" t="s">
        <v>1721</v>
      </c>
      <c r="D462" s="237" t="s">
        <v>1166</v>
      </c>
      <c r="E462" s="176" t="s">
        <v>881</v>
      </c>
      <c r="F462" s="176" t="s">
        <v>2616</v>
      </c>
      <c r="G462" s="170" t="s">
        <v>882</v>
      </c>
      <c r="H462" s="170" t="s">
        <v>1750</v>
      </c>
      <c r="I462" s="12" t="s">
        <v>945</v>
      </c>
      <c r="J462" s="264">
        <v>6.4939999999999998E-3</v>
      </c>
      <c r="K462" s="6" t="s">
        <v>946</v>
      </c>
      <c r="L462" s="148">
        <v>274000000</v>
      </c>
      <c r="M462" s="148">
        <v>0</v>
      </c>
      <c r="N462" s="456"/>
      <c r="O462" s="456" t="s">
        <v>2622</v>
      </c>
      <c r="P462" s="192">
        <v>1</v>
      </c>
      <c r="Q462" s="193">
        <v>1</v>
      </c>
      <c r="R462" s="193">
        <v>1</v>
      </c>
      <c r="S462" s="193">
        <v>1</v>
      </c>
      <c r="T462" s="193" t="s">
        <v>1631</v>
      </c>
      <c r="U462" s="88" t="s">
        <v>949</v>
      </c>
      <c r="V462" s="10">
        <v>0.1</v>
      </c>
      <c r="W462" s="6" t="s">
        <v>422</v>
      </c>
      <c r="X462" s="6"/>
      <c r="Y462" s="6" t="s">
        <v>2587</v>
      </c>
      <c r="Z462" s="6" t="s">
        <v>2565</v>
      </c>
      <c r="AA462" s="238">
        <f t="shared" si="65"/>
        <v>6.4940000000000006E-4</v>
      </c>
      <c r="AB462" s="252">
        <v>0</v>
      </c>
      <c r="AC462" s="278">
        <f>+(Tabla1[[#This Row],[Avance PDI]]*100%)/Tabla1[[#This Row],[ponderacion_meta]]</f>
        <v>0</v>
      </c>
      <c r="AD462" s="279">
        <v>1.6234999999999999E-3</v>
      </c>
      <c r="AE462" s="279">
        <v>1.6234999999999999E-3</v>
      </c>
      <c r="AF462" s="279">
        <v>1.6234999999999999E-3</v>
      </c>
      <c r="AG462" s="279">
        <v>1.6234999999999999E-3</v>
      </c>
      <c r="AH462" s="393">
        <f t="shared" si="68"/>
        <v>1.03071E-2</v>
      </c>
      <c r="AI462" s="393">
        <f t="shared" si="69"/>
        <v>7.1052631578947381E-2</v>
      </c>
      <c r="AJ462" s="316">
        <f t="shared" si="67"/>
        <v>7.1052631578947381E-2</v>
      </c>
      <c r="AK462" s="392">
        <v>6.4107000000000001E-3</v>
      </c>
      <c r="AL462" s="409">
        <f t="shared" si="70"/>
        <v>8.3333333333333356E-2</v>
      </c>
      <c r="AM462" s="327">
        <v>0</v>
      </c>
      <c r="AN462" s="410">
        <f t="shared" si="71"/>
        <v>8.3333333333333356E-2</v>
      </c>
      <c r="AO462" s="344" t="e">
        <f>+([1]!Tabla1[[#This Row],[ponderacion_accion]]/4)*AQ462</f>
        <v>#REF!</v>
      </c>
      <c r="AP462" s="344" t="e">
        <f>Tabla1[[#This Row],[ponderacion_meta]]*AO462</f>
        <v>#REF!</v>
      </c>
      <c r="AQ462" s="354">
        <v>1</v>
      </c>
      <c r="AR462" s="378">
        <v>0</v>
      </c>
      <c r="AS462" s="9"/>
      <c r="AT462" s="521">
        <v>0</v>
      </c>
    </row>
    <row r="463" spans="1:46" ht="15" customHeight="1" x14ac:dyDescent="0.35">
      <c r="A463" s="236" t="s">
        <v>1152</v>
      </c>
      <c r="B463" s="237" t="s">
        <v>880</v>
      </c>
      <c r="C463" s="237" t="s">
        <v>1721</v>
      </c>
      <c r="D463" s="237" t="s">
        <v>1166</v>
      </c>
      <c r="E463" s="176" t="s">
        <v>881</v>
      </c>
      <c r="F463" s="176" t="s">
        <v>2616</v>
      </c>
      <c r="G463" s="170" t="s">
        <v>882</v>
      </c>
      <c r="H463" s="170" t="s">
        <v>1750</v>
      </c>
      <c r="I463" s="12" t="s">
        <v>945</v>
      </c>
      <c r="J463" s="264">
        <v>6.4939999999999998E-3</v>
      </c>
      <c r="K463" s="6" t="s">
        <v>946</v>
      </c>
      <c r="L463" s="148">
        <v>274000000</v>
      </c>
      <c r="M463" s="148">
        <v>0</v>
      </c>
      <c r="N463" s="456"/>
      <c r="O463" s="456" t="s">
        <v>2622</v>
      </c>
      <c r="P463" s="192">
        <v>1</v>
      </c>
      <c r="Q463" s="193">
        <v>1</v>
      </c>
      <c r="R463" s="193">
        <v>1</v>
      </c>
      <c r="S463" s="193">
        <v>1</v>
      </c>
      <c r="T463" s="193" t="s">
        <v>1632</v>
      </c>
      <c r="U463" s="88" t="s">
        <v>950</v>
      </c>
      <c r="V463" s="10">
        <v>0.2</v>
      </c>
      <c r="W463" s="6" t="s">
        <v>951</v>
      </c>
      <c r="X463" s="6"/>
      <c r="Y463" s="6" t="s">
        <v>2587</v>
      </c>
      <c r="Z463" s="6" t="s">
        <v>2565</v>
      </c>
      <c r="AA463" s="238">
        <f t="shared" si="65"/>
        <v>1.2988000000000001E-3</v>
      </c>
      <c r="AB463" s="252">
        <v>0</v>
      </c>
      <c r="AC463" s="278">
        <f>+(Tabla1[[#This Row],[Avance PDI]]*100%)/Tabla1[[#This Row],[ponderacion_meta]]</f>
        <v>0</v>
      </c>
      <c r="AD463" s="279">
        <v>1.6234999999999999E-3</v>
      </c>
      <c r="AE463" s="279">
        <v>1.6234999999999999E-3</v>
      </c>
      <c r="AF463" s="279">
        <v>1.6234999999999999E-3</v>
      </c>
      <c r="AG463" s="279">
        <v>1.6234999999999999E-3</v>
      </c>
      <c r="AH463" s="393">
        <f t="shared" si="68"/>
        <v>1.03071E-2</v>
      </c>
      <c r="AI463" s="393">
        <f t="shared" si="69"/>
        <v>7.1052631578947381E-2</v>
      </c>
      <c r="AJ463" s="316">
        <f t="shared" si="67"/>
        <v>7.1052631578947381E-2</v>
      </c>
      <c r="AK463" s="392">
        <v>6.4107000000000001E-3</v>
      </c>
      <c r="AL463" s="409">
        <f t="shared" si="70"/>
        <v>8.3333333333333356E-2</v>
      </c>
      <c r="AM463" s="327">
        <v>0</v>
      </c>
      <c r="AN463" s="410">
        <f t="shared" si="71"/>
        <v>8.3333333333333356E-2</v>
      </c>
      <c r="AO463" s="344" t="e">
        <f>+([1]!Tabla1[[#This Row],[ponderacion_accion]]/4)*AQ463</f>
        <v>#REF!</v>
      </c>
      <c r="AP463" s="344" t="e">
        <f>Tabla1[[#This Row],[ponderacion_meta]]*AO463</f>
        <v>#REF!</v>
      </c>
      <c r="AQ463" s="354">
        <v>1</v>
      </c>
      <c r="AR463" s="378">
        <v>0</v>
      </c>
      <c r="AS463" s="9"/>
      <c r="AT463" s="521">
        <v>0</v>
      </c>
    </row>
    <row r="464" spans="1:46" ht="15" customHeight="1" x14ac:dyDescent="0.35">
      <c r="A464" s="236" t="s">
        <v>1152</v>
      </c>
      <c r="B464" s="237" t="s">
        <v>880</v>
      </c>
      <c r="C464" s="237" t="s">
        <v>1721</v>
      </c>
      <c r="D464" s="237" t="s">
        <v>1166</v>
      </c>
      <c r="E464" s="176" t="s">
        <v>881</v>
      </c>
      <c r="F464" s="176" t="s">
        <v>2616</v>
      </c>
      <c r="G464" s="170" t="s">
        <v>882</v>
      </c>
      <c r="H464" s="170" t="s">
        <v>1750</v>
      </c>
      <c r="I464" s="12" t="s">
        <v>945</v>
      </c>
      <c r="J464" s="264">
        <v>6.4939999999999998E-3</v>
      </c>
      <c r="K464" s="6" t="s">
        <v>946</v>
      </c>
      <c r="L464" s="148">
        <v>274000000</v>
      </c>
      <c r="M464" s="148">
        <v>0</v>
      </c>
      <c r="N464" s="456"/>
      <c r="O464" s="456" t="s">
        <v>2622</v>
      </c>
      <c r="P464" s="192">
        <v>1</v>
      </c>
      <c r="Q464" s="193">
        <v>1</v>
      </c>
      <c r="R464" s="193">
        <v>1</v>
      </c>
      <c r="S464" s="193">
        <v>1</v>
      </c>
      <c r="T464" s="193" t="s">
        <v>1633</v>
      </c>
      <c r="U464" s="88" t="s">
        <v>952</v>
      </c>
      <c r="V464" s="10">
        <v>0.5</v>
      </c>
      <c r="W464" s="6" t="s">
        <v>953</v>
      </c>
      <c r="X464" s="6"/>
      <c r="Y464" s="6" t="s">
        <v>2587</v>
      </c>
      <c r="Z464" s="6" t="s">
        <v>2565</v>
      </c>
      <c r="AA464" s="238">
        <f t="shared" si="65"/>
        <v>3.2469999999999999E-3</v>
      </c>
      <c r="AB464" s="252">
        <v>0</v>
      </c>
      <c r="AC464" s="278">
        <f>+(Tabla1[[#This Row],[Avance PDI]]*100%)/Tabla1[[#This Row],[ponderacion_meta]]</f>
        <v>0</v>
      </c>
      <c r="AD464" s="279">
        <v>1.6234999999999999E-3</v>
      </c>
      <c r="AE464" s="279">
        <v>1.6234999999999999E-3</v>
      </c>
      <c r="AF464" s="279">
        <v>1.6234999999999999E-3</v>
      </c>
      <c r="AG464" s="279">
        <v>1.6234999999999999E-3</v>
      </c>
      <c r="AH464" s="393">
        <f t="shared" si="68"/>
        <v>1.03071E-2</v>
      </c>
      <c r="AI464" s="393">
        <f t="shared" si="69"/>
        <v>7.1052631578947381E-2</v>
      </c>
      <c r="AJ464" s="316">
        <f t="shared" si="67"/>
        <v>7.1052631578947381E-2</v>
      </c>
      <c r="AK464" s="392">
        <v>6.4107000000000001E-3</v>
      </c>
      <c r="AL464" s="409">
        <f t="shared" si="70"/>
        <v>8.3333333333333356E-2</v>
      </c>
      <c r="AM464" s="327">
        <v>0</v>
      </c>
      <c r="AN464" s="410">
        <f t="shared" si="71"/>
        <v>8.3333333333333356E-2</v>
      </c>
      <c r="AO464" s="345" t="e">
        <f>+([1]!Tabla1[[#This Row],[ponderacion_accion]]/4)*AQ464</f>
        <v>#REF!</v>
      </c>
      <c r="AP464" s="345" t="e">
        <f>Tabla1[[#This Row],[ponderacion_meta]]*AO464</f>
        <v>#REF!</v>
      </c>
      <c r="AQ464" s="357">
        <v>1</v>
      </c>
      <c r="AR464" s="379">
        <v>0</v>
      </c>
      <c r="AS464" s="9"/>
      <c r="AT464" s="521">
        <v>0</v>
      </c>
    </row>
    <row r="465" spans="1:46" ht="15" customHeight="1" x14ac:dyDescent="0.35">
      <c r="A465" s="236" t="s">
        <v>1152</v>
      </c>
      <c r="B465" s="237" t="s">
        <v>880</v>
      </c>
      <c r="C465" s="237" t="s">
        <v>1721</v>
      </c>
      <c r="D465" s="237" t="s">
        <v>1166</v>
      </c>
      <c r="E465" s="176" t="s">
        <v>881</v>
      </c>
      <c r="F465" s="176" t="s">
        <v>2616</v>
      </c>
      <c r="G465" s="170" t="s">
        <v>882</v>
      </c>
      <c r="H465" s="170" t="s">
        <v>1750</v>
      </c>
      <c r="I465" s="13" t="s">
        <v>954</v>
      </c>
      <c r="J465" s="265">
        <v>6.4939999999999998E-3</v>
      </c>
      <c r="K465" s="9" t="s">
        <v>955</v>
      </c>
      <c r="L465" s="147">
        <v>560000000</v>
      </c>
      <c r="M465" s="147">
        <v>0</v>
      </c>
      <c r="N465" s="455"/>
      <c r="O465" s="455" t="s">
        <v>2622</v>
      </c>
      <c r="P465" s="194">
        <v>0</v>
      </c>
      <c r="Q465" s="195">
        <v>0</v>
      </c>
      <c r="R465" s="195">
        <v>1</v>
      </c>
      <c r="S465" s="195">
        <v>0</v>
      </c>
      <c r="T465" s="195" t="s">
        <v>1634</v>
      </c>
      <c r="U465" s="87" t="s">
        <v>956</v>
      </c>
      <c r="V465" s="11">
        <v>0.1</v>
      </c>
      <c r="W465" s="9" t="s">
        <v>957</v>
      </c>
      <c r="X465" s="9"/>
      <c r="Y465" s="9" t="s">
        <v>2588</v>
      </c>
      <c r="Z465" s="9" t="s">
        <v>2565</v>
      </c>
      <c r="AA465" s="239">
        <f t="shared" si="65"/>
        <v>6.4940000000000006E-4</v>
      </c>
      <c r="AB465" s="252">
        <v>0</v>
      </c>
      <c r="AC465" s="262">
        <f>+(Tabla1[[#This Row],[Avance PDI]]*100%)/Tabla1[[#This Row],[ponderacion_meta]]</f>
        <v>0</v>
      </c>
      <c r="AD465" s="257">
        <v>0</v>
      </c>
      <c r="AE465" s="257">
        <f>+Tabla1[[#This Row],[ponderacion_meta]]*Tabla1[[#This Row],[proyeccion_año2]]</f>
        <v>0</v>
      </c>
      <c r="AF465" s="257">
        <f>+Tabla1[[#This Row],[ponderacion_meta]]*Tabla1[[#This Row],[proyeccion_año3]]</f>
        <v>6.4939999999999998E-3</v>
      </c>
      <c r="AG465" s="257">
        <f>+Tabla1[[#This Row],[ponderacion_meta]]*Tabla1[[#This Row],[proyeccion_año4]]</f>
        <v>0</v>
      </c>
      <c r="AH465" s="393">
        <f t="shared" si="68"/>
        <v>1.03071E-2</v>
      </c>
      <c r="AI465" s="393">
        <f t="shared" si="69"/>
        <v>7.1052631578947381E-2</v>
      </c>
      <c r="AJ465" s="316">
        <f t="shared" si="67"/>
        <v>7.1052631578947381E-2</v>
      </c>
      <c r="AK465" s="392">
        <v>6.4107000000000001E-3</v>
      </c>
      <c r="AL465" s="409">
        <f t="shared" si="70"/>
        <v>8.3333333333333356E-2</v>
      </c>
      <c r="AM465" s="327">
        <v>0</v>
      </c>
      <c r="AN465" s="410">
        <f t="shared" si="71"/>
        <v>8.3333333333333356E-2</v>
      </c>
      <c r="AO465" s="358" t="e">
        <f>+([1]!Tabla1[[#This Row],[ponderacion_accion]]/10%)*AQ465</f>
        <v>#REF!</v>
      </c>
      <c r="AP465" s="358" t="e">
        <f>Tabla1[[#This Row],[ponderacion_meta]]*AO465</f>
        <v>#REF!</v>
      </c>
      <c r="AQ465" s="349"/>
      <c r="AR465" s="380">
        <v>0</v>
      </c>
      <c r="AS465" s="7" t="e">
        <f>+((SUM(AO465:AO471)*100))/0</f>
        <v>#REF!</v>
      </c>
      <c r="AT465" s="521">
        <v>0</v>
      </c>
    </row>
    <row r="466" spans="1:46" ht="15" customHeight="1" x14ac:dyDescent="0.35">
      <c r="A466" s="236" t="s">
        <v>1152</v>
      </c>
      <c r="B466" s="237" t="s">
        <v>880</v>
      </c>
      <c r="C466" s="237" t="s">
        <v>1721</v>
      </c>
      <c r="D466" s="237" t="s">
        <v>1166</v>
      </c>
      <c r="E466" s="176" t="s">
        <v>881</v>
      </c>
      <c r="F466" s="176" t="s">
        <v>2616</v>
      </c>
      <c r="G466" s="170" t="s">
        <v>882</v>
      </c>
      <c r="H466" s="170" t="s">
        <v>1750</v>
      </c>
      <c r="I466" s="13" t="s">
        <v>954</v>
      </c>
      <c r="J466" s="265">
        <v>6.4939999999999998E-3</v>
      </c>
      <c r="K466" s="9" t="s">
        <v>955</v>
      </c>
      <c r="L466" s="147">
        <v>560000000</v>
      </c>
      <c r="M466" s="147">
        <v>0</v>
      </c>
      <c r="N466" s="455"/>
      <c r="O466" s="455" t="s">
        <v>2622</v>
      </c>
      <c r="P466" s="194">
        <v>0</v>
      </c>
      <c r="Q466" s="195">
        <v>0</v>
      </c>
      <c r="R466" s="195">
        <v>1</v>
      </c>
      <c r="S466" s="195">
        <v>0</v>
      </c>
      <c r="T466" s="195" t="s">
        <v>1635</v>
      </c>
      <c r="U466" s="87" t="s">
        <v>958</v>
      </c>
      <c r="V466" s="11">
        <v>0.1</v>
      </c>
      <c r="W466" s="9" t="s">
        <v>459</v>
      </c>
      <c r="X466" s="9"/>
      <c r="Y466" s="9" t="s">
        <v>2588</v>
      </c>
      <c r="Z466" s="9" t="s">
        <v>2565</v>
      </c>
      <c r="AA466" s="239">
        <f t="shared" si="65"/>
        <v>6.4940000000000006E-4</v>
      </c>
      <c r="AB466" s="252">
        <v>0</v>
      </c>
      <c r="AC466" s="262">
        <f>+(Tabla1[[#This Row],[Avance PDI]]*100%)/Tabla1[[#This Row],[ponderacion_meta]]</f>
        <v>0</v>
      </c>
      <c r="AD466" s="257">
        <v>0</v>
      </c>
      <c r="AE466" s="257">
        <v>0</v>
      </c>
      <c r="AF466" s="257">
        <v>6.4939999999999998E-3</v>
      </c>
      <c r="AG466" s="257">
        <v>0</v>
      </c>
      <c r="AH466" s="393">
        <f t="shared" si="68"/>
        <v>1.03071E-2</v>
      </c>
      <c r="AI466" s="393">
        <f t="shared" si="69"/>
        <v>7.1052631578947381E-2</v>
      </c>
      <c r="AJ466" s="316">
        <f t="shared" si="67"/>
        <v>7.1052631578947381E-2</v>
      </c>
      <c r="AK466" s="392">
        <v>6.4107000000000001E-3</v>
      </c>
      <c r="AL466" s="409">
        <f t="shared" si="70"/>
        <v>8.3333333333333356E-2</v>
      </c>
      <c r="AM466" s="327">
        <v>0</v>
      </c>
      <c r="AN466" s="410">
        <f t="shared" si="71"/>
        <v>8.3333333333333356E-2</v>
      </c>
      <c r="AO466" s="359" t="e">
        <f>+([1]!Tabla1[[#This Row],[ponderacion_accion]]/10%)*AQ466</f>
        <v>#REF!</v>
      </c>
      <c r="AP466" s="359" t="e">
        <f>Tabla1[[#This Row],[ponderacion_meta]]*AO466</f>
        <v>#REF!</v>
      </c>
      <c r="AQ466" s="351"/>
      <c r="AR466" s="380">
        <v>0</v>
      </c>
      <c r="AS466" s="9"/>
      <c r="AT466" s="521">
        <v>0</v>
      </c>
    </row>
    <row r="467" spans="1:46" ht="15" customHeight="1" x14ac:dyDescent="0.35">
      <c r="A467" s="236" t="s">
        <v>1152</v>
      </c>
      <c r="B467" s="237" t="s">
        <v>880</v>
      </c>
      <c r="C467" s="237" t="s">
        <v>1721</v>
      </c>
      <c r="D467" s="237" t="s">
        <v>1166</v>
      </c>
      <c r="E467" s="176" t="s">
        <v>881</v>
      </c>
      <c r="F467" s="176" t="s">
        <v>2616</v>
      </c>
      <c r="G467" s="170" t="s">
        <v>882</v>
      </c>
      <c r="H467" s="170" t="s">
        <v>1750</v>
      </c>
      <c r="I467" s="13" t="s">
        <v>954</v>
      </c>
      <c r="J467" s="265">
        <v>6.4939999999999998E-3</v>
      </c>
      <c r="K467" s="9" t="s">
        <v>955</v>
      </c>
      <c r="L467" s="147">
        <v>560000000</v>
      </c>
      <c r="M467" s="147">
        <v>0</v>
      </c>
      <c r="N467" s="455"/>
      <c r="O467" s="455" t="s">
        <v>2622</v>
      </c>
      <c r="P467" s="194">
        <v>0</v>
      </c>
      <c r="Q467" s="195">
        <v>0</v>
      </c>
      <c r="R467" s="195">
        <v>1</v>
      </c>
      <c r="S467" s="195">
        <v>0</v>
      </c>
      <c r="T467" s="195" t="s">
        <v>1636</v>
      </c>
      <c r="U467" s="87" t="s">
        <v>959</v>
      </c>
      <c r="V467" s="11">
        <v>0.1</v>
      </c>
      <c r="W467" s="9" t="s">
        <v>951</v>
      </c>
      <c r="X467" s="9"/>
      <c r="Y467" s="9" t="s">
        <v>2588</v>
      </c>
      <c r="Z467" s="9" t="s">
        <v>2565</v>
      </c>
      <c r="AA467" s="239">
        <f t="shared" si="65"/>
        <v>6.4940000000000006E-4</v>
      </c>
      <c r="AB467" s="252">
        <v>0</v>
      </c>
      <c r="AC467" s="262">
        <f>+(Tabla1[[#This Row],[Avance PDI]]*100%)/Tabla1[[#This Row],[ponderacion_meta]]</f>
        <v>0</v>
      </c>
      <c r="AD467" s="257">
        <v>0</v>
      </c>
      <c r="AE467" s="257">
        <v>0</v>
      </c>
      <c r="AF467" s="257">
        <v>6.4939999999999998E-3</v>
      </c>
      <c r="AG467" s="257">
        <v>0</v>
      </c>
      <c r="AH467" s="393">
        <f t="shared" si="68"/>
        <v>1.03071E-2</v>
      </c>
      <c r="AI467" s="393">
        <f t="shared" si="69"/>
        <v>7.1052631578947381E-2</v>
      </c>
      <c r="AJ467" s="316">
        <f t="shared" si="67"/>
        <v>7.1052631578947381E-2</v>
      </c>
      <c r="AK467" s="392">
        <v>6.4107000000000001E-3</v>
      </c>
      <c r="AL467" s="409">
        <f t="shared" si="70"/>
        <v>8.3333333333333356E-2</v>
      </c>
      <c r="AM467" s="327">
        <v>0</v>
      </c>
      <c r="AN467" s="410">
        <f t="shared" si="71"/>
        <v>8.3333333333333356E-2</v>
      </c>
      <c r="AO467" s="359" t="e">
        <f>+([1]!Tabla1[[#This Row],[ponderacion_accion]]/10%)*AQ467</f>
        <v>#REF!</v>
      </c>
      <c r="AP467" s="359" t="e">
        <f>Tabla1[[#This Row],[ponderacion_meta]]*AO467</f>
        <v>#REF!</v>
      </c>
      <c r="AQ467" s="351"/>
      <c r="AR467" s="380">
        <v>0</v>
      </c>
      <c r="AS467" s="9"/>
      <c r="AT467" s="521">
        <v>0</v>
      </c>
    </row>
    <row r="468" spans="1:46" ht="15" customHeight="1" x14ac:dyDescent="0.35">
      <c r="A468" s="236" t="s">
        <v>1152</v>
      </c>
      <c r="B468" s="237" t="s">
        <v>880</v>
      </c>
      <c r="C468" s="237" t="s">
        <v>1721</v>
      </c>
      <c r="D468" s="237" t="s">
        <v>1166</v>
      </c>
      <c r="E468" s="176" t="s">
        <v>881</v>
      </c>
      <c r="F468" s="176" t="s">
        <v>2616</v>
      </c>
      <c r="G468" s="170" t="s">
        <v>882</v>
      </c>
      <c r="H468" s="170" t="s">
        <v>1750</v>
      </c>
      <c r="I468" s="13" t="s">
        <v>954</v>
      </c>
      <c r="J468" s="265">
        <v>6.4939999999999998E-3</v>
      </c>
      <c r="K468" s="9" t="s">
        <v>955</v>
      </c>
      <c r="L468" s="147">
        <v>560000000</v>
      </c>
      <c r="M468" s="147">
        <v>0</v>
      </c>
      <c r="N468" s="455"/>
      <c r="O468" s="455" t="s">
        <v>2622</v>
      </c>
      <c r="P468" s="194">
        <v>0</v>
      </c>
      <c r="Q468" s="195">
        <v>0</v>
      </c>
      <c r="R468" s="195">
        <v>1</v>
      </c>
      <c r="S468" s="195">
        <v>0</v>
      </c>
      <c r="T468" s="195" t="s">
        <v>1637</v>
      </c>
      <c r="U468" s="87" t="s">
        <v>960</v>
      </c>
      <c r="V468" s="11">
        <v>0.05</v>
      </c>
      <c r="W468" s="9" t="s">
        <v>961</v>
      </c>
      <c r="X468" s="9"/>
      <c r="Y468" s="9" t="s">
        <v>2588</v>
      </c>
      <c r="Z468" s="9" t="s">
        <v>2565</v>
      </c>
      <c r="AA468" s="239">
        <f t="shared" si="65"/>
        <v>3.2470000000000003E-4</v>
      </c>
      <c r="AB468" s="252">
        <v>0</v>
      </c>
      <c r="AC468" s="262">
        <f>+(Tabla1[[#This Row],[Avance PDI]]*100%)/Tabla1[[#This Row],[ponderacion_meta]]</f>
        <v>0</v>
      </c>
      <c r="AD468" s="257">
        <v>0</v>
      </c>
      <c r="AE468" s="257">
        <v>0</v>
      </c>
      <c r="AF468" s="257">
        <v>6.4939999999999998E-3</v>
      </c>
      <c r="AG468" s="257">
        <v>0</v>
      </c>
      <c r="AH468" s="393">
        <f t="shared" si="68"/>
        <v>1.03071E-2</v>
      </c>
      <c r="AI468" s="393">
        <f t="shared" si="69"/>
        <v>7.1052631578947381E-2</v>
      </c>
      <c r="AJ468" s="316">
        <f t="shared" si="67"/>
        <v>7.1052631578947381E-2</v>
      </c>
      <c r="AK468" s="392">
        <v>6.4107000000000001E-3</v>
      </c>
      <c r="AL468" s="409">
        <f t="shared" si="70"/>
        <v>8.3333333333333356E-2</v>
      </c>
      <c r="AM468" s="327">
        <v>0</v>
      </c>
      <c r="AN468" s="410">
        <f t="shared" si="71"/>
        <v>8.3333333333333356E-2</v>
      </c>
      <c r="AO468" s="359" t="e">
        <f>+([1]!Tabla1[[#This Row],[ponderacion_accion]]/5%)*AQ468</f>
        <v>#REF!</v>
      </c>
      <c r="AP468" s="359" t="e">
        <f>Tabla1[[#This Row],[ponderacion_meta]]*AO468</f>
        <v>#REF!</v>
      </c>
      <c r="AQ468" s="351"/>
      <c r="AR468" s="380">
        <v>0</v>
      </c>
      <c r="AS468" s="9"/>
      <c r="AT468" s="521">
        <v>0</v>
      </c>
    </row>
    <row r="469" spans="1:46" ht="15" customHeight="1" x14ac:dyDescent="0.35">
      <c r="A469" s="236" t="s">
        <v>1152</v>
      </c>
      <c r="B469" s="237" t="s">
        <v>880</v>
      </c>
      <c r="C469" s="237" t="s">
        <v>1721</v>
      </c>
      <c r="D469" s="237" t="s">
        <v>1166</v>
      </c>
      <c r="E469" s="176" t="s">
        <v>881</v>
      </c>
      <c r="F469" s="176" t="s">
        <v>2616</v>
      </c>
      <c r="G469" s="170" t="s">
        <v>882</v>
      </c>
      <c r="H469" s="170" t="s">
        <v>1750</v>
      </c>
      <c r="I469" s="13" t="s">
        <v>954</v>
      </c>
      <c r="J469" s="265">
        <v>6.4939999999999998E-3</v>
      </c>
      <c r="K469" s="9" t="s">
        <v>955</v>
      </c>
      <c r="L469" s="147">
        <v>560000000</v>
      </c>
      <c r="M469" s="147">
        <v>0</v>
      </c>
      <c r="N469" s="455"/>
      <c r="O469" s="455" t="s">
        <v>2622</v>
      </c>
      <c r="P469" s="194">
        <v>0</v>
      </c>
      <c r="Q469" s="195">
        <v>0</v>
      </c>
      <c r="R469" s="195">
        <v>1</v>
      </c>
      <c r="S469" s="195">
        <v>0</v>
      </c>
      <c r="T469" s="195" t="s">
        <v>1638</v>
      </c>
      <c r="U469" s="87" t="s">
        <v>962</v>
      </c>
      <c r="V469" s="11">
        <v>0.1</v>
      </c>
      <c r="W469" s="9" t="s">
        <v>963</v>
      </c>
      <c r="X469" s="9"/>
      <c r="Y469" s="9" t="s">
        <v>2588</v>
      </c>
      <c r="Z469" s="9" t="s">
        <v>2565</v>
      </c>
      <c r="AA469" s="239">
        <f t="shared" si="65"/>
        <v>6.4940000000000006E-4</v>
      </c>
      <c r="AB469" s="252">
        <v>0</v>
      </c>
      <c r="AC469" s="262">
        <f>+(Tabla1[[#This Row],[Avance PDI]]*100%)/Tabla1[[#This Row],[ponderacion_meta]]</f>
        <v>0</v>
      </c>
      <c r="AD469" s="257">
        <v>0</v>
      </c>
      <c r="AE469" s="257">
        <v>0</v>
      </c>
      <c r="AF469" s="257">
        <v>6.4939999999999998E-3</v>
      </c>
      <c r="AG469" s="257">
        <v>0</v>
      </c>
      <c r="AH469" s="393">
        <f t="shared" si="68"/>
        <v>1.03071E-2</v>
      </c>
      <c r="AI469" s="393">
        <f t="shared" si="69"/>
        <v>7.1052631578947381E-2</v>
      </c>
      <c r="AJ469" s="316">
        <f t="shared" si="67"/>
        <v>7.1052631578947381E-2</v>
      </c>
      <c r="AK469" s="392">
        <v>6.4107000000000001E-3</v>
      </c>
      <c r="AL469" s="409">
        <f t="shared" si="70"/>
        <v>8.3333333333333356E-2</v>
      </c>
      <c r="AM469" s="327">
        <v>0</v>
      </c>
      <c r="AN469" s="410">
        <f t="shared" si="71"/>
        <v>8.3333333333333356E-2</v>
      </c>
      <c r="AO469" s="359" t="e">
        <f>+([1]!Tabla1[[#This Row],[ponderacion_accion]]/10%)*AQ469</f>
        <v>#REF!</v>
      </c>
      <c r="AP469" s="359" t="e">
        <f>Tabla1[[#This Row],[ponderacion_meta]]*AO469</f>
        <v>#REF!</v>
      </c>
      <c r="AQ469" s="351"/>
      <c r="AR469" s="380">
        <v>0</v>
      </c>
      <c r="AS469" s="9"/>
      <c r="AT469" s="521">
        <v>0</v>
      </c>
    </row>
    <row r="470" spans="1:46" ht="15" customHeight="1" x14ac:dyDescent="0.35">
      <c r="A470" s="236" t="s">
        <v>1152</v>
      </c>
      <c r="B470" s="237" t="s">
        <v>880</v>
      </c>
      <c r="C470" s="237" t="s">
        <v>1721</v>
      </c>
      <c r="D470" s="237" t="s">
        <v>1166</v>
      </c>
      <c r="E470" s="176" t="s">
        <v>881</v>
      </c>
      <c r="F470" s="176" t="s">
        <v>2616</v>
      </c>
      <c r="G470" s="170" t="s">
        <v>882</v>
      </c>
      <c r="H470" s="170" t="s">
        <v>1750</v>
      </c>
      <c r="I470" s="13" t="s">
        <v>954</v>
      </c>
      <c r="J470" s="265">
        <v>6.4939999999999998E-3</v>
      </c>
      <c r="K470" s="9" t="s">
        <v>955</v>
      </c>
      <c r="L470" s="147">
        <v>560000000</v>
      </c>
      <c r="M470" s="147">
        <v>0</v>
      </c>
      <c r="N470" s="455"/>
      <c r="O470" s="455" t="s">
        <v>2622</v>
      </c>
      <c r="P470" s="194">
        <v>0</v>
      </c>
      <c r="Q470" s="195">
        <v>0</v>
      </c>
      <c r="R470" s="195">
        <v>1</v>
      </c>
      <c r="S470" s="195">
        <v>0</v>
      </c>
      <c r="T470" s="195" t="s">
        <v>1639</v>
      </c>
      <c r="U470" s="87" t="s">
        <v>964</v>
      </c>
      <c r="V470" s="11">
        <v>0.5</v>
      </c>
      <c r="W470" s="9" t="s">
        <v>965</v>
      </c>
      <c r="X470" s="9"/>
      <c r="Y470" s="9" t="s">
        <v>2588</v>
      </c>
      <c r="Z470" s="9" t="s">
        <v>2565</v>
      </c>
      <c r="AA470" s="239">
        <f t="shared" si="65"/>
        <v>3.2469999999999999E-3</v>
      </c>
      <c r="AB470" s="252">
        <v>0</v>
      </c>
      <c r="AC470" s="262">
        <f>+(Tabla1[[#This Row],[Avance PDI]]*100%)/Tabla1[[#This Row],[ponderacion_meta]]</f>
        <v>0</v>
      </c>
      <c r="AD470" s="257">
        <v>0</v>
      </c>
      <c r="AE470" s="257">
        <v>0</v>
      </c>
      <c r="AF470" s="257">
        <v>6.4939999999999998E-3</v>
      </c>
      <c r="AG470" s="257">
        <v>0</v>
      </c>
      <c r="AH470" s="393">
        <f t="shared" si="68"/>
        <v>1.03071E-2</v>
      </c>
      <c r="AI470" s="393">
        <f t="shared" si="69"/>
        <v>7.1052631578947381E-2</v>
      </c>
      <c r="AJ470" s="316">
        <f t="shared" si="67"/>
        <v>7.1052631578947381E-2</v>
      </c>
      <c r="AK470" s="392">
        <v>6.4107000000000001E-3</v>
      </c>
      <c r="AL470" s="409">
        <f t="shared" si="70"/>
        <v>8.3333333333333356E-2</v>
      </c>
      <c r="AM470" s="327">
        <v>0</v>
      </c>
      <c r="AN470" s="410">
        <f t="shared" si="71"/>
        <v>8.3333333333333356E-2</v>
      </c>
      <c r="AO470" s="359" t="e">
        <f>+([1]!Tabla1[[#This Row],[ponderacion_accion]]/50%)*AQ470</f>
        <v>#REF!</v>
      </c>
      <c r="AP470" s="359" t="e">
        <f>Tabla1[[#This Row],[ponderacion_meta]]*AO470</f>
        <v>#REF!</v>
      </c>
      <c r="AQ470" s="351"/>
      <c r="AR470" s="380">
        <v>0</v>
      </c>
      <c r="AS470" s="9"/>
      <c r="AT470" s="521">
        <v>0</v>
      </c>
    </row>
    <row r="471" spans="1:46" ht="15" customHeight="1" x14ac:dyDescent="0.35">
      <c r="A471" s="236" t="s">
        <v>1152</v>
      </c>
      <c r="B471" s="237" t="s">
        <v>880</v>
      </c>
      <c r="C471" s="237" t="s">
        <v>1721</v>
      </c>
      <c r="D471" s="237" t="s">
        <v>1166</v>
      </c>
      <c r="E471" s="176" t="s">
        <v>881</v>
      </c>
      <c r="F471" s="176" t="s">
        <v>2616</v>
      </c>
      <c r="G471" s="170" t="s">
        <v>882</v>
      </c>
      <c r="H471" s="170" t="s">
        <v>1750</v>
      </c>
      <c r="I471" s="13" t="s">
        <v>954</v>
      </c>
      <c r="J471" s="265">
        <v>6.4939999999999998E-3</v>
      </c>
      <c r="K471" s="9" t="s">
        <v>955</v>
      </c>
      <c r="L471" s="147">
        <v>560000000</v>
      </c>
      <c r="M471" s="147">
        <v>0</v>
      </c>
      <c r="N471" s="455"/>
      <c r="O471" s="455" t="s">
        <v>2622</v>
      </c>
      <c r="P471" s="194">
        <v>0</v>
      </c>
      <c r="Q471" s="195">
        <v>0</v>
      </c>
      <c r="R471" s="195">
        <v>1</v>
      </c>
      <c r="S471" s="195">
        <v>0</v>
      </c>
      <c r="T471" s="195" t="s">
        <v>1640</v>
      </c>
      <c r="U471" s="87" t="s">
        <v>966</v>
      </c>
      <c r="V471" s="11">
        <v>0.05</v>
      </c>
      <c r="W471" s="9" t="s">
        <v>967</v>
      </c>
      <c r="X471" s="9"/>
      <c r="Y471" s="9" t="s">
        <v>2588</v>
      </c>
      <c r="Z471" s="9" t="s">
        <v>2565</v>
      </c>
      <c r="AA471" s="239">
        <f t="shared" si="65"/>
        <v>3.2470000000000003E-4</v>
      </c>
      <c r="AB471" s="252">
        <v>0</v>
      </c>
      <c r="AC471" s="262">
        <f>+(Tabla1[[#This Row],[Avance PDI]]*100%)/Tabla1[[#This Row],[ponderacion_meta]]</f>
        <v>0</v>
      </c>
      <c r="AD471" s="257">
        <v>0</v>
      </c>
      <c r="AE471" s="257">
        <v>0</v>
      </c>
      <c r="AF471" s="257">
        <v>6.4939999999999998E-3</v>
      </c>
      <c r="AG471" s="257">
        <v>0</v>
      </c>
      <c r="AH471" s="393">
        <f t="shared" si="68"/>
        <v>1.03071E-2</v>
      </c>
      <c r="AI471" s="393">
        <f t="shared" si="69"/>
        <v>7.1052631578947381E-2</v>
      </c>
      <c r="AJ471" s="316">
        <f t="shared" si="67"/>
        <v>7.1052631578947381E-2</v>
      </c>
      <c r="AK471" s="392">
        <v>6.4107000000000001E-3</v>
      </c>
      <c r="AL471" s="409">
        <f t="shared" si="70"/>
        <v>8.3333333333333356E-2</v>
      </c>
      <c r="AM471" s="327">
        <v>0</v>
      </c>
      <c r="AN471" s="410">
        <f t="shared" si="71"/>
        <v>8.3333333333333356E-2</v>
      </c>
      <c r="AO471" s="360" t="e">
        <f>+([1]!Tabla1[[#This Row],[ponderacion_accion]]/5%)*AQ471</f>
        <v>#REF!</v>
      </c>
      <c r="AP471" s="360" t="e">
        <f>Tabla1[[#This Row],[ponderacion_meta]]*AO471</f>
        <v>#REF!</v>
      </c>
      <c r="AQ471" s="356"/>
      <c r="AR471" s="380">
        <v>0</v>
      </c>
      <c r="AS471" s="9"/>
      <c r="AT471" s="521">
        <v>0</v>
      </c>
    </row>
    <row r="472" spans="1:46" ht="15" customHeight="1" x14ac:dyDescent="0.35">
      <c r="A472" s="236" t="s">
        <v>1152</v>
      </c>
      <c r="B472" s="237" t="s">
        <v>880</v>
      </c>
      <c r="C472" s="237" t="s">
        <v>1721</v>
      </c>
      <c r="D472" s="237" t="s">
        <v>1166</v>
      </c>
      <c r="E472" s="176" t="s">
        <v>881</v>
      </c>
      <c r="F472" s="176" t="s">
        <v>2616</v>
      </c>
      <c r="G472" s="170" t="s">
        <v>882</v>
      </c>
      <c r="H472" s="170" t="s">
        <v>1750</v>
      </c>
      <c r="I472" s="2" t="s">
        <v>968</v>
      </c>
      <c r="J472" s="264">
        <v>6.4939999999999998E-3</v>
      </c>
      <c r="K472" s="110" t="s">
        <v>969</v>
      </c>
      <c r="L472" s="149">
        <v>34255800</v>
      </c>
      <c r="M472" s="149">
        <v>0</v>
      </c>
      <c r="N472" s="457"/>
      <c r="O472" s="457" t="s">
        <v>1753</v>
      </c>
      <c r="P472" s="183">
        <v>1</v>
      </c>
      <c r="Q472" s="184">
        <v>1</v>
      </c>
      <c r="R472" s="184">
        <v>1</v>
      </c>
      <c r="S472" s="184">
        <v>1</v>
      </c>
      <c r="T472" s="184" t="s">
        <v>1641</v>
      </c>
      <c r="U472" s="88" t="s">
        <v>970</v>
      </c>
      <c r="V472" s="10">
        <v>0.2</v>
      </c>
      <c r="W472" s="6" t="s">
        <v>971</v>
      </c>
      <c r="X472" s="6"/>
      <c r="Y472" s="6" t="s">
        <v>2587</v>
      </c>
      <c r="Z472" s="6" t="s">
        <v>2562</v>
      </c>
      <c r="AA472" s="238">
        <f t="shared" si="65"/>
        <v>1.2988000000000001E-3</v>
      </c>
      <c r="AB472" s="252">
        <v>0</v>
      </c>
      <c r="AC472" s="278">
        <f>+(Tabla1[[#This Row],[Avance PDI]]*100%)/Tabla1[[#This Row],[ponderacion_meta]]</f>
        <v>0</v>
      </c>
      <c r="AD472" s="279">
        <f>+Tabla1[[#This Row],[ponderacion_meta]]*Tabla1[[#This Row],[proyeccion_año1]]*25%</f>
        <v>1.6234999999999999E-3</v>
      </c>
      <c r="AE472" s="279">
        <f>+Tabla1[[#This Row],[ponderacion_meta]]*Tabla1[[#This Row],[proyeccion_año2]]*25%</f>
        <v>1.6234999999999999E-3</v>
      </c>
      <c r="AF472" s="279">
        <f>+Tabla1[[#This Row],[ponderacion_meta]]*Tabla1[[#This Row],[proyeccion_año3]]*25%</f>
        <v>1.6234999999999999E-3</v>
      </c>
      <c r="AG472" s="279">
        <f>+Tabla1[[#This Row],[ponderacion_meta]]*Tabla1[[#This Row],[proyeccion_año4]]*25%</f>
        <v>1.6234999999999999E-3</v>
      </c>
      <c r="AH472" s="393">
        <f t="shared" si="68"/>
        <v>1.03071E-2</v>
      </c>
      <c r="AI472" s="393">
        <f t="shared" si="69"/>
        <v>7.1052631578947381E-2</v>
      </c>
      <c r="AJ472" s="316">
        <f t="shared" si="67"/>
        <v>7.1052631578947381E-2</v>
      </c>
      <c r="AK472" s="392">
        <v>6.4107000000000001E-3</v>
      </c>
      <c r="AL472" s="409">
        <f t="shared" si="70"/>
        <v>8.3333333333333356E-2</v>
      </c>
      <c r="AM472" s="327">
        <v>0</v>
      </c>
      <c r="AN472" s="410">
        <f t="shared" si="71"/>
        <v>8.3333333333333356E-2</v>
      </c>
      <c r="AO472" s="343" t="e">
        <f>+([1]!Tabla1[[#This Row],[ponderacion_accion]]/4)*AQ472</f>
        <v>#REF!</v>
      </c>
      <c r="AP472" s="343" t="e">
        <f>Tabla1[[#This Row],[ponderacion_meta]]*AO472</f>
        <v>#REF!</v>
      </c>
      <c r="AQ472" s="353"/>
      <c r="AR472" s="377">
        <v>0</v>
      </c>
      <c r="AS472" s="7" t="e">
        <f>+((SUM(AO472:AO474)*100))/50</f>
        <v>#REF!</v>
      </c>
      <c r="AT472" s="521">
        <v>0</v>
      </c>
    </row>
    <row r="473" spans="1:46" ht="15" customHeight="1" x14ac:dyDescent="0.35">
      <c r="A473" s="236" t="s">
        <v>1152</v>
      </c>
      <c r="B473" s="237" t="s">
        <v>880</v>
      </c>
      <c r="C473" s="237" t="s">
        <v>1721</v>
      </c>
      <c r="D473" s="237" t="s">
        <v>1166</v>
      </c>
      <c r="E473" s="176" t="s">
        <v>881</v>
      </c>
      <c r="F473" s="176" t="s">
        <v>2616</v>
      </c>
      <c r="G473" s="170" t="s">
        <v>882</v>
      </c>
      <c r="H473" s="170" t="s">
        <v>1750</v>
      </c>
      <c r="I473" s="2" t="s">
        <v>968</v>
      </c>
      <c r="J473" s="264">
        <v>6.4939999999999998E-3</v>
      </c>
      <c r="K473" s="6" t="s">
        <v>969</v>
      </c>
      <c r="L473" s="149">
        <v>34255800</v>
      </c>
      <c r="M473" s="149">
        <v>0</v>
      </c>
      <c r="N473" s="457"/>
      <c r="O473" s="457" t="s">
        <v>1753</v>
      </c>
      <c r="P473" s="338">
        <v>1</v>
      </c>
      <c r="Q473" s="339">
        <v>1</v>
      </c>
      <c r="R473" s="339">
        <v>1</v>
      </c>
      <c r="S473" s="339">
        <v>1</v>
      </c>
      <c r="T473" s="193" t="s">
        <v>1642</v>
      </c>
      <c r="U473" s="88" t="s">
        <v>972</v>
      </c>
      <c r="V473" s="10">
        <v>0.2</v>
      </c>
      <c r="W473" s="6" t="s">
        <v>973</v>
      </c>
      <c r="X473" s="6"/>
      <c r="Y473" s="6" t="s">
        <v>2587</v>
      </c>
      <c r="Z473" s="6" t="s">
        <v>2562</v>
      </c>
      <c r="AA473" s="238">
        <f t="shared" si="65"/>
        <v>1.2988000000000001E-3</v>
      </c>
      <c r="AB473" s="252">
        <v>0</v>
      </c>
      <c r="AC473" s="278">
        <f>+(Tabla1[[#This Row],[Avance PDI]]*100%)/Tabla1[[#This Row],[ponderacion_meta]]</f>
        <v>0</v>
      </c>
      <c r="AD473" s="279">
        <v>1.6234999999999999E-3</v>
      </c>
      <c r="AE473" s="279">
        <v>1.6234999999999999E-3</v>
      </c>
      <c r="AF473" s="279">
        <v>1.6234999999999999E-3</v>
      </c>
      <c r="AG473" s="279">
        <v>1.6234999999999999E-3</v>
      </c>
      <c r="AH473" s="393">
        <f t="shared" si="68"/>
        <v>1.03071E-2</v>
      </c>
      <c r="AI473" s="393">
        <f t="shared" si="69"/>
        <v>7.1052631578947381E-2</v>
      </c>
      <c r="AJ473" s="316">
        <f t="shared" si="67"/>
        <v>7.1052631578947381E-2</v>
      </c>
      <c r="AK473" s="392">
        <v>6.4107000000000001E-3</v>
      </c>
      <c r="AL473" s="409">
        <f t="shared" si="70"/>
        <v>8.3333333333333356E-2</v>
      </c>
      <c r="AM473" s="327">
        <v>0</v>
      </c>
      <c r="AN473" s="410">
        <f t="shared" si="71"/>
        <v>8.3333333333333356E-2</v>
      </c>
      <c r="AO473" s="344" t="e">
        <f>+([1]!Tabla1[[#This Row],[ponderacion_accion]]/4)*AQ473</f>
        <v>#REF!</v>
      </c>
      <c r="AP473" s="344" t="e">
        <f>Tabla1[[#This Row],[ponderacion_meta]]*AO473</f>
        <v>#REF!</v>
      </c>
      <c r="AQ473" s="354"/>
      <c r="AR473" s="378">
        <v>0</v>
      </c>
      <c r="AS473" s="9"/>
      <c r="AT473" s="521">
        <v>0</v>
      </c>
    </row>
    <row r="474" spans="1:46" ht="15" customHeight="1" x14ac:dyDescent="0.35">
      <c r="A474" s="236" t="s">
        <v>1152</v>
      </c>
      <c r="B474" s="237" t="s">
        <v>880</v>
      </c>
      <c r="C474" s="237" t="s">
        <v>1721</v>
      </c>
      <c r="D474" s="237" t="s">
        <v>1166</v>
      </c>
      <c r="E474" s="176" t="s">
        <v>881</v>
      </c>
      <c r="F474" s="176" t="s">
        <v>2616</v>
      </c>
      <c r="G474" s="170" t="s">
        <v>882</v>
      </c>
      <c r="H474" s="170" t="s">
        <v>1750</v>
      </c>
      <c r="I474" s="2" t="s">
        <v>968</v>
      </c>
      <c r="J474" s="264">
        <v>6.4939999999999998E-3</v>
      </c>
      <c r="K474" s="6" t="s">
        <v>969</v>
      </c>
      <c r="L474" s="149">
        <v>34255800</v>
      </c>
      <c r="M474" s="149">
        <v>0</v>
      </c>
      <c r="N474" s="457"/>
      <c r="O474" s="457" t="s">
        <v>1753</v>
      </c>
      <c r="P474" s="338">
        <v>1</v>
      </c>
      <c r="Q474" s="339">
        <v>1</v>
      </c>
      <c r="R474" s="339">
        <v>1</v>
      </c>
      <c r="S474" s="339">
        <v>1</v>
      </c>
      <c r="T474" s="193" t="s">
        <v>1643</v>
      </c>
      <c r="U474" s="88" t="s">
        <v>974</v>
      </c>
      <c r="V474" s="10">
        <v>0.6</v>
      </c>
      <c r="W474" s="6" t="s">
        <v>944</v>
      </c>
      <c r="X474" s="6"/>
      <c r="Y474" s="6" t="s">
        <v>2587</v>
      </c>
      <c r="Z474" s="6" t="s">
        <v>2562</v>
      </c>
      <c r="AA474" s="238">
        <f t="shared" si="65"/>
        <v>3.8963999999999995E-3</v>
      </c>
      <c r="AB474" s="252">
        <v>0</v>
      </c>
      <c r="AC474" s="278">
        <f>+(Tabla1[[#This Row],[Avance PDI]]*100%)/Tabla1[[#This Row],[ponderacion_meta]]</f>
        <v>0</v>
      </c>
      <c r="AD474" s="279">
        <v>1.6234999999999999E-3</v>
      </c>
      <c r="AE474" s="279">
        <v>1.6234999999999999E-3</v>
      </c>
      <c r="AF474" s="279">
        <v>1.6234999999999999E-3</v>
      </c>
      <c r="AG474" s="279">
        <v>1.6234999999999999E-3</v>
      </c>
      <c r="AH474" s="393">
        <f t="shared" si="68"/>
        <v>1.03071E-2</v>
      </c>
      <c r="AI474" s="393">
        <f t="shared" si="69"/>
        <v>7.1052631578947381E-2</v>
      </c>
      <c r="AJ474" s="316">
        <f t="shared" si="67"/>
        <v>7.1052631578947381E-2</v>
      </c>
      <c r="AK474" s="392">
        <v>6.4107000000000001E-3</v>
      </c>
      <c r="AL474" s="409">
        <f t="shared" si="70"/>
        <v>8.3333333333333356E-2</v>
      </c>
      <c r="AM474" s="327">
        <v>0</v>
      </c>
      <c r="AN474" s="410">
        <f t="shared" si="71"/>
        <v>8.3333333333333356E-2</v>
      </c>
      <c r="AO474" s="345" t="e">
        <f>+([1]!Tabla1[[#This Row],[ponderacion_accion]]/4)*AQ474</f>
        <v>#REF!</v>
      </c>
      <c r="AP474" s="345" t="e">
        <f>Tabla1[[#This Row],[ponderacion_meta]]*AO474</f>
        <v>#REF!</v>
      </c>
      <c r="AQ474" s="357"/>
      <c r="AR474" s="379">
        <v>0</v>
      </c>
      <c r="AS474" s="9"/>
      <c r="AT474" s="521">
        <v>0</v>
      </c>
    </row>
    <row r="475" spans="1:46" ht="15" customHeight="1" x14ac:dyDescent="0.35">
      <c r="A475" s="236" t="s">
        <v>1152</v>
      </c>
      <c r="B475" s="237" t="s">
        <v>880</v>
      </c>
      <c r="C475" s="237" t="s">
        <v>1721</v>
      </c>
      <c r="D475" s="237" t="s">
        <v>1166</v>
      </c>
      <c r="E475" s="176" t="s">
        <v>881</v>
      </c>
      <c r="F475" s="176" t="s">
        <v>2616</v>
      </c>
      <c r="G475" s="170" t="s">
        <v>882</v>
      </c>
      <c r="H475" s="170" t="s">
        <v>1750</v>
      </c>
      <c r="I475" s="114" t="s">
        <v>975</v>
      </c>
      <c r="J475" s="267">
        <v>6.4939999999999998E-3</v>
      </c>
      <c r="K475" s="9" t="s">
        <v>976</v>
      </c>
      <c r="L475" s="150">
        <v>340000000</v>
      </c>
      <c r="M475" s="150">
        <v>0</v>
      </c>
      <c r="N475" s="458"/>
      <c r="O475" s="458" t="s">
        <v>2622</v>
      </c>
      <c r="P475" s="194">
        <v>1</v>
      </c>
      <c r="Q475" s="195">
        <v>1</v>
      </c>
      <c r="R475" s="195">
        <v>1</v>
      </c>
      <c r="S475" s="195">
        <v>1</v>
      </c>
      <c r="T475" s="195" t="s">
        <v>1644</v>
      </c>
      <c r="U475" s="87" t="s">
        <v>977</v>
      </c>
      <c r="V475" s="11">
        <v>0.1</v>
      </c>
      <c r="W475" s="9" t="s">
        <v>45</v>
      </c>
      <c r="X475" s="9"/>
      <c r="Y475" s="9" t="s">
        <v>2587</v>
      </c>
      <c r="Z475" s="383" t="s">
        <v>2530</v>
      </c>
      <c r="AA475" s="239">
        <f t="shared" si="65"/>
        <v>6.4940000000000006E-4</v>
      </c>
      <c r="AB475" s="253">
        <f>+(Tabla1[[#This Row],[ponderacion_meta]]*Tabla1[[#This Row],[ponderacion_accion]])*25%</f>
        <v>1.6235000000000002E-4</v>
      </c>
      <c r="AC475" s="262">
        <f>+(Tabla1[[#This Row],[Avance PDI]]*100%)/Tabla1[[#This Row],[ponderacion_meta]]</f>
        <v>2.5000000000000005E-2</v>
      </c>
      <c r="AD475" s="257">
        <f>+Tabla1[[#This Row],[ponderacion_meta]]/4*Tabla1[[#This Row],[proyeccion_año1]]</f>
        <v>1.6234999999999999E-3</v>
      </c>
      <c r="AE475" s="257">
        <f>+Tabla1[[#This Row],[ponderacion_meta]]/4*Tabla1[[#This Row],[proyeccion_año2]]</f>
        <v>1.6234999999999999E-3</v>
      </c>
      <c r="AF475" s="257">
        <f>+Tabla1[[#This Row],[ponderacion_meta]]/4*Tabla1[[#This Row],[proyeccion_año3]]</f>
        <v>1.6234999999999999E-3</v>
      </c>
      <c r="AG475" s="257">
        <f>+Tabla1[[#This Row],[ponderacion_meta]]/4*Tabla1[[#This Row],[proyeccion_año4]]</f>
        <v>1.6234999999999999E-3</v>
      </c>
      <c r="AH475" s="393">
        <f t="shared" si="68"/>
        <v>1.03071E-2</v>
      </c>
      <c r="AI475" s="393">
        <f t="shared" si="69"/>
        <v>7.1052631578947381E-2</v>
      </c>
      <c r="AJ475" s="316">
        <f t="shared" si="67"/>
        <v>7.1052631578947381E-2</v>
      </c>
      <c r="AK475" s="392">
        <v>6.4107000000000001E-3</v>
      </c>
      <c r="AL475" s="409">
        <f t="shared" si="70"/>
        <v>8.3333333333333356E-2</v>
      </c>
      <c r="AM475" s="327">
        <v>0</v>
      </c>
      <c r="AN475" s="410">
        <f t="shared" si="71"/>
        <v>8.3333333333333356E-2</v>
      </c>
      <c r="AO475" s="358" t="e">
        <f>+([1]!Tabla1[[#This Row],[ponderacion_accion]]/4)*AQ475</f>
        <v>#REF!</v>
      </c>
      <c r="AP475" s="335" t="e">
        <f>Tabla1[[#This Row],[ponderacion_meta]]*AO475</f>
        <v>#REF!</v>
      </c>
      <c r="AQ475" s="361">
        <v>1</v>
      </c>
      <c r="AR475" s="380">
        <v>298337284</v>
      </c>
      <c r="AS475" s="7" t="e">
        <f>+((SUM(AO475:AO478)*100))/50</f>
        <v>#REF!</v>
      </c>
      <c r="AT475" s="521">
        <v>0</v>
      </c>
    </row>
    <row r="476" spans="1:46" ht="15" customHeight="1" x14ac:dyDescent="0.35">
      <c r="A476" s="236" t="s">
        <v>1152</v>
      </c>
      <c r="B476" s="237" t="s">
        <v>880</v>
      </c>
      <c r="C476" s="237" t="s">
        <v>1721</v>
      </c>
      <c r="D476" s="237" t="s">
        <v>1166</v>
      </c>
      <c r="E476" s="176" t="s">
        <v>881</v>
      </c>
      <c r="F476" s="176" t="s">
        <v>2616</v>
      </c>
      <c r="G476" s="170" t="s">
        <v>882</v>
      </c>
      <c r="H476" s="170" t="s">
        <v>1750</v>
      </c>
      <c r="I476" s="114" t="s">
        <v>975</v>
      </c>
      <c r="J476" s="267">
        <v>6.4939999999999998E-3</v>
      </c>
      <c r="K476" s="9" t="s">
        <v>976</v>
      </c>
      <c r="L476" s="150">
        <v>340000000</v>
      </c>
      <c r="M476" s="150">
        <v>0</v>
      </c>
      <c r="N476" s="458"/>
      <c r="O476" s="458" t="s">
        <v>2622</v>
      </c>
      <c r="P476" s="194">
        <v>1</v>
      </c>
      <c r="Q476" s="195">
        <v>1</v>
      </c>
      <c r="R476" s="195">
        <v>1</v>
      </c>
      <c r="S476" s="195">
        <v>1</v>
      </c>
      <c r="T476" s="195" t="s">
        <v>1645</v>
      </c>
      <c r="U476" s="87" t="s">
        <v>978</v>
      </c>
      <c r="V476" s="11">
        <v>0.2</v>
      </c>
      <c r="W476" s="9" t="s">
        <v>979</v>
      </c>
      <c r="X476" s="9"/>
      <c r="Y476" s="9" t="s">
        <v>2587</v>
      </c>
      <c r="Z476" s="383" t="s">
        <v>2530</v>
      </c>
      <c r="AA476" s="239">
        <f t="shared" si="65"/>
        <v>1.2988000000000001E-3</v>
      </c>
      <c r="AB476" s="253">
        <f>+(Tabla1[[#This Row],[ponderacion_meta]]*Tabla1[[#This Row],[ponderacion_accion]])*25%</f>
        <v>3.2470000000000003E-4</v>
      </c>
      <c r="AC476" s="262">
        <f>+(Tabla1[[#This Row],[Avance PDI]]*100%)/Tabla1[[#This Row],[ponderacion_meta]]</f>
        <v>5.000000000000001E-2</v>
      </c>
      <c r="AD476" s="257">
        <v>1.6234999999999999E-3</v>
      </c>
      <c r="AE476" s="257">
        <v>1.6234999999999999E-3</v>
      </c>
      <c r="AF476" s="257">
        <v>1.6234999999999999E-3</v>
      </c>
      <c r="AG476" s="257">
        <v>1.6234999999999999E-3</v>
      </c>
      <c r="AH476" s="393">
        <f t="shared" si="68"/>
        <v>1.03071E-2</v>
      </c>
      <c r="AI476" s="393">
        <f t="shared" si="69"/>
        <v>7.1052631578947381E-2</v>
      </c>
      <c r="AJ476" s="316">
        <f t="shared" si="67"/>
        <v>7.1052631578947381E-2</v>
      </c>
      <c r="AK476" s="392">
        <v>6.4107000000000001E-3</v>
      </c>
      <c r="AL476" s="409">
        <f t="shared" si="70"/>
        <v>8.3333333333333356E-2</v>
      </c>
      <c r="AM476" s="327">
        <v>0</v>
      </c>
      <c r="AN476" s="410">
        <f t="shared" si="71"/>
        <v>8.3333333333333356E-2</v>
      </c>
      <c r="AO476" s="359" t="e">
        <f>+([1]!Tabla1[[#This Row],[ponderacion_accion]]/4)*AQ476</f>
        <v>#REF!</v>
      </c>
      <c r="AP476" s="335" t="e">
        <f>Tabla1[[#This Row],[ponderacion_meta]]*AO476</f>
        <v>#REF!</v>
      </c>
      <c r="AQ476" s="351">
        <v>1</v>
      </c>
      <c r="AR476" s="380">
        <v>0</v>
      </c>
      <c r="AS476" s="9"/>
      <c r="AT476" s="521">
        <v>0</v>
      </c>
    </row>
    <row r="477" spans="1:46" ht="15" customHeight="1" x14ac:dyDescent="0.35">
      <c r="A477" s="236" t="s">
        <v>1152</v>
      </c>
      <c r="B477" s="237" t="s">
        <v>880</v>
      </c>
      <c r="C477" s="237" t="s">
        <v>1721</v>
      </c>
      <c r="D477" s="237" t="s">
        <v>1166</v>
      </c>
      <c r="E477" s="176" t="s">
        <v>881</v>
      </c>
      <c r="F477" s="176" t="s">
        <v>2616</v>
      </c>
      <c r="G477" s="170" t="s">
        <v>882</v>
      </c>
      <c r="H477" s="170" t="s">
        <v>1750</v>
      </c>
      <c r="I477" s="114" t="s">
        <v>975</v>
      </c>
      <c r="J477" s="267">
        <v>6.4939999999999998E-3</v>
      </c>
      <c r="K477" s="9" t="s">
        <v>976</v>
      </c>
      <c r="L477" s="150">
        <v>340000000</v>
      </c>
      <c r="M477" s="150">
        <v>0</v>
      </c>
      <c r="N477" s="458"/>
      <c r="O477" s="458" t="s">
        <v>2622</v>
      </c>
      <c r="P477" s="194">
        <v>1</v>
      </c>
      <c r="Q477" s="195">
        <v>1</v>
      </c>
      <c r="R477" s="195">
        <v>1</v>
      </c>
      <c r="S477" s="195">
        <v>1</v>
      </c>
      <c r="T477" s="195" t="s">
        <v>1646</v>
      </c>
      <c r="U477" s="87" t="s">
        <v>980</v>
      </c>
      <c r="V477" s="11">
        <v>0.6</v>
      </c>
      <c r="W477" s="9" t="s">
        <v>132</v>
      </c>
      <c r="X477" s="9"/>
      <c r="Y477" s="9" t="s">
        <v>2587</v>
      </c>
      <c r="Z477" s="383" t="s">
        <v>2530</v>
      </c>
      <c r="AA477" s="239">
        <f t="shared" si="65"/>
        <v>3.8963999999999995E-3</v>
      </c>
      <c r="AB477" s="253">
        <f>+(Tabla1[[#This Row],[ponderacion_meta]]*Tabla1[[#This Row],[ponderacion_accion]])*25%</f>
        <v>9.7409999999999988E-4</v>
      </c>
      <c r="AC477" s="262">
        <f>+(Tabla1[[#This Row],[Avance PDI]]*100%)/Tabla1[[#This Row],[ponderacion_meta]]</f>
        <v>0.15</v>
      </c>
      <c r="AD477" s="257">
        <v>1.6234999999999999E-3</v>
      </c>
      <c r="AE477" s="257">
        <v>1.6234999999999999E-3</v>
      </c>
      <c r="AF477" s="257">
        <v>1.6234999999999999E-3</v>
      </c>
      <c r="AG477" s="257">
        <v>1.6234999999999999E-3</v>
      </c>
      <c r="AH477" s="393">
        <f t="shared" si="68"/>
        <v>1.03071E-2</v>
      </c>
      <c r="AI477" s="393">
        <f t="shared" si="69"/>
        <v>7.1052631578947381E-2</v>
      </c>
      <c r="AJ477" s="316">
        <f t="shared" si="67"/>
        <v>7.1052631578947381E-2</v>
      </c>
      <c r="AK477" s="392">
        <v>6.4107000000000001E-3</v>
      </c>
      <c r="AL477" s="409">
        <f t="shared" si="70"/>
        <v>8.3333333333333356E-2</v>
      </c>
      <c r="AM477" s="327">
        <v>0</v>
      </c>
      <c r="AN477" s="410">
        <f t="shared" si="71"/>
        <v>8.3333333333333356E-2</v>
      </c>
      <c r="AO477" s="359" t="e">
        <f>+([1]!Tabla1[[#This Row],[ponderacion_accion]]/4)*AQ477</f>
        <v>#REF!</v>
      </c>
      <c r="AP477" s="335" t="e">
        <f>Tabla1[[#This Row],[ponderacion_meta]]*AO477</f>
        <v>#REF!</v>
      </c>
      <c r="AQ477" s="351">
        <v>1</v>
      </c>
      <c r="AR477" s="380">
        <v>0</v>
      </c>
      <c r="AS477" s="9"/>
      <c r="AT477" s="521">
        <v>0</v>
      </c>
    </row>
    <row r="478" spans="1:46" ht="15" customHeight="1" x14ac:dyDescent="0.35">
      <c r="A478" s="236" t="s">
        <v>1152</v>
      </c>
      <c r="B478" s="237" t="s">
        <v>880</v>
      </c>
      <c r="C478" s="237" t="s">
        <v>1721</v>
      </c>
      <c r="D478" s="237" t="s">
        <v>1166</v>
      </c>
      <c r="E478" s="176" t="s">
        <v>881</v>
      </c>
      <c r="F478" s="176" t="s">
        <v>2616</v>
      </c>
      <c r="G478" s="170" t="s">
        <v>882</v>
      </c>
      <c r="H478" s="170" t="s">
        <v>1750</v>
      </c>
      <c r="I478" s="114" t="s">
        <v>975</v>
      </c>
      <c r="J478" s="267">
        <v>6.4939999999999998E-3</v>
      </c>
      <c r="K478" s="9" t="s">
        <v>976</v>
      </c>
      <c r="L478" s="150">
        <v>340000000</v>
      </c>
      <c r="M478" s="150">
        <v>0</v>
      </c>
      <c r="N478" s="458"/>
      <c r="O478" s="458" t="s">
        <v>2622</v>
      </c>
      <c r="P478" s="194">
        <v>1</v>
      </c>
      <c r="Q478" s="195">
        <v>1</v>
      </c>
      <c r="R478" s="195">
        <v>1</v>
      </c>
      <c r="S478" s="195">
        <v>1</v>
      </c>
      <c r="T478" s="195" t="s">
        <v>1647</v>
      </c>
      <c r="U478" s="87" t="s">
        <v>981</v>
      </c>
      <c r="V478" s="11">
        <v>0.1</v>
      </c>
      <c r="W478" s="9" t="s">
        <v>982</v>
      </c>
      <c r="X478" s="9"/>
      <c r="Y478" s="9" t="s">
        <v>2587</v>
      </c>
      <c r="Z478" s="383" t="s">
        <v>2530</v>
      </c>
      <c r="AA478" s="239">
        <f t="shared" si="65"/>
        <v>6.4940000000000006E-4</v>
      </c>
      <c r="AB478" s="253">
        <f>+(Tabla1[[#This Row],[ponderacion_meta]]*Tabla1[[#This Row],[ponderacion_accion]])*25%</f>
        <v>1.6235000000000002E-4</v>
      </c>
      <c r="AC478" s="262">
        <f>+(Tabla1[[#This Row],[Avance PDI]]*100%)/Tabla1[[#This Row],[ponderacion_meta]]</f>
        <v>2.5000000000000005E-2</v>
      </c>
      <c r="AD478" s="257">
        <v>1.6234999999999999E-3</v>
      </c>
      <c r="AE478" s="257">
        <v>1.6234999999999999E-3</v>
      </c>
      <c r="AF478" s="257">
        <v>1.6234999999999999E-3</v>
      </c>
      <c r="AG478" s="257">
        <v>1.6234999999999999E-3</v>
      </c>
      <c r="AH478" s="393">
        <f t="shared" si="68"/>
        <v>1.03071E-2</v>
      </c>
      <c r="AI478" s="393">
        <f t="shared" si="69"/>
        <v>7.1052631578947381E-2</v>
      </c>
      <c r="AJ478" s="316">
        <f t="shared" si="67"/>
        <v>7.1052631578947381E-2</v>
      </c>
      <c r="AK478" s="392">
        <v>6.4107000000000001E-3</v>
      </c>
      <c r="AL478" s="409">
        <f t="shared" si="70"/>
        <v>8.3333333333333356E-2</v>
      </c>
      <c r="AM478" s="327">
        <v>0</v>
      </c>
      <c r="AN478" s="410">
        <f t="shared" si="71"/>
        <v>8.3333333333333356E-2</v>
      </c>
      <c r="AO478" s="360" t="e">
        <f>+([1]!Tabla1[[#This Row],[ponderacion_accion]]/4)*AQ478</f>
        <v>#REF!</v>
      </c>
      <c r="AP478" s="335" t="e">
        <f>Tabla1[[#This Row],[ponderacion_meta]]*AO478</f>
        <v>#REF!</v>
      </c>
      <c r="AQ478" s="356">
        <v>1</v>
      </c>
      <c r="AR478" s="380">
        <v>0</v>
      </c>
      <c r="AS478" s="9"/>
      <c r="AT478" s="521">
        <v>0</v>
      </c>
    </row>
    <row r="479" spans="1:46" ht="15" customHeight="1" x14ac:dyDescent="0.35">
      <c r="A479" s="236" t="s">
        <v>1152</v>
      </c>
      <c r="B479" s="237" t="s">
        <v>880</v>
      </c>
      <c r="C479" s="237" t="s">
        <v>1721</v>
      </c>
      <c r="D479" s="237" t="s">
        <v>1167</v>
      </c>
      <c r="E479" s="171" t="s">
        <v>983</v>
      </c>
      <c r="F479" s="156" t="s">
        <v>2617</v>
      </c>
      <c r="G479" s="156" t="s">
        <v>984</v>
      </c>
      <c r="H479" s="416" t="s">
        <v>1751</v>
      </c>
      <c r="I479" s="2" t="s">
        <v>985</v>
      </c>
      <c r="J479" s="264">
        <v>6.4939999999999998E-3</v>
      </c>
      <c r="K479" s="6" t="s">
        <v>986</v>
      </c>
      <c r="L479" s="149">
        <v>402490000</v>
      </c>
      <c r="M479" s="149">
        <v>0</v>
      </c>
      <c r="N479" s="457"/>
      <c r="O479" s="457" t="s">
        <v>1753</v>
      </c>
      <c r="P479" s="192">
        <v>0</v>
      </c>
      <c r="Q479" s="184">
        <v>0.25</v>
      </c>
      <c r="R479" s="184">
        <v>0.25</v>
      </c>
      <c r="S479" s="193">
        <v>0</v>
      </c>
      <c r="T479" s="193" t="s">
        <v>1648</v>
      </c>
      <c r="U479" s="88" t="s">
        <v>987</v>
      </c>
      <c r="V479" s="10">
        <v>0.1</v>
      </c>
      <c r="W479" s="6" t="s">
        <v>82</v>
      </c>
      <c r="X479" s="6"/>
      <c r="Y479" s="6" t="s">
        <v>2587</v>
      </c>
      <c r="Z479" s="6" t="s">
        <v>1849</v>
      </c>
      <c r="AA479" s="238">
        <f t="shared" si="65"/>
        <v>6.4940000000000006E-4</v>
      </c>
      <c r="AB479" s="252">
        <v>0</v>
      </c>
      <c r="AC479" s="278">
        <f>+(Tabla1[[#This Row],[Avance PDI]]*100%)/Tabla1[[#This Row],[ponderacion_meta]]</f>
        <v>0</v>
      </c>
      <c r="AD479" s="279">
        <f>+Tabla1[[#This Row],[ponderacion_meta]]*Tabla1[[#This Row],[proyeccion_año1]]</f>
        <v>0</v>
      </c>
      <c r="AE479" s="279">
        <f>+Tabla1[[#This Row],[ponderacion_meta]]/50%*Tabla1[[#This Row],[proyeccion_año2]]</f>
        <v>3.2469999999999999E-3</v>
      </c>
      <c r="AF479" s="279">
        <f>+Tabla1[[#This Row],[ponderacion_meta]]/50%*Tabla1[[#This Row],[proyeccion_año3]]</f>
        <v>3.2469999999999999E-3</v>
      </c>
      <c r="AG479" s="279">
        <f>+Tabla1[[#This Row],[ponderacion_meta]]*Tabla1[[#This Row],[proyeccion_año4]]</f>
        <v>0</v>
      </c>
      <c r="AH479" s="393">
        <f t="shared" si="68"/>
        <v>1.03071E-2</v>
      </c>
      <c r="AI479" s="393">
        <f t="shared" si="69"/>
        <v>7.1052631578947381E-2</v>
      </c>
      <c r="AJ479" s="316">
        <f t="shared" si="67"/>
        <v>7.1052631578947381E-2</v>
      </c>
      <c r="AK479" s="391">
        <v>6.4940000000000006E-4</v>
      </c>
      <c r="AL479" s="322">
        <f>+SUM(AC479:AC499)/4</f>
        <v>2.5000000000000005E-2</v>
      </c>
      <c r="AM479" s="324">
        <f>+SUM(AB479:AB499)</f>
        <v>6.4940000000000006E-4</v>
      </c>
      <c r="AN479" s="411">
        <f>+SUM(AC479:AC499)/4</f>
        <v>2.5000000000000005E-2</v>
      </c>
      <c r="AO479" s="343" t="e">
        <f>+([1]!Tabla1[[#This Row],[ponderacion_accion]]/10%)*AQ479</f>
        <v>#REF!</v>
      </c>
      <c r="AP479" s="343" t="e">
        <f>Tabla1[[#This Row],[ponderacion_meta]]*AO479</f>
        <v>#REF!</v>
      </c>
      <c r="AQ479" s="353"/>
      <c r="AR479" s="377">
        <v>0</v>
      </c>
      <c r="AS479" s="7" t="e">
        <f>+((SUM(AO479:AO483)*100))/30</f>
        <v>#REF!</v>
      </c>
      <c r="AT479" s="521">
        <v>0</v>
      </c>
    </row>
    <row r="480" spans="1:46" ht="15" customHeight="1" x14ac:dyDescent="0.35">
      <c r="A480" s="236" t="s">
        <v>1152</v>
      </c>
      <c r="B480" s="237" t="s">
        <v>880</v>
      </c>
      <c r="C480" s="237" t="s">
        <v>1721</v>
      </c>
      <c r="D480" s="237" t="s">
        <v>1167</v>
      </c>
      <c r="E480" s="171" t="s">
        <v>983</v>
      </c>
      <c r="F480" s="156" t="s">
        <v>2617</v>
      </c>
      <c r="G480" s="156" t="s">
        <v>984</v>
      </c>
      <c r="H480" s="156" t="s">
        <v>1751</v>
      </c>
      <c r="I480" s="2" t="s">
        <v>985</v>
      </c>
      <c r="J480" s="264">
        <v>6.4939999999999998E-3</v>
      </c>
      <c r="K480" s="6" t="s">
        <v>986</v>
      </c>
      <c r="L480" s="149">
        <v>402490000</v>
      </c>
      <c r="M480" s="149">
        <v>0</v>
      </c>
      <c r="N480" s="457"/>
      <c r="O480" s="457" t="s">
        <v>1753</v>
      </c>
      <c r="P480" s="192">
        <v>0</v>
      </c>
      <c r="Q480" s="184">
        <v>0.25</v>
      </c>
      <c r="R480" s="184">
        <v>0.25</v>
      </c>
      <c r="S480" s="193">
        <v>0</v>
      </c>
      <c r="T480" s="193" t="s">
        <v>1649</v>
      </c>
      <c r="U480" s="88" t="s">
        <v>988</v>
      </c>
      <c r="V480" s="10">
        <v>0.1</v>
      </c>
      <c r="W480" s="6" t="s">
        <v>189</v>
      </c>
      <c r="X480" s="6"/>
      <c r="Y480" s="6" t="s">
        <v>2587</v>
      </c>
      <c r="Z480" s="6" t="s">
        <v>1849</v>
      </c>
      <c r="AA480" s="238">
        <f t="shared" si="65"/>
        <v>6.4940000000000006E-4</v>
      </c>
      <c r="AB480" s="252">
        <v>0</v>
      </c>
      <c r="AC480" s="278">
        <f>+(Tabla1[[#This Row],[Avance PDI]]*100%)/Tabla1[[#This Row],[ponderacion_meta]]</f>
        <v>0</v>
      </c>
      <c r="AD480" s="279">
        <v>0</v>
      </c>
      <c r="AE480" s="279">
        <v>3.2469999999999999E-3</v>
      </c>
      <c r="AF480" s="279">
        <v>3.2469999999999999E-3</v>
      </c>
      <c r="AG480" s="279">
        <v>0</v>
      </c>
      <c r="AH480" s="393">
        <f t="shared" si="68"/>
        <v>1.03071E-2</v>
      </c>
      <c r="AI480" s="393">
        <f t="shared" si="69"/>
        <v>7.1052631578947381E-2</v>
      </c>
      <c r="AJ480" s="316">
        <f t="shared" si="67"/>
        <v>7.1052631578947381E-2</v>
      </c>
      <c r="AK480" s="279">
        <v>6.4940000000000006E-4</v>
      </c>
      <c r="AL480" s="402">
        <f>$AL$479</f>
        <v>2.5000000000000005E-2</v>
      </c>
      <c r="AM480" s="325">
        <v>0</v>
      </c>
      <c r="AN480" s="411">
        <f>$AN$479</f>
        <v>2.5000000000000005E-2</v>
      </c>
      <c r="AO480" s="344" t="e">
        <f>+([1]!Tabla1[[#This Row],[ponderacion_accion]]/10%)*AQ480</f>
        <v>#REF!</v>
      </c>
      <c r="AP480" s="344" t="e">
        <f>Tabla1[[#This Row],[ponderacion_meta]]*AO480</f>
        <v>#REF!</v>
      </c>
      <c r="AQ480" s="354"/>
      <c r="AR480" s="378">
        <v>0</v>
      </c>
      <c r="AS480" s="9"/>
      <c r="AT480" s="521">
        <v>0</v>
      </c>
    </row>
    <row r="481" spans="1:46" ht="15" customHeight="1" x14ac:dyDescent="0.35">
      <c r="A481" s="236" t="s">
        <v>1152</v>
      </c>
      <c r="B481" s="237" t="s">
        <v>880</v>
      </c>
      <c r="C481" s="237" t="s">
        <v>1721</v>
      </c>
      <c r="D481" s="237" t="s">
        <v>1167</v>
      </c>
      <c r="E481" s="171" t="s">
        <v>983</v>
      </c>
      <c r="F481" s="156" t="s">
        <v>2617</v>
      </c>
      <c r="G481" s="156" t="s">
        <v>984</v>
      </c>
      <c r="H481" s="156" t="s">
        <v>1751</v>
      </c>
      <c r="I481" s="2" t="s">
        <v>985</v>
      </c>
      <c r="J481" s="264">
        <v>6.4939999999999998E-3</v>
      </c>
      <c r="K481" s="6" t="s">
        <v>986</v>
      </c>
      <c r="L481" s="149">
        <v>402490000</v>
      </c>
      <c r="M481" s="149">
        <v>0</v>
      </c>
      <c r="N481" s="457"/>
      <c r="O481" s="457" t="s">
        <v>1753</v>
      </c>
      <c r="P481" s="192">
        <v>0</v>
      </c>
      <c r="Q481" s="184">
        <v>0.25</v>
      </c>
      <c r="R481" s="184">
        <v>0.25</v>
      </c>
      <c r="S481" s="193">
        <v>0</v>
      </c>
      <c r="T481" s="193" t="s">
        <v>1650</v>
      </c>
      <c r="U481" s="88" t="s">
        <v>989</v>
      </c>
      <c r="V481" s="10">
        <v>0.1</v>
      </c>
      <c r="W481" s="6" t="s">
        <v>990</v>
      </c>
      <c r="X481" s="6"/>
      <c r="Y481" s="6" t="s">
        <v>2587</v>
      </c>
      <c r="Z481" s="6" t="s">
        <v>1849</v>
      </c>
      <c r="AA481" s="238">
        <f t="shared" si="65"/>
        <v>6.4940000000000006E-4</v>
      </c>
      <c r="AB481" s="252">
        <v>0</v>
      </c>
      <c r="AC481" s="278">
        <f>+(Tabla1[[#This Row],[Avance PDI]]*100%)/Tabla1[[#This Row],[ponderacion_meta]]</f>
        <v>0</v>
      </c>
      <c r="AD481" s="279">
        <v>0</v>
      </c>
      <c r="AE481" s="279">
        <v>3.2469999999999999E-3</v>
      </c>
      <c r="AF481" s="279">
        <v>3.2469999999999999E-3</v>
      </c>
      <c r="AG481" s="279">
        <v>0</v>
      </c>
      <c r="AH481" s="393">
        <f t="shared" si="68"/>
        <v>1.03071E-2</v>
      </c>
      <c r="AI481" s="393">
        <f t="shared" si="69"/>
        <v>7.1052631578947381E-2</v>
      </c>
      <c r="AJ481" s="316">
        <f t="shared" si="67"/>
        <v>7.1052631578947381E-2</v>
      </c>
      <c r="AK481" s="279">
        <v>6.4940000000000006E-4</v>
      </c>
      <c r="AL481" s="402">
        <f t="shared" ref="AL481:AL499" si="72">$AL$479</f>
        <v>2.5000000000000005E-2</v>
      </c>
      <c r="AM481" s="325">
        <v>0</v>
      </c>
      <c r="AN481" s="411">
        <f t="shared" ref="AN481:AN499" si="73">$AN$479</f>
        <v>2.5000000000000005E-2</v>
      </c>
      <c r="AO481" s="344" t="e">
        <f>+([1]!Tabla1[[#This Row],[ponderacion_accion]]/10%)*AQ481</f>
        <v>#REF!</v>
      </c>
      <c r="AP481" s="344" t="e">
        <f>Tabla1[[#This Row],[ponderacion_meta]]*AO481</f>
        <v>#REF!</v>
      </c>
      <c r="AQ481" s="354"/>
      <c r="AR481" s="378">
        <v>0</v>
      </c>
      <c r="AS481" s="9"/>
      <c r="AT481" s="521">
        <v>0</v>
      </c>
    </row>
    <row r="482" spans="1:46" ht="15" customHeight="1" x14ac:dyDescent="0.35">
      <c r="A482" s="236" t="s">
        <v>1152</v>
      </c>
      <c r="B482" s="237" t="s">
        <v>880</v>
      </c>
      <c r="C482" s="237" t="s">
        <v>1721</v>
      </c>
      <c r="D482" s="237" t="s">
        <v>1167</v>
      </c>
      <c r="E482" s="171" t="s">
        <v>983</v>
      </c>
      <c r="F482" s="156" t="s">
        <v>2617</v>
      </c>
      <c r="G482" s="156" t="s">
        <v>984</v>
      </c>
      <c r="H482" s="156" t="s">
        <v>1751</v>
      </c>
      <c r="I482" s="2" t="s">
        <v>985</v>
      </c>
      <c r="J482" s="264">
        <v>6.4939999999999998E-3</v>
      </c>
      <c r="K482" s="6" t="s">
        <v>986</v>
      </c>
      <c r="L482" s="149">
        <v>402490000</v>
      </c>
      <c r="M482" s="149">
        <v>0</v>
      </c>
      <c r="N482" s="457"/>
      <c r="O482" s="457" t="s">
        <v>1753</v>
      </c>
      <c r="P482" s="192">
        <v>0</v>
      </c>
      <c r="Q482" s="184">
        <v>0.25</v>
      </c>
      <c r="R482" s="184">
        <v>0.25</v>
      </c>
      <c r="S482" s="193">
        <v>0</v>
      </c>
      <c r="T482" s="193" t="s">
        <v>1651</v>
      </c>
      <c r="U482" s="88" t="s">
        <v>991</v>
      </c>
      <c r="V482" s="10">
        <v>0.6</v>
      </c>
      <c r="W482" s="6" t="s">
        <v>416</v>
      </c>
      <c r="X482" s="6"/>
      <c r="Y482" s="6" t="s">
        <v>2588</v>
      </c>
      <c r="Z482" s="6" t="s">
        <v>1849</v>
      </c>
      <c r="AA482" s="238">
        <f t="shared" si="65"/>
        <v>3.8963999999999995E-3</v>
      </c>
      <c r="AB482" s="252">
        <v>0</v>
      </c>
      <c r="AC482" s="278">
        <f>+(Tabla1[[#This Row],[Avance PDI]]*100%)/Tabla1[[#This Row],[ponderacion_meta]]</f>
        <v>0</v>
      </c>
      <c r="AD482" s="279">
        <v>0</v>
      </c>
      <c r="AE482" s="279">
        <v>3.2469999999999999E-3</v>
      </c>
      <c r="AF482" s="279">
        <v>3.2469999999999999E-3</v>
      </c>
      <c r="AG482" s="279">
        <v>0</v>
      </c>
      <c r="AH482" s="393">
        <f t="shared" si="68"/>
        <v>1.03071E-2</v>
      </c>
      <c r="AI482" s="393">
        <f t="shared" si="69"/>
        <v>7.1052631578947381E-2</v>
      </c>
      <c r="AJ482" s="316">
        <f t="shared" si="67"/>
        <v>7.1052631578947381E-2</v>
      </c>
      <c r="AK482" s="279">
        <v>6.4940000000000006E-4</v>
      </c>
      <c r="AL482" s="402">
        <f t="shared" si="72"/>
        <v>2.5000000000000005E-2</v>
      </c>
      <c r="AM482" s="325">
        <v>0</v>
      </c>
      <c r="AN482" s="411">
        <f t="shared" si="73"/>
        <v>2.5000000000000005E-2</v>
      </c>
      <c r="AO482" s="344" t="e">
        <f>+([1]!Tabla1[[#This Row],[ponderacion_accion]]/60%)*AQ482</f>
        <v>#REF!</v>
      </c>
      <c r="AP482" s="344" t="e">
        <f>Tabla1[[#This Row],[ponderacion_meta]]*AO482</f>
        <v>#REF!</v>
      </c>
      <c r="AQ482" s="354"/>
      <c r="AR482" s="378">
        <v>0</v>
      </c>
      <c r="AS482" s="9"/>
      <c r="AT482" s="521">
        <v>0</v>
      </c>
    </row>
    <row r="483" spans="1:46" ht="15" customHeight="1" x14ac:dyDescent="0.35">
      <c r="A483" s="236" t="s">
        <v>1152</v>
      </c>
      <c r="B483" s="237" t="s">
        <v>880</v>
      </c>
      <c r="C483" s="237" t="s">
        <v>1721</v>
      </c>
      <c r="D483" s="237" t="s">
        <v>1167</v>
      </c>
      <c r="E483" s="171" t="s">
        <v>983</v>
      </c>
      <c r="F483" s="156" t="s">
        <v>2617</v>
      </c>
      <c r="G483" s="156" t="s">
        <v>984</v>
      </c>
      <c r="H483" s="156" t="s">
        <v>1751</v>
      </c>
      <c r="I483" s="2" t="s">
        <v>985</v>
      </c>
      <c r="J483" s="264">
        <v>6.4939999999999998E-3</v>
      </c>
      <c r="K483" s="6" t="s">
        <v>986</v>
      </c>
      <c r="L483" s="149">
        <v>402490000</v>
      </c>
      <c r="M483" s="149">
        <v>0</v>
      </c>
      <c r="N483" s="457"/>
      <c r="O483" s="457" t="s">
        <v>1753</v>
      </c>
      <c r="P483" s="192">
        <v>0</v>
      </c>
      <c r="Q483" s="184">
        <v>0.25</v>
      </c>
      <c r="R483" s="184">
        <v>0.25</v>
      </c>
      <c r="S483" s="193">
        <v>0</v>
      </c>
      <c r="T483" s="193" t="s">
        <v>1652</v>
      </c>
      <c r="U483" s="88" t="s">
        <v>992</v>
      </c>
      <c r="V483" s="10">
        <v>0.1</v>
      </c>
      <c r="W483" s="6" t="s">
        <v>993</v>
      </c>
      <c r="X483" s="6"/>
      <c r="Y483" s="6" t="s">
        <v>2588</v>
      </c>
      <c r="Z483" s="6" t="s">
        <v>1849</v>
      </c>
      <c r="AA483" s="238">
        <f t="shared" si="65"/>
        <v>6.4940000000000006E-4</v>
      </c>
      <c r="AB483" s="252">
        <v>0</v>
      </c>
      <c r="AC483" s="278">
        <f>+(Tabla1[[#This Row],[Avance PDI]]*100%)/Tabla1[[#This Row],[ponderacion_meta]]</f>
        <v>0</v>
      </c>
      <c r="AD483" s="279">
        <v>0</v>
      </c>
      <c r="AE483" s="279">
        <v>3.2469999999999999E-3</v>
      </c>
      <c r="AF483" s="279">
        <v>3.2469999999999999E-3</v>
      </c>
      <c r="AG483" s="279">
        <v>0</v>
      </c>
      <c r="AH483" s="393">
        <f t="shared" si="68"/>
        <v>1.03071E-2</v>
      </c>
      <c r="AI483" s="393">
        <f t="shared" si="69"/>
        <v>7.1052631578947381E-2</v>
      </c>
      <c r="AJ483" s="316">
        <f t="shared" si="67"/>
        <v>7.1052631578947381E-2</v>
      </c>
      <c r="AK483" s="279">
        <v>6.4940000000000006E-4</v>
      </c>
      <c r="AL483" s="402">
        <f t="shared" si="72"/>
        <v>2.5000000000000005E-2</v>
      </c>
      <c r="AM483" s="325">
        <v>0</v>
      </c>
      <c r="AN483" s="411">
        <f t="shared" si="73"/>
        <v>2.5000000000000005E-2</v>
      </c>
      <c r="AO483" s="345" t="e">
        <f>+([1]!Tabla1[[#This Row],[ponderacion_accion]]/10%)*AQ483</f>
        <v>#REF!</v>
      </c>
      <c r="AP483" s="345" t="e">
        <f>Tabla1[[#This Row],[ponderacion_meta]]*AO483</f>
        <v>#REF!</v>
      </c>
      <c r="AQ483" s="357"/>
      <c r="AR483" s="379">
        <v>0</v>
      </c>
      <c r="AS483" s="9"/>
      <c r="AT483" s="521">
        <v>0</v>
      </c>
    </row>
    <row r="484" spans="1:46" ht="15" customHeight="1" x14ac:dyDescent="0.35">
      <c r="A484" s="236" t="s">
        <v>1152</v>
      </c>
      <c r="B484" s="237" t="s">
        <v>880</v>
      </c>
      <c r="C484" s="237" t="s">
        <v>1721</v>
      </c>
      <c r="D484" s="237" t="s">
        <v>1167</v>
      </c>
      <c r="E484" s="171" t="s">
        <v>983</v>
      </c>
      <c r="F484" s="156" t="s">
        <v>2617</v>
      </c>
      <c r="G484" s="156" t="s">
        <v>984</v>
      </c>
      <c r="H484" s="156" t="s">
        <v>1751</v>
      </c>
      <c r="I484" s="114" t="s">
        <v>994</v>
      </c>
      <c r="J484" s="267">
        <v>6.4939999999999998E-3</v>
      </c>
      <c r="K484" s="91" t="s">
        <v>995</v>
      </c>
      <c r="L484" s="150">
        <v>600000000</v>
      </c>
      <c r="M484" s="150">
        <v>0</v>
      </c>
      <c r="N484" s="458"/>
      <c r="O484" s="458" t="s">
        <v>1753</v>
      </c>
      <c r="P484" s="204">
        <v>0.1</v>
      </c>
      <c r="Q484" s="205">
        <v>0.3</v>
      </c>
      <c r="R484" s="205">
        <v>0.3</v>
      </c>
      <c r="S484" s="205">
        <v>0.3</v>
      </c>
      <c r="T484" s="205" t="s">
        <v>1653</v>
      </c>
      <c r="U484" s="90" t="s">
        <v>996</v>
      </c>
      <c r="V484" s="18">
        <v>0.1</v>
      </c>
      <c r="W484" s="91" t="s">
        <v>310</v>
      </c>
      <c r="X484" s="91"/>
      <c r="Y484" s="91" t="s">
        <v>2587</v>
      </c>
      <c r="Z484" s="91" t="s">
        <v>1849</v>
      </c>
      <c r="AA484" s="239">
        <f t="shared" ref="AA484:AA528" si="74">+J484*V484</f>
        <v>6.4940000000000006E-4</v>
      </c>
      <c r="AB484" s="252">
        <v>0</v>
      </c>
      <c r="AC484" s="262">
        <f>+(Tabla1[[#This Row],[Avance PDI]]*100%)/Tabla1[[#This Row],[ponderacion_meta]]</f>
        <v>0</v>
      </c>
      <c r="AD484" s="257">
        <f>+Tabla1[[#This Row],[ponderacion_meta]]*Tabla1[[#This Row],[proyeccion_año1]]</f>
        <v>6.4940000000000006E-4</v>
      </c>
      <c r="AE484" s="257">
        <f>+Tabla1[[#This Row],[ponderacion_meta]]*Tabla1[[#This Row],[proyeccion_año2]]</f>
        <v>1.9481999999999998E-3</v>
      </c>
      <c r="AF484" s="257">
        <f>+Tabla1[[#This Row],[ponderacion_meta]]*Tabla1[[#This Row],[proyeccion_año3]]</f>
        <v>1.9481999999999998E-3</v>
      </c>
      <c r="AG484" s="257">
        <f>+Tabla1[[#This Row],[ponderacion_meta]]*Tabla1[[#This Row],[proyeccion_año4]]</f>
        <v>1.9481999999999998E-3</v>
      </c>
      <c r="AH484" s="393">
        <f t="shared" si="68"/>
        <v>1.03071E-2</v>
      </c>
      <c r="AI484" s="393">
        <f t="shared" si="69"/>
        <v>7.1052631578947381E-2</v>
      </c>
      <c r="AJ484" s="316">
        <f t="shared" si="67"/>
        <v>7.1052631578947381E-2</v>
      </c>
      <c r="AK484" s="279">
        <v>6.4940000000000006E-4</v>
      </c>
      <c r="AL484" s="402">
        <f t="shared" si="72"/>
        <v>2.5000000000000005E-2</v>
      </c>
      <c r="AM484" s="325">
        <v>0</v>
      </c>
      <c r="AN484" s="411">
        <f t="shared" si="73"/>
        <v>2.5000000000000005E-2</v>
      </c>
      <c r="AO484" s="358" t="e">
        <f>+([1]!Tabla1[[#This Row],[ponderacion_accion]]/10%)*AQ484</f>
        <v>#REF!</v>
      </c>
      <c r="AP484" s="335" t="e">
        <f>Tabla1[[#This Row],[ponderacion_meta]]*AO484</f>
        <v>#REF!</v>
      </c>
      <c r="AQ484" s="361"/>
      <c r="AR484" s="380">
        <v>0</v>
      </c>
      <c r="AS484" s="7" t="e">
        <f>+((SUM(AO484:AO491)*100))/40</f>
        <v>#REF!</v>
      </c>
      <c r="AT484" s="521">
        <v>0</v>
      </c>
    </row>
    <row r="485" spans="1:46" ht="15" customHeight="1" x14ac:dyDescent="0.35">
      <c r="A485" s="236" t="s">
        <v>1152</v>
      </c>
      <c r="B485" s="237" t="s">
        <v>880</v>
      </c>
      <c r="C485" s="237" t="s">
        <v>1721</v>
      </c>
      <c r="D485" s="237" t="s">
        <v>1167</v>
      </c>
      <c r="E485" s="171" t="s">
        <v>983</v>
      </c>
      <c r="F485" s="156" t="s">
        <v>2617</v>
      </c>
      <c r="G485" s="156" t="s">
        <v>984</v>
      </c>
      <c r="H485" s="156" t="s">
        <v>1751</v>
      </c>
      <c r="I485" s="114" t="s">
        <v>994</v>
      </c>
      <c r="J485" s="267">
        <v>6.4939999999999998E-3</v>
      </c>
      <c r="K485" s="91" t="s">
        <v>995</v>
      </c>
      <c r="L485" s="150">
        <v>600000000</v>
      </c>
      <c r="M485" s="150">
        <v>0</v>
      </c>
      <c r="N485" s="458"/>
      <c r="O485" s="458" t="s">
        <v>1753</v>
      </c>
      <c r="P485" s="204">
        <v>0.1</v>
      </c>
      <c r="Q485" s="205">
        <v>0.3</v>
      </c>
      <c r="R485" s="205">
        <v>0.3</v>
      </c>
      <c r="S485" s="205">
        <v>0.3</v>
      </c>
      <c r="T485" s="205" t="s">
        <v>1654</v>
      </c>
      <c r="U485" s="90" t="s">
        <v>997</v>
      </c>
      <c r="V485" s="18">
        <v>0.05</v>
      </c>
      <c r="W485" s="91" t="s">
        <v>24</v>
      </c>
      <c r="X485" s="91"/>
      <c r="Y485" s="91" t="s">
        <v>2587</v>
      </c>
      <c r="Z485" s="91" t="s">
        <v>1849</v>
      </c>
      <c r="AA485" s="239">
        <f t="shared" si="74"/>
        <v>3.2470000000000003E-4</v>
      </c>
      <c r="AB485" s="252">
        <v>0</v>
      </c>
      <c r="AC485" s="262">
        <f>+(Tabla1[[#This Row],[Avance PDI]]*100%)/Tabla1[[#This Row],[ponderacion_meta]]</f>
        <v>0</v>
      </c>
      <c r="AD485" s="257">
        <v>6.4940000000000006E-4</v>
      </c>
      <c r="AE485" s="257">
        <v>1.9481999999999998E-3</v>
      </c>
      <c r="AF485" s="257">
        <v>1.9481999999999998E-3</v>
      </c>
      <c r="AG485" s="257">
        <v>1.9481999999999998E-3</v>
      </c>
      <c r="AH485" s="393">
        <f t="shared" si="68"/>
        <v>1.03071E-2</v>
      </c>
      <c r="AI485" s="393">
        <f t="shared" si="69"/>
        <v>7.1052631578947381E-2</v>
      </c>
      <c r="AJ485" s="316">
        <f t="shared" si="67"/>
        <v>7.1052631578947381E-2</v>
      </c>
      <c r="AK485" s="279">
        <v>6.4940000000000006E-4</v>
      </c>
      <c r="AL485" s="402">
        <f t="shared" si="72"/>
        <v>2.5000000000000005E-2</v>
      </c>
      <c r="AM485" s="325">
        <v>0</v>
      </c>
      <c r="AN485" s="411">
        <f t="shared" si="73"/>
        <v>2.5000000000000005E-2</v>
      </c>
      <c r="AO485" s="359" t="e">
        <f>+([1]!Tabla1[[#This Row],[ponderacion_accion]]/5%)*AQ485</f>
        <v>#REF!</v>
      </c>
      <c r="AP485" s="335" t="e">
        <f>Tabla1[[#This Row],[ponderacion_meta]]*AO485</f>
        <v>#REF!</v>
      </c>
      <c r="AQ485" s="351"/>
      <c r="AR485" s="380">
        <v>0</v>
      </c>
      <c r="AS485" s="9"/>
      <c r="AT485" s="521">
        <v>0</v>
      </c>
    </row>
    <row r="486" spans="1:46" ht="15" customHeight="1" x14ac:dyDescent="0.35">
      <c r="A486" s="236" t="s">
        <v>1152</v>
      </c>
      <c r="B486" s="237" t="s">
        <v>880</v>
      </c>
      <c r="C486" s="237" t="s">
        <v>1721</v>
      </c>
      <c r="D486" s="237" t="s">
        <v>1167</v>
      </c>
      <c r="E486" s="171" t="s">
        <v>983</v>
      </c>
      <c r="F486" s="156" t="s">
        <v>2617</v>
      </c>
      <c r="G486" s="156" t="s">
        <v>984</v>
      </c>
      <c r="H486" s="156" t="s">
        <v>1751</v>
      </c>
      <c r="I486" s="114" t="s">
        <v>994</v>
      </c>
      <c r="J486" s="267">
        <v>6.4939999999999998E-3</v>
      </c>
      <c r="K486" s="91" t="s">
        <v>995</v>
      </c>
      <c r="L486" s="150">
        <v>600000000</v>
      </c>
      <c r="M486" s="150">
        <v>0</v>
      </c>
      <c r="N486" s="458"/>
      <c r="O486" s="458" t="s">
        <v>1753</v>
      </c>
      <c r="P486" s="204">
        <v>0.1</v>
      </c>
      <c r="Q486" s="205">
        <v>0.3</v>
      </c>
      <c r="R486" s="205">
        <v>0.3</v>
      </c>
      <c r="S486" s="205">
        <v>0.3</v>
      </c>
      <c r="T486" s="205" t="s">
        <v>1655</v>
      </c>
      <c r="U486" s="90" t="s">
        <v>998</v>
      </c>
      <c r="V486" s="18">
        <v>0.05</v>
      </c>
      <c r="W486" s="91" t="s">
        <v>132</v>
      </c>
      <c r="X486" s="91"/>
      <c r="Y486" s="91" t="s">
        <v>2587</v>
      </c>
      <c r="Z486" s="91" t="s">
        <v>1849</v>
      </c>
      <c r="AA486" s="239">
        <f t="shared" si="74"/>
        <v>3.2470000000000003E-4</v>
      </c>
      <c r="AB486" s="252">
        <v>0</v>
      </c>
      <c r="AC486" s="262">
        <f>+(Tabla1[[#This Row],[Avance PDI]]*100%)/Tabla1[[#This Row],[ponderacion_meta]]</f>
        <v>0</v>
      </c>
      <c r="AD486" s="257">
        <v>6.4940000000000006E-4</v>
      </c>
      <c r="AE486" s="257">
        <v>1.9481999999999998E-3</v>
      </c>
      <c r="AF486" s="257">
        <v>1.9481999999999998E-3</v>
      </c>
      <c r="AG486" s="257">
        <v>1.9481999999999998E-3</v>
      </c>
      <c r="AH486" s="393">
        <f t="shared" si="68"/>
        <v>1.03071E-2</v>
      </c>
      <c r="AI486" s="393">
        <f t="shared" si="69"/>
        <v>7.1052631578947381E-2</v>
      </c>
      <c r="AJ486" s="316">
        <f t="shared" si="67"/>
        <v>7.1052631578947381E-2</v>
      </c>
      <c r="AK486" s="279">
        <v>6.4940000000000006E-4</v>
      </c>
      <c r="AL486" s="402">
        <f t="shared" si="72"/>
        <v>2.5000000000000005E-2</v>
      </c>
      <c r="AM486" s="325">
        <v>0</v>
      </c>
      <c r="AN486" s="411">
        <f t="shared" si="73"/>
        <v>2.5000000000000005E-2</v>
      </c>
      <c r="AO486" s="359" t="e">
        <f>+([1]!Tabla1[[#This Row],[ponderacion_accion]]/5%)*AQ486</f>
        <v>#REF!</v>
      </c>
      <c r="AP486" s="335" t="e">
        <f>Tabla1[[#This Row],[ponderacion_meta]]*AO486</f>
        <v>#REF!</v>
      </c>
      <c r="AQ486" s="351"/>
      <c r="AR486" s="380">
        <v>0</v>
      </c>
      <c r="AS486" s="9"/>
      <c r="AT486" s="521">
        <v>0</v>
      </c>
    </row>
    <row r="487" spans="1:46" ht="15" customHeight="1" x14ac:dyDescent="0.35">
      <c r="A487" s="236" t="s">
        <v>1152</v>
      </c>
      <c r="B487" s="237" t="s">
        <v>880</v>
      </c>
      <c r="C487" s="237" t="s">
        <v>1721</v>
      </c>
      <c r="D487" s="237" t="s">
        <v>1167</v>
      </c>
      <c r="E487" s="171" t="s">
        <v>983</v>
      </c>
      <c r="F487" s="156" t="s">
        <v>2617</v>
      </c>
      <c r="G487" s="156" t="s">
        <v>984</v>
      </c>
      <c r="H487" s="156" t="s">
        <v>1751</v>
      </c>
      <c r="I487" s="114" t="s">
        <v>994</v>
      </c>
      <c r="J487" s="267">
        <v>6.4939999999999998E-3</v>
      </c>
      <c r="K487" s="91" t="s">
        <v>995</v>
      </c>
      <c r="L487" s="150">
        <v>600000000</v>
      </c>
      <c r="M487" s="150">
        <v>0</v>
      </c>
      <c r="N487" s="458"/>
      <c r="O487" s="458" t="s">
        <v>1753</v>
      </c>
      <c r="P487" s="204">
        <v>0.1</v>
      </c>
      <c r="Q487" s="205">
        <v>0.3</v>
      </c>
      <c r="R487" s="205">
        <v>0.3</v>
      </c>
      <c r="S487" s="205">
        <v>0.3</v>
      </c>
      <c r="T487" s="205" t="s">
        <v>1656</v>
      </c>
      <c r="U487" s="90" t="s">
        <v>999</v>
      </c>
      <c r="V487" s="18">
        <v>0.1</v>
      </c>
      <c r="W487" s="91" t="s">
        <v>1000</v>
      </c>
      <c r="X487" s="91"/>
      <c r="Y487" s="91" t="s">
        <v>2587</v>
      </c>
      <c r="Z487" s="91" t="s">
        <v>1849</v>
      </c>
      <c r="AA487" s="239">
        <f t="shared" si="74"/>
        <v>6.4940000000000006E-4</v>
      </c>
      <c r="AB487" s="252">
        <v>0</v>
      </c>
      <c r="AC487" s="262">
        <f>+(Tabla1[[#This Row],[Avance PDI]]*100%)/Tabla1[[#This Row],[ponderacion_meta]]</f>
        <v>0</v>
      </c>
      <c r="AD487" s="257">
        <v>6.4940000000000006E-4</v>
      </c>
      <c r="AE487" s="257">
        <v>1.9481999999999998E-3</v>
      </c>
      <c r="AF487" s="257">
        <v>1.9481999999999998E-3</v>
      </c>
      <c r="AG487" s="257">
        <v>1.9481999999999998E-3</v>
      </c>
      <c r="AH487" s="393">
        <f t="shared" si="68"/>
        <v>1.03071E-2</v>
      </c>
      <c r="AI487" s="393">
        <f t="shared" si="69"/>
        <v>7.1052631578947381E-2</v>
      </c>
      <c r="AJ487" s="316">
        <f t="shared" si="67"/>
        <v>7.1052631578947381E-2</v>
      </c>
      <c r="AK487" s="279">
        <v>6.4940000000000006E-4</v>
      </c>
      <c r="AL487" s="402">
        <f t="shared" si="72"/>
        <v>2.5000000000000005E-2</v>
      </c>
      <c r="AM487" s="325">
        <v>0</v>
      </c>
      <c r="AN487" s="411">
        <f t="shared" si="73"/>
        <v>2.5000000000000005E-2</v>
      </c>
      <c r="AO487" s="359" t="e">
        <f>+([1]!Tabla1[[#This Row],[ponderacion_accion]]/10%)*AQ487</f>
        <v>#REF!</v>
      </c>
      <c r="AP487" s="335" t="e">
        <f>Tabla1[[#This Row],[ponderacion_meta]]*AO487</f>
        <v>#REF!</v>
      </c>
      <c r="AQ487" s="351"/>
      <c r="AR487" s="380">
        <v>0</v>
      </c>
      <c r="AS487" s="9"/>
      <c r="AT487" s="521">
        <v>0</v>
      </c>
    </row>
    <row r="488" spans="1:46" ht="15" customHeight="1" x14ac:dyDescent="0.35">
      <c r="A488" s="236" t="s">
        <v>1152</v>
      </c>
      <c r="B488" s="237" t="s">
        <v>880</v>
      </c>
      <c r="C488" s="237" t="s">
        <v>1721</v>
      </c>
      <c r="D488" s="237" t="s">
        <v>1167</v>
      </c>
      <c r="E488" s="171" t="s">
        <v>983</v>
      </c>
      <c r="F488" s="156" t="s">
        <v>2617</v>
      </c>
      <c r="G488" s="156" t="s">
        <v>984</v>
      </c>
      <c r="H488" s="156" t="s">
        <v>1751</v>
      </c>
      <c r="I488" s="114" t="s">
        <v>994</v>
      </c>
      <c r="J488" s="267">
        <v>6.4939999999999998E-3</v>
      </c>
      <c r="K488" s="91" t="s">
        <v>995</v>
      </c>
      <c r="L488" s="150">
        <v>600000000</v>
      </c>
      <c r="M488" s="150">
        <v>0</v>
      </c>
      <c r="N488" s="458"/>
      <c r="O488" s="458" t="s">
        <v>1753</v>
      </c>
      <c r="P488" s="204">
        <v>0.1</v>
      </c>
      <c r="Q488" s="205">
        <v>0.3</v>
      </c>
      <c r="R488" s="205">
        <v>0.3</v>
      </c>
      <c r="S488" s="205">
        <v>0.3</v>
      </c>
      <c r="T488" s="205" t="s">
        <v>1657</v>
      </c>
      <c r="U488" s="90" t="s">
        <v>1001</v>
      </c>
      <c r="V488" s="18">
        <v>0.1</v>
      </c>
      <c r="W488" s="91" t="s">
        <v>1002</v>
      </c>
      <c r="X488" s="91"/>
      <c r="Y488" s="91" t="s">
        <v>2587</v>
      </c>
      <c r="Z488" s="91" t="s">
        <v>1849</v>
      </c>
      <c r="AA488" s="239">
        <f t="shared" si="74"/>
        <v>6.4940000000000006E-4</v>
      </c>
      <c r="AB488" s="252">
        <v>0</v>
      </c>
      <c r="AC488" s="262">
        <f>+(Tabla1[[#This Row],[Avance PDI]]*100%)/Tabla1[[#This Row],[ponderacion_meta]]</f>
        <v>0</v>
      </c>
      <c r="AD488" s="257">
        <v>6.4940000000000006E-4</v>
      </c>
      <c r="AE488" s="257">
        <v>1.9481999999999998E-3</v>
      </c>
      <c r="AF488" s="257">
        <v>1.9481999999999998E-3</v>
      </c>
      <c r="AG488" s="257">
        <v>1.9481999999999998E-3</v>
      </c>
      <c r="AH488" s="393">
        <f t="shared" si="68"/>
        <v>1.03071E-2</v>
      </c>
      <c r="AI488" s="393">
        <f t="shared" si="69"/>
        <v>7.1052631578947381E-2</v>
      </c>
      <c r="AJ488" s="316">
        <f t="shared" si="67"/>
        <v>7.1052631578947381E-2</v>
      </c>
      <c r="AK488" s="279">
        <v>6.4940000000000006E-4</v>
      </c>
      <c r="AL488" s="402">
        <f t="shared" si="72"/>
        <v>2.5000000000000005E-2</v>
      </c>
      <c r="AM488" s="325">
        <v>0</v>
      </c>
      <c r="AN488" s="411">
        <f t="shared" si="73"/>
        <v>2.5000000000000005E-2</v>
      </c>
      <c r="AO488" s="359" t="e">
        <f>+([1]!Tabla1[[#This Row],[ponderacion_accion]]/10%)*AQ488</f>
        <v>#REF!</v>
      </c>
      <c r="AP488" s="335" t="e">
        <f>Tabla1[[#This Row],[ponderacion_meta]]*AO488</f>
        <v>#REF!</v>
      </c>
      <c r="AQ488" s="351"/>
      <c r="AR488" s="380">
        <v>0</v>
      </c>
      <c r="AS488" s="9"/>
      <c r="AT488" s="521">
        <v>0</v>
      </c>
    </row>
    <row r="489" spans="1:46" ht="15" customHeight="1" x14ac:dyDescent="0.35">
      <c r="A489" s="236" t="s">
        <v>1152</v>
      </c>
      <c r="B489" s="237" t="s">
        <v>880</v>
      </c>
      <c r="C489" s="237" t="s">
        <v>1721</v>
      </c>
      <c r="D489" s="237" t="s">
        <v>1167</v>
      </c>
      <c r="E489" s="171" t="s">
        <v>983</v>
      </c>
      <c r="F489" s="156" t="s">
        <v>2617</v>
      </c>
      <c r="G489" s="156" t="s">
        <v>984</v>
      </c>
      <c r="H489" s="156" t="s">
        <v>1751</v>
      </c>
      <c r="I489" s="114" t="s">
        <v>994</v>
      </c>
      <c r="J489" s="267">
        <v>6.4939999999999998E-3</v>
      </c>
      <c r="K489" s="91" t="s">
        <v>995</v>
      </c>
      <c r="L489" s="150">
        <v>600000000</v>
      </c>
      <c r="M489" s="150">
        <v>0</v>
      </c>
      <c r="N489" s="458"/>
      <c r="O489" s="458" t="s">
        <v>1753</v>
      </c>
      <c r="P489" s="204">
        <v>0.1</v>
      </c>
      <c r="Q489" s="205">
        <v>0.3</v>
      </c>
      <c r="R489" s="205">
        <v>0.3</v>
      </c>
      <c r="S489" s="205">
        <v>0.3</v>
      </c>
      <c r="T489" s="205" t="s">
        <v>1658</v>
      </c>
      <c r="U489" s="90" t="s">
        <v>1003</v>
      </c>
      <c r="V489" s="18">
        <v>0.1</v>
      </c>
      <c r="W489" s="91" t="s">
        <v>1004</v>
      </c>
      <c r="X489" s="91"/>
      <c r="Y489" s="91" t="s">
        <v>2588</v>
      </c>
      <c r="Z489" s="91" t="s">
        <v>1849</v>
      </c>
      <c r="AA489" s="239">
        <f t="shared" si="74"/>
        <v>6.4940000000000006E-4</v>
      </c>
      <c r="AB489" s="252">
        <v>0</v>
      </c>
      <c r="AC489" s="262">
        <f>+(Tabla1[[#This Row],[Avance PDI]]*100%)/Tabla1[[#This Row],[ponderacion_meta]]</f>
        <v>0</v>
      </c>
      <c r="AD489" s="257">
        <v>6.4940000000000006E-4</v>
      </c>
      <c r="AE489" s="257">
        <v>1.9481999999999998E-3</v>
      </c>
      <c r="AF489" s="257">
        <v>1.9481999999999998E-3</v>
      </c>
      <c r="AG489" s="257">
        <v>1.9481999999999998E-3</v>
      </c>
      <c r="AH489" s="393">
        <f t="shared" si="68"/>
        <v>1.03071E-2</v>
      </c>
      <c r="AI489" s="393">
        <f t="shared" si="69"/>
        <v>7.1052631578947381E-2</v>
      </c>
      <c r="AJ489" s="316">
        <f t="shared" si="67"/>
        <v>7.1052631578947381E-2</v>
      </c>
      <c r="AK489" s="279">
        <v>6.4940000000000006E-4</v>
      </c>
      <c r="AL489" s="402">
        <f t="shared" si="72"/>
        <v>2.5000000000000005E-2</v>
      </c>
      <c r="AM489" s="325">
        <v>0</v>
      </c>
      <c r="AN489" s="411">
        <f t="shared" si="73"/>
        <v>2.5000000000000005E-2</v>
      </c>
      <c r="AO489" s="359" t="e">
        <f>+([1]!Tabla1[[#This Row],[ponderacion_accion]]/10%)*AQ489</f>
        <v>#REF!</v>
      </c>
      <c r="AP489" s="335" t="e">
        <f>Tabla1[[#This Row],[ponderacion_meta]]*AO489</f>
        <v>#REF!</v>
      </c>
      <c r="AQ489" s="351"/>
      <c r="AR489" s="380">
        <v>0</v>
      </c>
      <c r="AS489" s="9"/>
      <c r="AT489" s="521">
        <v>0</v>
      </c>
    </row>
    <row r="490" spans="1:46" ht="15" customHeight="1" x14ac:dyDescent="0.35">
      <c r="A490" s="236" t="s">
        <v>1152</v>
      </c>
      <c r="B490" s="237" t="s">
        <v>880</v>
      </c>
      <c r="C490" s="237" t="s">
        <v>1721</v>
      </c>
      <c r="D490" s="237" t="s">
        <v>1167</v>
      </c>
      <c r="E490" s="171" t="s">
        <v>983</v>
      </c>
      <c r="F490" s="156" t="s">
        <v>2617</v>
      </c>
      <c r="G490" s="156" t="s">
        <v>984</v>
      </c>
      <c r="H490" s="156" t="s">
        <v>1751</v>
      </c>
      <c r="I490" s="114" t="s">
        <v>994</v>
      </c>
      <c r="J490" s="267">
        <v>6.4939999999999998E-3</v>
      </c>
      <c r="K490" s="91" t="s">
        <v>995</v>
      </c>
      <c r="L490" s="150">
        <v>600000000</v>
      </c>
      <c r="M490" s="150">
        <v>0</v>
      </c>
      <c r="N490" s="458"/>
      <c r="O490" s="458" t="s">
        <v>1753</v>
      </c>
      <c r="P490" s="204">
        <v>0.1</v>
      </c>
      <c r="Q490" s="205">
        <v>0.3</v>
      </c>
      <c r="R490" s="205">
        <v>0.3</v>
      </c>
      <c r="S490" s="205">
        <v>0.3</v>
      </c>
      <c r="T490" s="205" t="s">
        <v>1659</v>
      </c>
      <c r="U490" s="90" t="s">
        <v>1005</v>
      </c>
      <c r="V490" s="18">
        <v>0.1</v>
      </c>
      <c r="W490" s="91" t="s">
        <v>1006</v>
      </c>
      <c r="X490" s="91"/>
      <c r="Y490" s="91" t="s">
        <v>2588</v>
      </c>
      <c r="Z490" s="91" t="s">
        <v>1849</v>
      </c>
      <c r="AA490" s="239">
        <f t="shared" si="74"/>
        <v>6.4940000000000006E-4</v>
      </c>
      <c r="AB490" s="252">
        <v>0</v>
      </c>
      <c r="AC490" s="262">
        <f>+(Tabla1[[#This Row],[Avance PDI]]*100%)/Tabla1[[#This Row],[ponderacion_meta]]</f>
        <v>0</v>
      </c>
      <c r="AD490" s="257">
        <v>6.4940000000000006E-4</v>
      </c>
      <c r="AE490" s="257">
        <v>1.9481999999999998E-3</v>
      </c>
      <c r="AF490" s="257">
        <v>1.9481999999999998E-3</v>
      </c>
      <c r="AG490" s="257">
        <v>1.9481999999999998E-3</v>
      </c>
      <c r="AH490" s="393">
        <f t="shared" si="68"/>
        <v>1.03071E-2</v>
      </c>
      <c r="AI490" s="393">
        <f t="shared" si="69"/>
        <v>7.1052631578947381E-2</v>
      </c>
      <c r="AJ490" s="316">
        <f t="shared" si="67"/>
        <v>7.1052631578947381E-2</v>
      </c>
      <c r="AK490" s="279">
        <v>6.4940000000000006E-4</v>
      </c>
      <c r="AL490" s="402">
        <f t="shared" si="72"/>
        <v>2.5000000000000005E-2</v>
      </c>
      <c r="AM490" s="325">
        <v>0</v>
      </c>
      <c r="AN490" s="411">
        <f t="shared" si="73"/>
        <v>2.5000000000000005E-2</v>
      </c>
      <c r="AO490" s="359" t="e">
        <f>+([1]!Tabla1[[#This Row],[ponderacion_accion]]/10%)*AQ490</f>
        <v>#REF!</v>
      </c>
      <c r="AP490" s="335" t="e">
        <f>Tabla1[[#This Row],[ponderacion_meta]]*AO490</f>
        <v>#REF!</v>
      </c>
      <c r="AQ490" s="351"/>
      <c r="AR490" s="380">
        <v>0</v>
      </c>
      <c r="AS490" s="9"/>
      <c r="AT490" s="521">
        <v>0</v>
      </c>
    </row>
    <row r="491" spans="1:46" ht="15" customHeight="1" x14ac:dyDescent="0.35">
      <c r="A491" s="236" t="s">
        <v>1152</v>
      </c>
      <c r="B491" s="237" t="s">
        <v>880</v>
      </c>
      <c r="C491" s="237" t="s">
        <v>1721</v>
      </c>
      <c r="D491" s="237" t="s">
        <v>1167</v>
      </c>
      <c r="E491" s="171" t="s">
        <v>983</v>
      </c>
      <c r="F491" s="156" t="s">
        <v>2617</v>
      </c>
      <c r="G491" s="156" t="s">
        <v>984</v>
      </c>
      <c r="H491" s="156" t="s">
        <v>1751</v>
      </c>
      <c r="I491" s="114" t="s">
        <v>994</v>
      </c>
      <c r="J491" s="267">
        <v>6.4939999999999998E-3</v>
      </c>
      <c r="K491" s="91" t="s">
        <v>995</v>
      </c>
      <c r="L491" s="150">
        <v>600000000</v>
      </c>
      <c r="M491" s="150">
        <v>0</v>
      </c>
      <c r="N491" s="458"/>
      <c r="O491" s="458" t="s">
        <v>1753</v>
      </c>
      <c r="P491" s="204">
        <v>0.1</v>
      </c>
      <c r="Q491" s="205">
        <v>0.3</v>
      </c>
      <c r="R491" s="205">
        <v>0.3</v>
      </c>
      <c r="S491" s="205">
        <v>0.3</v>
      </c>
      <c r="T491" s="205" t="s">
        <v>1660</v>
      </c>
      <c r="U491" s="90" t="s">
        <v>1007</v>
      </c>
      <c r="V491" s="18">
        <v>0.4</v>
      </c>
      <c r="W491" s="91" t="s">
        <v>1008</v>
      </c>
      <c r="X491" s="91"/>
      <c r="Y491" s="91" t="s">
        <v>2588</v>
      </c>
      <c r="Z491" s="91" t="s">
        <v>1849</v>
      </c>
      <c r="AA491" s="239">
        <f t="shared" si="74"/>
        <v>2.5976000000000003E-3</v>
      </c>
      <c r="AB491" s="252">
        <v>0</v>
      </c>
      <c r="AC491" s="262">
        <f>+(Tabla1[[#This Row],[Avance PDI]]*100%)/Tabla1[[#This Row],[ponderacion_meta]]</f>
        <v>0</v>
      </c>
      <c r="AD491" s="257">
        <v>6.4940000000000006E-4</v>
      </c>
      <c r="AE491" s="257">
        <v>1.9481999999999998E-3</v>
      </c>
      <c r="AF491" s="257">
        <v>1.9481999999999998E-3</v>
      </c>
      <c r="AG491" s="257">
        <v>1.9481999999999998E-3</v>
      </c>
      <c r="AH491" s="393">
        <f t="shared" si="68"/>
        <v>1.03071E-2</v>
      </c>
      <c r="AI491" s="393">
        <f t="shared" si="69"/>
        <v>7.1052631578947381E-2</v>
      </c>
      <c r="AJ491" s="316">
        <f t="shared" si="67"/>
        <v>7.1052631578947381E-2</v>
      </c>
      <c r="AK491" s="279">
        <v>6.4940000000000006E-4</v>
      </c>
      <c r="AL491" s="402">
        <f t="shared" si="72"/>
        <v>2.5000000000000005E-2</v>
      </c>
      <c r="AM491" s="325">
        <v>0</v>
      </c>
      <c r="AN491" s="411">
        <f t="shared" si="73"/>
        <v>2.5000000000000005E-2</v>
      </c>
      <c r="AO491" s="360" t="e">
        <f>+([1]!Tabla1[[#This Row],[ponderacion_accion]]/40%)*AQ491</f>
        <v>#REF!</v>
      </c>
      <c r="AP491" s="335" t="e">
        <f>Tabla1[[#This Row],[ponderacion_meta]]*AO491</f>
        <v>#REF!</v>
      </c>
      <c r="AQ491" s="352"/>
      <c r="AR491" s="380">
        <v>0</v>
      </c>
      <c r="AS491" s="9"/>
      <c r="AT491" s="521">
        <v>0</v>
      </c>
    </row>
    <row r="492" spans="1:46" ht="15" customHeight="1" x14ac:dyDescent="0.35">
      <c r="A492" s="236" t="s">
        <v>1152</v>
      </c>
      <c r="B492" s="237" t="s">
        <v>880</v>
      </c>
      <c r="C492" s="237" t="s">
        <v>1721</v>
      </c>
      <c r="D492" s="237" t="s">
        <v>1167</v>
      </c>
      <c r="E492" s="171" t="s">
        <v>983</v>
      </c>
      <c r="F492" s="156" t="s">
        <v>2617</v>
      </c>
      <c r="G492" s="156" t="s">
        <v>984</v>
      </c>
      <c r="H492" s="156" t="s">
        <v>1751</v>
      </c>
      <c r="I492" s="2" t="s">
        <v>1009</v>
      </c>
      <c r="J492" s="264">
        <v>6.4939999999999998E-3</v>
      </c>
      <c r="K492" s="110" t="s">
        <v>1010</v>
      </c>
      <c r="L492" s="149">
        <v>56000000</v>
      </c>
      <c r="M492" s="149">
        <v>0</v>
      </c>
      <c r="N492" s="457"/>
      <c r="O492" s="457" t="s">
        <v>2622</v>
      </c>
      <c r="P492" s="192">
        <v>0</v>
      </c>
      <c r="Q492" s="193">
        <v>1</v>
      </c>
      <c r="R492" s="193">
        <v>0</v>
      </c>
      <c r="S492" s="193">
        <v>0</v>
      </c>
      <c r="T492" s="193" t="s">
        <v>1661</v>
      </c>
      <c r="U492" s="88" t="s">
        <v>81</v>
      </c>
      <c r="V492" s="10">
        <v>0.1</v>
      </c>
      <c r="W492" s="6" t="s">
        <v>1011</v>
      </c>
      <c r="X492" s="6"/>
      <c r="Y492" s="6" t="s">
        <v>2587</v>
      </c>
      <c r="Z492" s="6" t="s">
        <v>1849</v>
      </c>
      <c r="AA492" s="238">
        <f t="shared" si="74"/>
        <v>6.4940000000000006E-4</v>
      </c>
      <c r="AB492" s="254">
        <v>0</v>
      </c>
      <c r="AC492" s="278">
        <f>+(Tabla1[[#This Row],[Avance PDI]]*100%)/Tabla1[[#This Row],[ponderacion_meta]]</f>
        <v>0</v>
      </c>
      <c r="AD492" s="279">
        <f>+Tabla1[[#This Row],[ponderacion_meta]]*Tabla1[[#This Row],[proyeccion_año1]]</f>
        <v>0</v>
      </c>
      <c r="AE492" s="279">
        <f>+Tabla1[[#This Row],[ponderacion_meta]]*Tabla1[[#This Row],[proyeccion_año2]]</f>
        <v>6.4939999999999998E-3</v>
      </c>
      <c r="AF492" s="279">
        <f>+Tabla1[[#This Row],[ponderacion_meta]]*Tabla1[[#This Row],[proyeccion_año3]]</f>
        <v>0</v>
      </c>
      <c r="AG492" s="279">
        <f>+Tabla1[[#This Row],[ponderacion_meta]]*Tabla1[[#This Row],[proyeccion_año4]]</f>
        <v>0</v>
      </c>
      <c r="AH492" s="393">
        <f t="shared" si="68"/>
        <v>1.03071E-2</v>
      </c>
      <c r="AI492" s="393">
        <f t="shared" si="69"/>
        <v>7.1052631578947381E-2</v>
      </c>
      <c r="AJ492" s="316">
        <f t="shared" si="67"/>
        <v>7.1052631578947381E-2</v>
      </c>
      <c r="AK492" s="279">
        <v>6.4940000000000006E-4</v>
      </c>
      <c r="AL492" s="402">
        <f t="shared" si="72"/>
        <v>2.5000000000000005E-2</v>
      </c>
      <c r="AM492" s="325">
        <v>0</v>
      </c>
      <c r="AN492" s="411">
        <f t="shared" si="73"/>
        <v>2.5000000000000005E-2</v>
      </c>
      <c r="AO492" s="343" t="e">
        <f>+([1]!Tabla1[[#This Row],[ponderacion_accion]]/10%)*AQ492</f>
        <v>#REF!</v>
      </c>
      <c r="AP492" s="343" t="e">
        <f>Tabla1[[#This Row],[ponderacion_meta]]*AO492</f>
        <v>#REF!</v>
      </c>
      <c r="AQ492" s="353"/>
      <c r="AR492" s="377">
        <v>0</v>
      </c>
      <c r="AS492" s="7" t="e">
        <f>+((SUM(AO492:AO495)*100))/100</f>
        <v>#REF!</v>
      </c>
      <c r="AT492" s="521">
        <v>0</v>
      </c>
    </row>
    <row r="493" spans="1:46" ht="15" customHeight="1" x14ac:dyDescent="0.35">
      <c r="A493" s="236" t="s">
        <v>1152</v>
      </c>
      <c r="B493" s="237" t="s">
        <v>880</v>
      </c>
      <c r="C493" s="237" t="s">
        <v>1721</v>
      </c>
      <c r="D493" s="237" t="s">
        <v>1167</v>
      </c>
      <c r="E493" s="171" t="s">
        <v>983</v>
      </c>
      <c r="F493" s="156" t="s">
        <v>2617</v>
      </c>
      <c r="G493" s="156" t="s">
        <v>984</v>
      </c>
      <c r="H493" s="156" t="s">
        <v>1751</v>
      </c>
      <c r="I493" s="2" t="s">
        <v>1009</v>
      </c>
      <c r="J493" s="264">
        <v>6.4939999999999998E-3</v>
      </c>
      <c r="K493" s="6" t="s">
        <v>1010</v>
      </c>
      <c r="L493" s="149">
        <v>56000000</v>
      </c>
      <c r="M493" s="149">
        <v>0</v>
      </c>
      <c r="N493" s="457"/>
      <c r="O493" s="457" t="s">
        <v>2622</v>
      </c>
      <c r="P493" s="192">
        <v>0</v>
      </c>
      <c r="Q493" s="193">
        <v>1</v>
      </c>
      <c r="R493" s="193">
        <v>0</v>
      </c>
      <c r="S493" s="193">
        <v>0</v>
      </c>
      <c r="T493" s="193" t="s">
        <v>1662</v>
      </c>
      <c r="U493" s="88" t="s">
        <v>1012</v>
      </c>
      <c r="V493" s="10">
        <v>0.2</v>
      </c>
      <c r="W493" s="6" t="s">
        <v>888</v>
      </c>
      <c r="X493" s="6"/>
      <c r="Y493" s="6" t="s">
        <v>2587</v>
      </c>
      <c r="Z493" s="6" t="s">
        <v>1849</v>
      </c>
      <c r="AA493" s="238">
        <f t="shared" si="74"/>
        <v>1.2988000000000001E-3</v>
      </c>
      <c r="AB493" s="252">
        <v>0</v>
      </c>
      <c r="AC493" s="278">
        <f>+(Tabla1[[#This Row],[Avance PDI]]*100%)/Tabla1[[#This Row],[ponderacion_meta]]</f>
        <v>0</v>
      </c>
      <c r="AD493" s="279">
        <v>0</v>
      </c>
      <c r="AE493" s="279">
        <v>6.4939999999999998E-3</v>
      </c>
      <c r="AF493" s="279">
        <v>0</v>
      </c>
      <c r="AG493" s="279">
        <v>0</v>
      </c>
      <c r="AH493" s="393">
        <f t="shared" si="68"/>
        <v>1.03071E-2</v>
      </c>
      <c r="AI493" s="393">
        <f t="shared" si="69"/>
        <v>7.1052631578947381E-2</v>
      </c>
      <c r="AJ493" s="316">
        <f t="shared" si="67"/>
        <v>7.1052631578947381E-2</v>
      </c>
      <c r="AK493" s="279">
        <v>6.4940000000000006E-4</v>
      </c>
      <c r="AL493" s="402">
        <f t="shared" si="72"/>
        <v>2.5000000000000005E-2</v>
      </c>
      <c r="AM493" s="325">
        <v>0</v>
      </c>
      <c r="AN493" s="411">
        <f t="shared" si="73"/>
        <v>2.5000000000000005E-2</v>
      </c>
      <c r="AO493" s="344" t="e">
        <f>+([1]!Tabla1[[#This Row],[ponderacion_accion]]/20%)*AQ493</f>
        <v>#REF!</v>
      </c>
      <c r="AP493" s="344" t="e">
        <f>Tabla1[[#This Row],[ponderacion_meta]]*AO493</f>
        <v>#REF!</v>
      </c>
      <c r="AQ493" s="354"/>
      <c r="AR493" s="378">
        <v>0</v>
      </c>
      <c r="AS493" s="9"/>
      <c r="AT493" s="521">
        <v>0</v>
      </c>
    </row>
    <row r="494" spans="1:46" ht="15" customHeight="1" x14ac:dyDescent="0.35">
      <c r="A494" s="236" t="s">
        <v>1152</v>
      </c>
      <c r="B494" s="237" t="s">
        <v>880</v>
      </c>
      <c r="C494" s="237" t="s">
        <v>1721</v>
      </c>
      <c r="D494" s="237" t="s">
        <v>1167</v>
      </c>
      <c r="E494" s="171" t="s">
        <v>983</v>
      </c>
      <c r="F494" s="156" t="s">
        <v>2617</v>
      </c>
      <c r="G494" s="156" t="s">
        <v>984</v>
      </c>
      <c r="H494" s="156" t="s">
        <v>1751</v>
      </c>
      <c r="I494" s="2" t="s">
        <v>1009</v>
      </c>
      <c r="J494" s="264">
        <v>6.4939999999999998E-3</v>
      </c>
      <c r="K494" s="6" t="s">
        <v>1010</v>
      </c>
      <c r="L494" s="149">
        <v>56000000</v>
      </c>
      <c r="M494" s="149">
        <v>0</v>
      </c>
      <c r="N494" s="457"/>
      <c r="O494" s="457" t="s">
        <v>2622</v>
      </c>
      <c r="P494" s="192">
        <v>0</v>
      </c>
      <c r="Q494" s="193">
        <v>1</v>
      </c>
      <c r="R494" s="193">
        <v>0</v>
      </c>
      <c r="S494" s="193">
        <v>0</v>
      </c>
      <c r="T494" s="193" t="s">
        <v>1663</v>
      </c>
      <c r="U494" s="88" t="s">
        <v>1013</v>
      </c>
      <c r="V494" s="10">
        <v>0.2</v>
      </c>
      <c r="W494" s="6" t="s">
        <v>1014</v>
      </c>
      <c r="X494" s="6"/>
      <c r="Y494" s="6" t="s">
        <v>2587</v>
      </c>
      <c r="Z494" s="6" t="s">
        <v>1849</v>
      </c>
      <c r="AA494" s="238">
        <f t="shared" si="74"/>
        <v>1.2988000000000001E-3</v>
      </c>
      <c r="AB494" s="252">
        <v>0</v>
      </c>
      <c r="AC494" s="278">
        <f>+(Tabla1[[#This Row],[Avance PDI]]*100%)/Tabla1[[#This Row],[ponderacion_meta]]</f>
        <v>0</v>
      </c>
      <c r="AD494" s="279">
        <v>0</v>
      </c>
      <c r="AE494" s="279">
        <v>6.4939999999999998E-3</v>
      </c>
      <c r="AF494" s="279">
        <v>0</v>
      </c>
      <c r="AG494" s="279">
        <v>0</v>
      </c>
      <c r="AH494" s="393">
        <f t="shared" si="68"/>
        <v>1.03071E-2</v>
      </c>
      <c r="AI494" s="393">
        <f t="shared" si="69"/>
        <v>7.1052631578947381E-2</v>
      </c>
      <c r="AJ494" s="316">
        <f t="shared" si="67"/>
        <v>7.1052631578947381E-2</v>
      </c>
      <c r="AK494" s="279">
        <v>6.4940000000000006E-4</v>
      </c>
      <c r="AL494" s="402">
        <f t="shared" si="72"/>
        <v>2.5000000000000005E-2</v>
      </c>
      <c r="AM494" s="325">
        <v>0</v>
      </c>
      <c r="AN494" s="411">
        <f t="shared" si="73"/>
        <v>2.5000000000000005E-2</v>
      </c>
      <c r="AO494" s="344" t="e">
        <f>+([1]!Tabla1[[#This Row],[ponderacion_accion]]/20%)*AQ494</f>
        <v>#REF!</v>
      </c>
      <c r="AP494" s="344" t="e">
        <f>Tabla1[[#This Row],[ponderacion_meta]]*AO494</f>
        <v>#REF!</v>
      </c>
      <c r="AQ494" s="354"/>
      <c r="AR494" s="378">
        <v>0</v>
      </c>
      <c r="AS494" s="9"/>
      <c r="AT494" s="521">
        <v>0</v>
      </c>
    </row>
    <row r="495" spans="1:46" ht="15" customHeight="1" x14ac:dyDescent="0.35">
      <c r="A495" s="236" t="s">
        <v>1152</v>
      </c>
      <c r="B495" s="237" t="s">
        <v>880</v>
      </c>
      <c r="C495" s="237" t="s">
        <v>1721</v>
      </c>
      <c r="D495" s="237" t="s">
        <v>1167</v>
      </c>
      <c r="E495" s="171" t="s">
        <v>983</v>
      </c>
      <c r="F495" s="156" t="s">
        <v>2617</v>
      </c>
      <c r="G495" s="156" t="s">
        <v>984</v>
      </c>
      <c r="H495" s="156" t="s">
        <v>1751</v>
      </c>
      <c r="I495" s="2" t="s">
        <v>1009</v>
      </c>
      <c r="J495" s="264">
        <v>6.4939999999999998E-3</v>
      </c>
      <c r="K495" s="6" t="s">
        <v>1010</v>
      </c>
      <c r="L495" s="149">
        <v>56000000</v>
      </c>
      <c r="M495" s="149">
        <v>0</v>
      </c>
      <c r="N495" s="457"/>
      <c r="O495" s="457" t="s">
        <v>2622</v>
      </c>
      <c r="P495" s="192">
        <v>0</v>
      </c>
      <c r="Q495" s="193">
        <v>1</v>
      </c>
      <c r="R495" s="193">
        <v>0</v>
      </c>
      <c r="S495" s="193">
        <v>0</v>
      </c>
      <c r="T495" s="193" t="s">
        <v>1664</v>
      </c>
      <c r="U495" s="88" t="s">
        <v>1015</v>
      </c>
      <c r="V495" s="10">
        <v>0.5</v>
      </c>
      <c r="W495" s="6" t="s">
        <v>982</v>
      </c>
      <c r="X495" s="6"/>
      <c r="Y495" s="6" t="s">
        <v>2587</v>
      </c>
      <c r="Z495" s="6" t="s">
        <v>1849</v>
      </c>
      <c r="AA495" s="238">
        <f t="shared" si="74"/>
        <v>3.2469999999999999E-3</v>
      </c>
      <c r="AB495" s="252">
        <v>0</v>
      </c>
      <c r="AC495" s="278">
        <f>+(Tabla1[[#This Row],[Avance PDI]]*100%)/Tabla1[[#This Row],[ponderacion_meta]]</f>
        <v>0</v>
      </c>
      <c r="AD495" s="279">
        <v>0</v>
      </c>
      <c r="AE495" s="279">
        <v>6.4939999999999998E-3</v>
      </c>
      <c r="AF495" s="279">
        <v>0</v>
      </c>
      <c r="AG495" s="279">
        <v>0</v>
      </c>
      <c r="AH495" s="393">
        <f t="shared" si="68"/>
        <v>1.03071E-2</v>
      </c>
      <c r="AI495" s="393">
        <f t="shared" si="69"/>
        <v>7.1052631578947381E-2</v>
      </c>
      <c r="AJ495" s="316">
        <f t="shared" si="67"/>
        <v>7.1052631578947381E-2</v>
      </c>
      <c r="AK495" s="279">
        <v>6.4940000000000006E-4</v>
      </c>
      <c r="AL495" s="402">
        <f t="shared" si="72"/>
        <v>2.5000000000000005E-2</v>
      </c>
      <c r="AM495" s="325">
        <v>0</v>
      </c>
      <c r="AN495" s="411">
        <f t="shared" si="73"/>
        <v>2.5000000000000005E-2</v>
      </c>
      <c r="AO495" s="345" t="e">
        <f>+([1]!Tabla1[[#This Row],[ponderacion_accion]]/50%)*AQ495</f>
        <v>#REF!</v>
      </c>
      <c r="AP495" s="345" t="e">
        <f>Tabla1[[#This Row],[ponderacion_meta]]*AO495</f>
        <v>#REF!</v>
      </c>
      <c r="AQ495" s="357"/>
      <c r="AR495" s="379">
        <v>0</v>
      </c>
      <c r="AS495" s="9"/>
      <c r="AT495" s="521">
        <v>0</v>
      </c>
    </row>
    <row r="496" spans="1:46" ht="15" customHeight="1" x14ac:dyDescent="0.35">
      <c r="A496" s="236" t="s">
        <v>1152</v>
      </c>
      <c r="B496" s="237" t="s">
        <v>880</v>
      </c>
      <c r="C496" s="237" t="s">
        <v>1721</v>
      </c>
      <c r="D496" s="237" t="s">
        <v>1167</v>
      </c>
      <c r="E496" s="171" t="s">
        <v>983</v>
      </c>
      <c r="F496" s="156" t="s">
        <v>2617</v>
      </c>
      <c r="G496" s="156" t="s">
        <v>984</v>
      </c>
      <c r="H496" s="156" t="s">
        <v>1751</v>
      </c>
      <c r="I496" s="7" t="s">
        <v>1016</v>
      </c>
      <c r="J496" s="265">
        <v>6.4939999999999998E-3</v>
      </c>
      <c r="K496" s="87" t="s">
        <v>1017</v>
      </c>
      <c r="L496" s="150">
        <v>367000000</v>
      </c>
      <c r="M496" s="150">
        <v>0</v>
      </c>
      <c r="N496" s="458"/>
      <c r="O496" s="458" t="s">
        <v>1753</v>
      </c>
      <c r="P496" s="204">
        <v>0.2</v>
      </c>
      <c r="Q496" s="205">
        <v>0.3</v>
      </c>
      <c r="R496" s="205">
        <v>0.5</v>
      </c>
      <c r="S496" s="195">
        <v>0</v>
      </c>
      <c r="T496" s="195" t="s">
        <v>1665</v>
      </c>
      <c r="U496" s="87" t="s">
        <v>81</v>
      </c>
      <c r="V496" s="11">
        <v>0.1</v>
      </c>
      <c r="W496" s="9" t="s">
        <v>45</v>
      </c>
      <c r="X496" s="9"/>
      <c r="Y496" s="7" t="s">
        <v>2587</v>
      </c>
      <c r="Z496" s="9" t="s">
        <v>1849</v>
      </c>
      <c r="AA496" s="239">
        <f t="shared" si="74"/>
        <v>6.4940000000000006E-4</v>
      </c>
      <c r="AB496" s="254">
        <f>+Tabla1[[#This Row],[ponderacion_meta]]*Tabla1[[#This Row],[ponderacion_accion]]</f>
        <v>6.4940000000000006E-4</v>
      </c>
      <c r="AC496" s="262">
        <f>+(Tabla1[[#This Row],[Avance PDI]]*100%)/Tabla1[[#This Row],[ponderacion_meta]]</f>
        <v>0.10000000000000002</v>
      </c>
      <c r="AD496" s="257">
        <f>+Tabla1[[#This Row],[ponderacion_meta]]*Tabla1[[#This Row],[proyeccion_año1]]</f>
        <v>1.2988000000000001E-3</v>
      </c>
      <c r="AE496" s="257">
        <f>+Tabla1[[#This Row],[ponderacion_meta]]*Tabla1[[#This Row],[proyeccion_año2]]</f>
        <v>1.9481999999999998E-3</v>
      </c>
      <c r="AF496" s="257">
        <f>+Tabla1[[#This Row],[ponderacion_meta]]*Tabla1[[#This Row],[proyeccion_año3]]</f>
        <v>3.2469999999999999E-3</v>
      </c>
      <c r="AG496" s="257">
        <f>+Tabla1[[#This Row],[ponderacion_meta]]*Tabla1[[#This Row],[proyeccion_año4]]</f>
        <v>0</v>
      </c>
      <c r="AH496" s="393">
        <f t="shared" si="68"/>
        <v>1.03071E-2</v>
      </c>
      <c r="AI496" s="393">
        <f t="shared" si="69"/>
        <v>7.1052631578947381E-2</v>
      </c>
      <c r="AJ496" s="316">
        <f t="shared" si="67"/>
        <v>7.1052631578947381E-2</v>
      </c>
      <c r="AK496" s="279">
        <v>6.4940000000000006E-4</v>
      </c>
      <c r="AL496" s="402">
        <f t="shared" si="72"/>
        <v>2.5000000000000005E-2</v>
      </c>
      <c r="AM496" s="325">
        <v>0</v>
      </c>
      <c r="AN496" s="411">
        <f t="shared" si="73"/>
        <v>2.5000000000000005E-2</v>
      </c>
      <c r="AO496" s="358" t="e">
        <f>+([1]!Tabla1[[#This Row],[ponderacion_accion]]/10%)*AQ496</f>
        <v>#REF!</v>
      </c>
      <c r="AP496" s="335" t="e">
        <f>Tabla1[[#This Row],[ponderacion_meta]]*AO496</f>
        <v>#REF!</v>
      </c>
      <c r="AQ496" s="349">
        <v>0.1</v>
      </c>
      <c r="AR496" s="380">
        <v>158058030.66</v>
      </c>
      <c r="AS496" s="7" t="e">
        <f>+((SUM(AO496:AO499)*100))/100</f>
        <v>#REF!</v>
      </c>
      <c r="AT496" s="521">
        <v>0</v>
      </c>
    </row>
    <row r="497" spans="1:46" ht="15" customHeight="1" x14ac:dyDescent="0.35">
      <c r="A497" s="236" t="s">
        <v>1152</v>
      </c>
      <c r="B497" s="237" t="s">
        <v>880</v>
      </c>
      <c r="C497" s="237" t="s">
        <v>1721</v>
      </c>
      <c r="D497" s="237" t="s">
        <v>1167</v>
      </c>
      <c r="E497" s="171" t="s">
        <v>983</v>
      </c>
      <c r="F497" s="156" t="s">
        <v>2617</v>
      </c>
      <c r="G497" s="156" t="s">
        <v>984</v>
      </c>
      <c r="H497" s="156" t="s">
        <v>1751</v>
      </c>
      <c r="I497" s="7" t="s">
        <v>1016</v>
      </c>
      <c r="J497" s="265">
        <v>6.4939999999999998E-3</v>
      </c>
      <c r="K497" s="9" t="s">
        <v>1017</v>
      </c>
      <c r="L497" s="150">
        <v>367000000</v>
      </c>
      <c r="M497" s="150">
        <v>0</v>
      </c>
      <c r="N497" s="458"/>
      <c r="O497" s="458" t="s">
        <v>1753</v>
      </c>
      <c r="P497" s="204">
        <v>0.2</v>
      </c>
      <c r="Q497" s="205">
        <v>0.3</v>
      </c>
      <c r="R497" s="205">
        <v>0.5</v>
      </c>
      <c r="S497" s="195">
        <v>0</v>
      </c>
      <c r="T497" s="195" t="s">
        <v>1666</v>
      </c>
      <c r="U497" s="87" t="s">
        <v>1018</v>
      </c>
      <c r="V497" s="11">
        <v>0.2</v>
      </c>
      <c r="W497" s="9" t="s">
        <v>979</v>
      </c>
      <c r="X497" s="9"/>
      <c r="Y497" s="7" t="s">
        <v>2587</v>
      </c>
      <c r="Z497" s="9" t="s">
        <v>1849</v>
      </c>
      <c r="AA497" s="239">
        <f t="shared" si="74"/>
        <v>1.2988000000000001E-3</v>
      </c>
      <c r="AB497" s="252">
        <v>0</v>
      </c>
      <c r="AC497" s="262">
        <f>+(Tabla1[[#This Row],[Avance PDI]]*100%)/Tabla1[[#This Row],[ponderacion_meta]]</f>
        <v>0</v>
      </c>
      <c r="AD497" s="257">
        <v>1.2988000000000001E-3</v>
      </c>
      <c r="AE497" s="257">
        <v>1.9481999999999998E-3</v>
      </c>
      <c r="AF497" s="257">
        <v>3.2469999999999999E-3</v>
      </c>
      <c r="AG497" s="257">
        <v>0</v>
      </c>
      <c r="AH497" s="393">
        <f t="shared" si="68"/>
        <v>1.03071E-2</v>
      </c>
      <c r="AI497" s="393">
        <f t="shared" si="69"/>
        <v>7.1052631578947381E-2</v>
      </c>
      <c r="AJ497" s="316">
        <f t="shared" ref="AJ497:AJ528" si="75">+SUM($AC$432:$AC$528)/19</f>
        <v>7.1052631578947381E-2</v>
      </c>
      <c r="AK497" s="279">
        <v>6.4940000000000006E-4</v>
      </c>
      <c r="AL497" s="402">
        <f t="shared" si="72"/>
        <v>2.5000000000000005E-2</v>
      </c>
      <c r="AM497" s="325">
        <v>0</v>
      </c>
      <c r="AN497" s="411">
        <f t="shared" si="73"/>
        <v>2.5000000000000005E-2</v>
      </c>
      <c r="AO497" s="359" t="e">
        <f>+([1]!Tabla1[[#This Row],[ponderacion_accion]]/20%)*AQ497</f>
        <v>#REF!</v>
      </c>
      <c r="AP497" s="335" t="e">
        <f>Tabla1[[#This Row],[ponderacion_meta]]*AO497</f>
        <v>#REF!</v>
      </c>
      <c r="AQ497" s="351"/>
      <c r="AR497" s="380">
        <v>0</v>
      </c>
      <c r="AS497" s="9"/>
      <c r="AT497" s="521">
        <v>0</v>
      </c>
    </row>
    <row r="498" spans="1:46" ht="15" customHeight="1" x14ac:dyDescent="0.35">
      <c r="A498" s="236" t="s">
        <v>1152</v>
      </c>
      <c r="B498" s="237" t="s">
        <v>880</v>
      </c>
      <c r="C498" s="237" t="s">
        <v>1721</v>
      </c>
      <c r="D498" s="237" t="s">
        <v>1167</v>
      </c>
      <c r="E498" s="171" t="s">
        <v>983</v>
      </c>
      <c r="F498" s="156" t="s">
        <v>2617</v>
      </c>
      <c r="G498" s="156" t="s">
        <v>984</v>
      </c>
      <c r="H498" s="156" t="s">
        <v>1751</v>
      </c>
      <c r="I498" s="7" t="s">
        <v>1016</v>
      </c>
      <c r="J498" s="265">
        <v>6.4939999999999998E-3</v>
      </c>
      <c r="K498" s="9" t="s">
        <v>1017</v>
      </c>
      <c r="L498" s="150">
        <v>367000000</v>
      </c>
      <c r="M498" s="150">
        <v>0</v>
      </c>
      <c r="N498" s="458"/>
      <c r="O498" s="458" t="s">
        <v>1753</v>
      </c>
      <c r="P498" s="204">
        <v>0.2</v>
      </c>
      <c r="Q498" s="205">
        <v>0.3</v>
      </c>
      <c r="R498" s="205">
        <v>0.5</v>
      </c>
      <c r="S498" s="195">
        <v>0</v>
      </c>
      <c r="T498" s="195" t="s">
        <v>1667</v>
      </c>
      <c r="U498" s="87" t="s">
        <v>1019</v>
      </c>
      <c r="V498" s="11">
        <v>0.5</v>
      </c>
      <c r="W498" s="9" t="s">
        <v>990</v>
      </c>
      <c r="X498" s="9"/>
      <c r="Y498" s="7" t="s">
        <v>2587</v>
      </c>
      <c r="Z498" s="9" t="s">
        <v>1849</v>
      </c>
      <c r="AA498" s="239">
        <f t="shared" si="74"/>
        <v>3.2469999999999999E-3</v>
      </c>
      <c r="AB498" s="252">
        <v>0</v>
      </c>
      <c r="AC498" s="262">
        <f>+(Tabla1[[#This Row],[Avance PDI]]*100%)/Tabla1[[#This Row],[ponderacion_meta]]</f>
        <v>0</v>
      </c>
      <c r="AD498" s="257">
        <v>1.2988000000000001E-3</v>
      </c>
      <c r="AE498" s="257">
        <v>1.9481999999999998E-3</v>
      </c>
      <c r="AF498" s="257">
        <v>3.2469999999999999E-3</v>
      </c>
      <c r="AG498" s="257">
        <v>0</v>
      </c>
      <c r="AH498" s="393">
        <f t="shared" ref="AH498:AH528" si="76">$AH$432</f>
        <v>1.03071E-2</v>
      </c>
      <c r="AI498" s="393">
        <f t="shared" ref="AI498:AI528" si="77">$AI$432</f>
        <v>7.1052631578947381E-2</v>
      </c>
      <c r="AJ498" s="316">
        <f t="shared" si="75"/>
        <v>7.1052631578947381E-2</v>
      </c>
      <c r="AK498" s="279">
        <v>6.4940000000000006E-4</v>
      </c>
      <c r="AL498" s="402">
        <f t="shared" si="72"/>
        <v>2.5000000000000005E-2</v>
      </c>
      <c r="AM498" s="325">
        <v>0</v>
      </c>
      <c r="AN498" s="411">
        <f t="shared" si="73"/>
        <v>2.5000000000000005E-2</v>
      </c>
      <c r="AO498" s="359" t="e">
        <f>+([1]!Tabla1[[#This Row],[ponderacion_accion]]/50%)*AQ498</f>
        <v>#REF!</v>
      </c>
      <c r="AP498" s="335" t="e">
        <f>Tabla1[[#This Row],[ponderacion_meta]]*AO498</f>
        <v>#REF!</v>
      </c>
      <c r="AQ498" s="351"/>
      <c r="AR498" s="380">
        <v>0</v>
      </c>
      <c r="AS498" s="9"/>
      <c r="AT498" s="521">
        <v>0</v>
      </c>
    </row>
    <row r="499" spans="1:46" ht="15" customHeight="1" x14ac:dyDescent="0.35">
      <c r="A499" s="236" t="s">
        <v>1152</v>
      </c>
      <c r="B499" s="237" t="s">
        <v>880</v>
      </c>
      <c r="C499" s="237" t="s">
        <v>1721</v>
      </c>
      <c r="D499" s="237" t="s">
        <v>1167</v>
      </c>
      <c r="E499" s="171" t="s">
        <v>983</v>
      </c>
      <c r="F499" s="156" t="s">
        <v>2617</v>
      </c>
      <c r="G499" s="156" t="s">
        <v>984</v>
      </c>
      <c r="H499" s="156" t="s">
        <v>1751</v>
      </c>
      <c r="I499" s="7" t="s">
        <v>1016</v>
      </c>
      <c r="J499" s="265">
        <v>6.4939999999999998E-3</v>
      </c>
      <c r="K499" s="9" t="s">
        <v>1017</v>
      </c>
      <c r="L499" s="150">
        <v>367000000</v>
      </c>
      <c r="M499" s="150">
        <v>0</v>
      </c>
      <c r="N499" s="458"/>
      <c r="O499" s="458" t="s">
        <v>1753</v>
      </c>
      <c r="P499" s="204">
        <v>0.2</v>
      </c>
      <c r="Q499" s="205">
        <v>0.3</v>
      </c>
      <c r="R499" s="205">
        <v>0.5</v>
      </c>
      <c r="S499" s="195">
        <v>0</v>
      </c>
      <c r="T499" s="195" t="s">
        <v>1668</v>
      </c>
      <c r="U499" s="87" t="s">
        <v>1020</v>
      </c>
      <c r="V499" s="11">
        <v>0.2</v>
      </c>
      <c r="W499" s="9" t="s">
        <v>88</v>
      </c>
      <c r="X499" s="9"/>
      <c r="Y499" s="7" t="s">
        <v>2587</v>
      </c>
      <c r="Z499" s="9" t="s">
        <v>1849</v>
      </c>
      <c r="AA499" s="239">
        <f t="shared" si="74"/>
        <v>1.2988000000000001E-3</v>
      </c>
      <c r="AB499" s="252">
        <v>0</v>
      </c>
      <c r="AC499" s="262">
        <f>+(Tabla1[[#This Row],[Avance PDI]]*100%)/Tabla1[[#This Row],[ponderacion_meta]]</f>
        <v>0</v>
      </c>
      <c r="AD499" s="257">
        <v>1.2988000000000001E-3</v>
      </c>
      <c r="AE499" s="257">
        <v>1.9481999999999998E-3</v>
      </c>
      <c r="AF499" s="257">
        <v>3.2469999999999999E-3</v>
      </c>
      <c r="AG499" s="257">
        <v>0</v>
      </c>
      <c r="AH499" s="393">
        <f t="shared" si="76"/>
        <v>1.03071E-2</v>
      </c>
      <c r="AI499" s="393">
        <f t="shared" si="77"/>
        <v>7.1052631578947381E-2</v>
      </c>
      <c r="AJ499" s="316">
        <f t="shared" si="75"/>
        <v>7.1052631578947381E-2</v>
      </c>
      <c r="AK499" s="279">
        <v>6.4940000000000006E-4</v>
      </c>
      <c r="AL499" s="402">
        <f t="shared" si="72"/>
        <v>2.5000000000000005E-2</v>
      </c>
      <c r="AM499" s="325">
        <v>0</v>
      </c>
      <c r="AN499" s="411">
        <f t="shared" si="73"/>
        <v>2.5000000000000005E-2</v>
      </c>
      <c r="AO499" s="360" t="e">
        <f>+([1]!Tabla1[[#This Row],[ponderacion_accion]]/20%)*AQ499</f>
        <v>#REF!</v>
      </c>
      <c r="AP499" s="335" t="e">
        <f>Tabla1[[#This Row],[ponderacion_meta]]*AO499</f>
        <v>#REF!</v>
      </c>
      <c r="AQ499" s="356"/>
      <c r="AR499" s="380">
        <v>0</v>
      </c>
      <c r="AS499" s="9"/>
      <c r="AT499" s="521">
        <v>0</v>
      </c>
    </row>
    <row r="500" spans="1:46" ht="15" customHeight="1" x14ac:dyDescent="0.35">
      <c r="A500" s="236" t="s">
        <v>1152</v>
      </c>
      <c r="B500" s="237" t="s">
        <v>880</v>
      </c>
      <c r="C500" s="237" t="s">
        <v>1721</v>
      </c>
      <c r="D500" s="237" t="s">
        <v>1717</v>
      </c>
      <c r="E500" s="176" t="s">
        <v>1021</v>
      </c>
      <c r="F500" s="176" t="s">
        <v>2618</v>
      </c>
      <c r="G500" s="155" t="s">
        <v>1022</v>
      </c>
      <c r="H500" s="415" t="s">
        <v>1752</v>
      </c>
      <c r="I500" s="2" t="s">
        <v>1023</v>
      </c>
      <c r="J500" s="264">
        <v>6.4939999999999998E-3</v>
      </c>
      <c r="K500" s="6" t="s">
        <v>1024</v>
      </c>
      <c r="L500" s="149">
        <v>0</v>
      </c>
      <c r="M500" s="149">
        <v>0</v>
      </c>
      <c r="N500" s="457"/>
      <c r="O500" s="457" t="s">
        <v>2622</v>
      </c>
      <c r="P500" s="192">
        <v>0</v>
      </c>
      <c r="Q500" s="193">
        <v>16</v>
      </c>
      <c r="R500" s="193">
        <v>16</v>
      </c>
      <c r="S500" s="193">
        <v>16</v>
      </c>
      <c r="T500" s="193" t="s">
        <v>1669</v>
      </c>
      <c r="U500" s="88" t="s">
        <v>1025</v>
      </c>
      <c r="V500" s="10">
        <v>0.2</v>
      </c>
      <c r="W500" s="6" t="s">
        <v>1026</v>
      </c>
      <c r="X500" s="6"/>
      <c r="Y500" s="2" t="s">
        <v>2587</v>
      </c>
      <c r="Z500" s="251" t="s">
        <v>2575</v>
      </c>
      <c r="AA500" s="238">
        <f t="shared" si="74"/>
        <v>1.2988000000000001E-3</v>
      </c>
      <c r="AB500" s="252">
        <v>0</v>
      </c>
      <c r="AC500" s="278">
        <f>+(Tabla1[[#This Row],[Avance PDI]]*100%)/Tabla1[[#This Row],[ponderacion_meta]]</f>
        <v>0</v>
      </c>
      <c r="AD500" s="279">
        <f>+Tabla1[[#This Row],[ponderacion_meta]]*Tabla1[[#This Row],[proyeccion_año1]]</f>
        <v>0</v>
      </c>
      <c r="AE500" s="279">
        <f>+Tabla1[[#This Row],[ponderacion_meta]]/48*Tabla1[[#This Row],[proyeccion_año2]]</f>
        <v>2.1646666666666667E-3</v>
      </c>
      <c r="AF500" s="279">
        <f>+Tabla1[[#This Row],[ponderacion_meta]]/48*Tabla1[[#This Row],[proyeccion_año3]]</f>
        <v>2.1646666666666667E-3</v>
      </c>
      <c r="AG500" s="279">
        <f>+Tabla1[[#This Row],[ponderacion_meta]]/48*Tabla1[[#This Row],[proyeccion_año4]]</f>
        <v>2.1646666666666667E-3</v>
      </c>
      <c r="AH500" s="393">
        <f t="shared" si="76"/>
        <v>1.03071E-2</v>
      </c>
      <c r="AI500" s="393">
        <f t="shared" si="77"/>
        <v>7.1052631578947381E-2</v>
      </c>
      <c r="AJ500" s="316">
        <f t="shared" si="75"/>
        <v>7.1052631578947381E-2</v>
      </c>
      <c r="AK500" s="386">
        <f>+SUM(AB500:AB528)</f>
        <v>3.2470000000000003E-3</v>
      </c>
      <c r="AL500" s="320">
        <f>+SUM(AC500:AC528)/6</f>
        <v>8.3333333333333356E-2</v>
      </c>
      <c r="AM500" s="326">
        <f>+SUM(AB500:AB528)</f>
        <v>3.2470000000000003E-3</v>
      </c>
      <c r="AN500" s="410">
        <f>+SUM(AC500:AC528)/6</f>
        <v>8.3333333333333356E-2</v>
      </c>
      <c r="AO500" s="343" t="e">
        <f>+([1]!Tabla1[[#This Row],[ponderacion_accion]]/48)*AQ500</f>
        <v>#REF!</v>
      </c>
      <c r="AP500" s="343" t="e">
        <f>Tabla1[[#This Row],[ponderacion_meta]]*AO500</f>
        <v>#REF!</v>
      </c>
      <c r="AQ500" s="353"/>
      <c r="AR500" s="377">
        <v>0</v>
      </c>
      <c r="AS500" s="7" t="e">
        <f>+((SUM(AO500:AO502)*100))/33.33</f>
        <v>#REF!</v>
      </c>
      <c r="AT500" s="521">
        <v>0</v>
      </c>
    </row>
    <row r="501" spans="1:46" ht="15" customHeight="1" x14ac:dyDescent="0.35">
      <c r="A501" s="236" t="s">
        <v>1152</v>
      </c>
      <c r="B501" s="237" t="s">
        <v>880</v>
      </c>
      <c r="C501" s="237" t="s">
        <v>1721</v>
      </c>
      <c r="D501" s="237" t="s">
        <v>1717</v>
      </c>
      <c r="E501" s="176" t="s">
        <v>1021</v>
      </c>
      <c r="F501" s="176" t="s">
        <v>2618</v>
      </c>
      <c r="G501" s="155" t="s">
        <v>1022</v>
      </c>
      <c r="H501" s="155" t="s">
        <v>1752</v>
      </c>
      <c r="I501" s="2" t="s">
        <v>1023</v>
      </c>
      <c r="J501" s="264">
        <v>6.4939999999999998E-3</v>
      </c>
      <c r="K501" s="6" t="s">
        <v>1024</v>
      </c>
      <c r="L501" s="149">
        <v>0</v>
      </c>
      <c r="M501" s="149">
        <v>0</v>
      </c>
      <c r="N501" s="457"/>
      <c r="O501" s="457" t="s">
        <v>2622</v>
      </c>
      <c r="P501" s="192">
        <v>0</v>
      </c>
      <c r="Q501" s="193">
        <v>16</v>
      </c>
      <c r="R501" s="193">
        <v>16</v>
      </c>
      <c r="S501" s="193">
        <v>16</v>
      </c>
      <c r="T501" s="193" t="s">
        <v>1670</v>
      </c>
      <c r="U501" s="88" t="s">
        <v>1027</v>
      </c>
      <c r="V501" s="10">
        <v>0.2</v>
      </c>
      <c r="W501" s="6" t="s">
        <v>1028</v>
      </c>
      <c r="X501" s="6"/>
      <c r="Y501" s="2" t="s">
        <v>2587</v>
      </c>
      <c r="Z501" s="6" t="s">
        <v>1849</v>
      </c>
      <c r="AA501" s="238">
        <f t="shared" si="74"/>
        <v>1.2988000000000001E-3</v>
      </c>
      <c r="AB501" s="252">
        <v>0</v>
      </c>
      <c r="AC501" s="278">
        <f>+(Tabla1[[#This Row],[Avance PDI]]*100%)/Tabla1[[#This Row],[ponderacion_meta]]</f>
        <v>0</v>
      </c>
      <c r="AD501" s="279">
        <v>0</v>
      </c>
      <c r="AE501" s="279">
        <v>2.1646666666666667E-3</v>
      </c>
      <c r="AF501" s="279">
        <v>2.1646666666666667E-3</v>
      </c>
      <c r="AG501" s="279">
        <v>2.1646666666666667E-3</v>
      </c>
      <c r="AH501" s="393">
        <f t="shared" si="76"/>
        <v>1.03071E-2</v>
      </c>
      <c r="AI501" s="393">
        <f t="shared" si="77"/>
        <v>7.1052631578947381E-2</v>
      </c>
      <c r="AJ501" s="316">
        <f t="shared" si="75"/>
        <v>7.1052631578947381E-2</v>
      </c>
      <c r="AK501" s="387">
        <v>3.2470000000000003E-3</v>
      </c>
      <c r="AL501" s="406">
        <f>$AL$500</f>
        <v>8.3333333333333356E-2</v>
      </c>
      <c r="AM501" s="327">
        <v>0</v>
      </c>
      <c r="AN501" s="410">
        <f>$AN$500</f>
        <v>8.3333333333333356E-2</v>
      </c>
      <c r="AO501" s="344" t="e">
        <f>+([1]!Tabla1[[#This Row],[ponderacion_accion]]/48)*AQ501</f>
        <v>#REF!</v>
      </c>
      <c r="AP501" s="344" t="e">
        <f>Tabla1[[#This Row],[ponderacion_meta]]*AO501</f>
        <v>#REF!</v>
      </c>
      <c r="AQ501" s="354"/>
      <c r="AR501" s="378">
        <v>0</v>
      </c>
      <c r="AS501" s="9"/>
      <c r="AT501" s="521">
        <v>0</v>
      </c>
    </row>
    <row r="502" spans="1:46" ht="15" customHeight="1" x14ac:dyDescent="0.35">
      <c r="A502" s="236" t="s">
        <v>1152</v>
      </c>
      <c r="B502" s="237" t="s">
        <v>880</v>
      </c>
      <c r="C502" s="237" t="s">
        <v>1721</v>
      </c>
      <c r="D502" s="237" t="s">
        <v>1717</v>
      </c>
      <c r="E502" s="176" t="s">
        <v>1021</v>
      </c>
      <c r="F502" s="176" t="s">
        <v>2618</v>
      </c>
      <c r="G502" s="155" t="s">
        <v>1022</v>
      </c>
      <c r="H502" s="155" t="s">
        <v>1752</v>
      </c>
      <c r="I502" s="2" t="s">
        <v>1023</v>
      </c>
      <c r="J502" s="264">
        <v>6.4939999999999998E-3</v>
      </c>
      <c r="K502" s="6" t="s">
        <v>1024</v>
      </c>
      <c r="L502" s="149">
        <v>0</v>
      </c>
      <c r="M502" s="149">
        <v>0</v>
      </c>
      <c r="N502" s="457"/>
      <c r="O502" s="457" t="s">
        <v>2622</v>
      </c>
      <c r="P502" s="192">
        <v>0</v>
      </c>
      <c r="Q502" s="193">
        <v>16</v>
      </c>
      <c r="R502" s="193">
        <v>16</v>
      </c>
      <c r="S502" s="193">
        <v>16</v>
      </c>
      <c r="T502" s="193" t="s">
        <v>1671</v>
      </c>
      <c r="U502" s="88" t="s">
        <v>1029</v>
      </c>
      <c r="V502" s="10">
        <v>0.6</v>
      </c>
      <c r="W502" s="6" t="s">
        <v>416</v>
      </c>
      <c r="X502" s="6"/>
      <c r="Y502" s="2" t="s">
        <v>2587</v>
      </c>
      <c r="Z502" s="6" t="s">
        <v>2576</v>
      </c>
      <c r="AA502" s="238">
        <f t="shared" si="74"/>
        <v>3.8963999999999995E-3</v>
      </c>
      <c r="AB502" s="252">
        <v>0</v>
      </c>
      <c r="AC502" s="278">
        <f>+(Tabla1[[#This Row],[Avance PDI]]*100%)/Tabla1[[#This Row],[ponderacion_meta]]</f>
        <v>0</v>
      </c>
      <c r="AD502" s="279">
        <v>0</v>
      </c>
      <c r="AE502" s="279">
        <v>2.1646666666666667E-3</v>
      </c>
      <c r="AF502" s="279">
        <v>2.1646666666666667E-3</v>
      </c>
      <c r="AG502" s="279">
        <v>2.1646666666666667E-3</v>
      </c>
      <c r="AH502" s="393">
        <f t="shared" si="76"/>
        <v>1.03071E-2</v>
      </c>
      <c r="AI502" s="393">
        <f t="shared" si="77"/>
        <v>7.1052631578947381E-2</v>
      </c>
      <c r="AJ502" s="316">
        <f t="shared" si="75"/>
        <v>7.1052631578947381E-2</v>
      </c>
      <c r="AK502" s="387">
        <v>3.2470000000000003E-3</v>
      </c>
      <c r="AL502" s="406">
        <f t="shared" ref="AL502:AL528" si="78">$AL$500</f>
        <v>8.3333333333333356E-2</v>
      </c>
      <c r="AM502" s="327">
        <v>0</v>
      </c>
      <c r="AN502" s="410">
        <f t="shared" ref="AN502:AN528" si="79">$AN$500</f>
        <v>8.3333333333333356E-2</v>
      </c>
      <c r="AO502" s="345" t="e">
        <f>+([1]!Tabla1[[#This Row],[ponderacion_accion]]/48)*AQ502</f>
        <v>#REF!</v>
      </c>
      <c r="AP502" s="345" t="e">
        <f>Tabla1[[#This Row],[ponderacion_meta]]*AO502</f>
        <v>#REF!</v>
      </c>
      <c r="AQ502" s="357"/>
      <c r="AR502" s="379">
        <v>0</v>
      </c>
      <c r="AS502" s="9"/>
      <c r="AT502" s="521">
        <v>0</v>
      </c>
    </row>
    <row r="503" spans="1:46" ht="15" customHeight="1" x14ac:dyDescent="0.35">
      <c r="A503" s="236" t="s">
        <v>1152</v>
      </c>
      <c r="B503" s="237" t="s">
        <v>880</v>
      </c>
      <c r="C503" s="237" t="s">
        <v>1721</v>
      </c>
      <c r="D503" s="237" t="s">
        <v>1717</v>
      </c>
      <c r="E503" s="176" t="s">
        <v>1021</v>
      </c>
      <c r="F503" s="176" t="s">
        <v>2618</v>
      </c>
      <c r="G503" s="155" t="s">
        <v>1022</v>
      </c>
      <c r="H503" s="155" t="s">
        <v>1752</v>
      </c>
      <c r="I503" s="7" t="s">
        <v>1030</v>
      </c>
      <c r="J503" s="265">
        <v>6.4939999999999998E-3</v>
      </c>
      <c r="K503" s="9" t="s">
        <v>1147</v>
      </c>
      <c r="L503" s="147">
        <v>95550000</v>
      </c>
      <c r="M503" s="147">
        <v>0</v>
      </c>
      <c r="N503" s="455"/>
      <c r="O503" s="455" t="s">
        <v>2622</v>
      </c>
      <c r="P503" s="194">
        <v>1</v>
      </c>
      <c r="Q503" s="195">
        <v>0</v>
      </c>
      <c r="R503" s="195">
        <v>0</v>
      </c>
      <c r="S503" s="195">
        <v>0</v>
      </c>
      <c r="T503" s="195" t="s">
        <v>1672</v>
      </c>
      <c r="U503" s="87" t="s">
        <v>1031</v>
      </c>
      <c r="V503" s="11">
        <v>0.2</v>
      </c>
      <c r="W503" s="9" t="s">
        <v>1032</v>
      </c>
      <c r="X503" s="9"/>
      <c r="Y503" s="7" t="s">
        <v>2587</v>
      </c>
      <c r="Z503" s="9" t="s">
        <v>2565</v>
      </c>
      <c r="AA503" s="239">
        <f t="shared" si="74"/>
        <v>1.2988000000000001E-3</v>
      </c>
      <c r="AB503" s="254">
        <f>+Tabla1[[#This Row],[ponderacion_meta]]*Tabla1[[#This Row],[ponderacion_accion]]</f>
        <v>1.2988000000000001E-3</v>
      </c>
      <c r="AC503" s="262">
        <f>+(Tabla1[[#This Row],[Avance PDI]]*100%)/Tabla1[[#This Row],[ponderacion_meta]]</f>
        <v>0.20000000000000004</v>
      </c>
      <c r="AD503" s="257">
        <f>+Tabla1[[#This Row],[ponderacion_meta]]*Tabla1[[#This Row],[proyeccion_año1]]</f>
        <v>6.4939999999999998E-3</v>
      </c>
      <c r="AE503" s="257">
        <f>+Tabla1[[#This Row],[ponderacion_meta]]*Tabla1[[#This Row],[proyeccion_año2]]</f>
        <v>0</v>
      </c>
      <c r="AF503" s="257">
        <f>+Tabla1[[#This Row],[ponderacion_meta]]*Tabla1[[#This Row],[proyeccion_año3]]</f>
        <v>0</v>
      </c>
      <c r="AG503" s="257">
        <f>+Tabla1[[#This Row],[ponderacion_meta]]*Tabla1[[#This Row],[proyeccion_año4]]</f>
        <v>0</v>
      </c>
      <c r="AH503" s="393">
        <f t="shared" si="76"/>
        <v>1.03071E-2</v>
      </c>
      <c r="AI503" s="393">
        <f t="shared" si="77"/>
        <v>7.1052631578947381E-2</v>
      </c>
      <c r="AJ503" s="316">
        <f t="shared" si="75"/>
        <v>7.1052631578947381E-2</v>
      </c>
      <c r="AK503" s="387">
        <v>3.2470000000000003E-3</v>
      </c>
      <c r="AL503" s="406">
        <f t="shared" si="78"/>
        <v>8.3333333333333356E-2</v>
      </c>
      <c r="AM503" s="327">
        <v>0</v>
      </c>
      <c r="AN503" s="410">
        <f t="shared" si="79"/>
        <v>8.3333333333333356E-2</v>
      </c>
      <c r="AO503" s="358" t="e">
        <f>+([1]!Tabla1[[#This Row],[ponderacion_accion]]/20%)*AQ503</f>
        <v>#REF!</v>
      </c>
      <c r="AP503" s="335" t="e">
        <f>Tabla1[[#This Row],[ponderacion_meta]]*AO503</f>
        <v>#REF!</v>
      </c>
      <c r="AQ503" s="349">
        <v>0.2</v>
      </c>
      <c r="AR503" s="380">
        <v>0</v>
      </c>
      <c r="AS503" s="7" t="e">
        <f>+((SUM(AO503:AO506)*100))/100</f>
        <v>#REF!</v>
      </c>
      <c r="AT503" s="521">
        <v>0</v>
      </c>
    </row>
    <row r="504" spans="1:46" ht="15" customHeight="1" x14ac:dyDescent="0.35">
      <c r="A504" s="236" t="s">
        <v>1152</v>
      </c>
      <c r="B504" s="237" t="s">
        <v>880</v>
      </c>
      <c r="C504" s="237" t="s">
        <v>1721</v>
      </c>
      <c r="D504" s="237" t="s">
        <v>1717</v>
      </c>
      <c r="E504" s="176" t="s">
        <v>1021</v>
      </c>
      <c r="F504" s="176" t="s">
        <v>2618</v>
      </c>
      <c r="G504" s="155" t="s">
        <v>1022</v>
      </c>
      <c r="H504" s="155" t="s">
        <v>1752</v>
      </c>
      <c r="I504" s="7" t="s">
        <v>1030</v>
      </c>
      <c r="J504" s="265">
        <v>6.4939999999999998E-3</v>
      </c>
      <c r="K504" s="9" t="s">
        <v>1147</v>
      </c>
      <c r="L504" s="147">
        <v>95550000</v>
      </c>
      <c r="M504" s="147">
        <v>0</v>
      </c>
      <c r="N504" s="455"/>
      <c r="O504" s="455" t="s">
        <v>2622</v>
      </c>
      <c r="P504" s="194">
        <v>1</v>
      </c>
      <c r="Q504" s="195">
        <v>0</v>
      </c>
      <c r="R504" s="195">
        <v>0</v>
      </c>
      <c r="S504" s="195">
        <v>0</v>
      </c>
      <c r="T504" s="195" t="s">
        <v>1673</v>
      </c>
      <c r="U504" s="87" t="s">
        <v>1033</v>
      </c>
      <c r="V504" s="11">
        <v>0.1</v>
      </c>
      <c r="W504" s="9" t="s">
        <v>24</v>
      </c>
      <c r="X504" s="9"/>
      <c r="Y504" s="7" t="s">
        <v>2587</v>
      </c>
      <c r="Z504" s="9" t="s">
        <v>2565</v>
      </c>
      <c r="AA504" s="239">
        <f t="shared" si="74"/>
        <v>6.4940000000000006E-4</v>
      </c>
      <c r="AB504" s="254">
        <f>+Tabla1[[#This Row],[ponderacion_meta]]*Tabla1[[#This Row],[ponderacion_accion]]</f>
        <v>6.4940000000000006E-4</v>
      </c>
      <c r="AC504" s="262">
        <f>+(Tabla1[[#This Row],[Avance PDI]]*100%)/Tabla1[[#This Row],[ponderacion_meta]]</f>
        <v>0.10000000000000002</v>
      </c>
      <c r="AD504" s="257">
        <v>6.4939999999999998E-3</v>
      </c>
      <c r="AE504" s="257">
        <v>0</v>
      </c>
      <c r="AF504" s="257">
        <v>0</v>
      </c>
      <c r="AG504" s="257">
        <v>0</v>
      </c>
      <c r="AH504" s="393">
        <f t="shared" si="76"/>
        <v>1.03071E-2</v>
      </c>
      <c r="AI504" s="393">
        <f t="shared" si="77"/>
        <v>7.1052631578947381E-2</v>
      </c>
      <c r="AJ504" s="316">
        <f t="shared" si="75"/>
        <v>7.1052631578947381E-2</v>
      </c>
      <c r="AK504" s="387">
        <v>3.2470000000000003E-3</v>
      </c>
      <c r="AL504" s="406">
        <f t="shared" si="78"/>
        <v>8.3333333333333356E-2</v>
      </c>
      <c r="AM504" s="327">
        <v>0</v>
      </c>
      <c r="AN504" s="410">
        <f t="shared" si="79"/>
        <v>8.3333333333333356E-2</v>
      </c>
      <c r="AO504" s="359" t="e">
        <f>+([1]!Tabla1[[#This Row],[ponderacion_accion]]/10%)*AQ504</f>
        <v>#REF!</v>
      </c>
      <c r="AP504" s="335" t="e">
        <f>Tabla1[[#This Row],[ponderacion_meta]]*AO504</f>
        <v>#REF!</v>
      </c>
      <c r="AQ504" s="350">
        <v>0.1</v>
      </c>
      <c r="AR504" s="380">
        <v>0</v>
      </c>
      <c r="AS504" s="9"/>
      <c r="AT504" s="521">
        <v>0</v>
      </c>
    </row>
    <row r="505" spans="1:46" ht="15" customHeight="1" x14ac:dyDescent="0.35">
      <c r="A505" s="236" t="s">
        <v>1152</v>
      </c>
      <c r="B505" s="237" t="s">
        <v>880</v>
      </c>
      <c r="C505" s="237" t="s">
        <v>1721</v>
      </c>
      <c r="D505" s="237" t="s">
        <v>1717</v>
      </c>
      <c r="E505" s="176" t="s">
        <v>1021</v>
      </c>
      <c r="F505" s="176" t="s">
        <v>2618</v>
      </c>
      <c r="G505" s="155" t="s">
        <v>1022</v>
      </c>
      <c r="H505" s="155" t="s">
        <v>1752</v>
      </c>
      <c r="I505" s="7" t="s">
        <v>1030</v>
      </c>
      <c r="J505" s="265">
        <v>6.4939999999999998E-3</v>
      </c>
      <c r="K505" s="9" t="s">
        <v>1147</v>
      </c>
      <c r="L505" s="147">
        <v>95550000</v>
      </c>
      <c r="M505" s="147">
        <v>0</v>
      </c>
      <c r="N505" s="455"/>
      <c r="O505" s="455" t="s">
        <v>2622</v>
      </c>
      <c r="P505" s="194">
        <v>1</v>
      </c>
      <c r="Q505" s="195">
        <v>0</v>
      </c>
      <c r="R505" s="195">
        <v>0</v>
      </c>
      <c r="S505" s="195">
        <v>0</v>
      </c>
      <c r="T505" s="195" t="s">
        <v>1674</v>
      </c>
      <c r="U505" s="87" t="s">
        <v>1034</v>
      </c>
      <c r="V505" s="11">
        <v>0.2</v>
      </c>
      <c r="W505" s="9" t="s">
        <v>1035</v>
      </c>
      <c r="X505" s="9"/>
      <c r="Y505" s="7" t="s">
        <v>2587</v>
      </c>
      <c r="Z505" s="9" t="s">
        <v>2565</v>
      </c>
      <c r="AA505" s="239">
        <f t="shared" si="74"/>
        <v>1.2988000000000001E-3</v>
      </c>
      <c r="AB505" s="254">
        <f>+Tabla1[[#This Row],[ponderacion_meta]]*Tabla1[[#This Row],[ponderacion_accion]]</f>
        <v>1.2988000000000001E-3</v>
      </c>
      <c r="AC505" s="262">
        <f>+(Tabla1[[#This Row],[Avance PDI]]*100%)/Tabla1[[#This Row],[ponderacion_meta]]</f>
        <v>0.20000000000000004</v>
      </c>
      <c r="AD505" s="257">
        <v>6.4939999999999998E-3</v>
      </c>
      <c r="AE505" s="257">
        <v>0</v>
      </c>
      <c r="AF505" s="257">
        <v>0</v>
      </c>
      <c r="AG505" s="257">
        <v>0</v>
      </c>
      <c r="AH505" s="393">
        <f t="shared" si="76"/>
        <v>1.03071E-2</v>
      </c>
      <c r="AI505" s="393">
        <f t="shared" si="77"/>
        <v>7.1052631578947381E-2</v>
      </c>
      <c r="AJ505" s="316">
        <f t="shared" si="75"/>
        <v>7.1052631578947381E-2</v>
      </c>
      <c r="AK505" s="387">
        <v>3.2470000000000003E-3</v>
      </c>
      <c r="AL505" s="406">
        <f t="shared" si="78"/>
        <v>8.3333333333333356E-2</v>
      </c>
      <c r="AM505" s="327">
        <v>0</v>
      </c>
      <c r="AN505" s="410">
        <f t="shared" si="79"/>
        <v>8.3333333333333356E-2</v>
      </c>
      <c r="AO505" s="359" t="e">
        <f>+([1]!Tabla1[[#This Row],[ponderacion_accion]]/20%)*AQ505</f>
        <v>#REF!</v>
      </c>
      <c r="AP505" s="335" t="e">
        <f>Tabla1[[#This Row],[ponderacion_meta]]*AO505</f>
        <v>#REF!</v>
      </c>
      <c r="AQ505" s="350">
        <v>0.2</v>
      </c>
      <c r="AR505" s="380">
        <v>0</v>
      </c>
      <c r="AS505" s="9"/>
      <c r="AT505" s="521">
        <v>0</v>
      </c>
    </row>
    <row r="506" spans="1:46" ht="15" customHeight="1" x14ac:dyDescent="0.35">
      <c r="A506" s="236" t="s">
        <v>1152</v>
      </c>
      <c r="B506" s="237" t="s">
        <v>880</v>
      </c>
      <c r="C506" s="237" t="s">
        <v>1721</v>
      </c>
      <c r="D506" s="237" t="s">
        <v>1717</v>
      </c>
      <c r="E506" s="176" t="s">
        <v>1021</v>
      </c>
      <c r="F506" s="176" t="s">
        <v>2618</v>
      </c>
      <c r="G506" s="155" t="s">
        <v>1022</v>
      </c>
      <c r="H506" s="155" t="s">
        <v>1752</v>
      </c>
      <c r="I506" s="7" t="s">
        <v>1030</v>
      </c>
      <c r="J506" s="265">
        <v>6.4939999999999998E-3</v>
      </c>
      <c r="K506" s="9" t="s">
        <v>1147</v>
      </c>
      <c r="L506" s="147">
        <v>95550000</v>
      </c>
      <c r="M506" s="147">
        <v>0</v>
      </c>
      <c r="N506" s="455"/>
      <c r="O506" s="455" t="s">
        <v>2622</v>
      </c>
      <c r="P506" s="194">
        <v>1</v>
      </c>
      <c r="Q506" s="195">
        <v>0</v>
      </c>
      <c r="R506" s="195">
        <v>0</v>
      </c>
      <c r="S506" s="195">
        <v>0</v>
      </c>
      <c r="T506" s="195" t="s">
        <v>1675</v>
      </c>
      <c r="U506" s="87" t="s">
        <v>1148</v>
      </c>
      <c r="V506" s="11">
        <v>0.5</v>
      </c>
      <c r="W506" s="9" t="s">
        <v>982</v>
      </c>
      <c r="X506" s="9"/>
      <c r="Y506" s="7" t="s">
        <v>2587</v>
      </c>
      <c r="Z506" s="9" t="s">
        <v>2565</v>
      </c>
      <c r="AA506" s="239">
        <f t="shared" si="74"/>
        <v>3.2469999999999999E-3</v>
      </c>
      <c r="AB506" s="252">
        <v>0</v>
      </c>
      <c r="AC506" s="262">
        <f>+(Tabla1[[#This Row],[Avance PDI]]*100%)/Tabla1[[#This Row],[ponderacion_meta]]</f>
        <v>0</v>
      </c>
      <c r="AD506" s="257">
        <v>6.4939999999999998E-3</v>
      </c>
      <c r="AE506" s="257">
        <v>0</v>
      </c>
      <c r="AF506" s="257">
        <v>0</v>
      </c>
      <c r="AG506" s="257">
        <v>0</v>
      </c>
      <c r="AH506" s="393">
        <f t="shared" si="76"/>
        <v>1.03071E-2</v>
      </c>
      <c r="AI506" s="393">
        <f t="shared" si="77"/>
        <v>7.1052631578947381E-2</v>
      </c>
      <c r="AJ506" s="316">
        <f t="shared" si="75"/>
        <v>7.1052631578947381E-2</v>
      </c>
      <c r="AK506" s="387">
        <v>3.2470000000000003E-3</v>
      </c>
      <c r="AL506" s="406">
        <f t="shared" si="78"/>
        <v>8.3333333333333356E-2</v>
      </c>
      <c r="AM506" s="327">
        <v>0</v>
      </c>
      <c r="AN506" s="410">
        <f t="shared" si="79"/>
        <v>8.3333333333333356E-2</v>
      </c>
      <c r="AO506" s="360" t="e">
        <f>+([1]!Tabla1[[#This Row],[ponderacion_accion]]/50%)*AQ506</f>
        <v>#REF!</v>
      </c>
      <c r="AP506" s="335" t="e">
        <f>Tabla1[[#This Row],[ponderacion_meta]]*AO506</f>
        <v>#REF!</v>
      </c>
      <c r="AQ506" s="356"/>
      <c r="AR506" s="380">
        <v>0</v>
      </c>
      <c r="AS506" s="9"/>
      <c r="AT506" s="521">
        <v>0</v>
      </c>
    </row>
    <row r="507" spans="1:46" ht="15" customHeight="1" x14ac:dyDescent="0.35">
      <c r="A507" s="236" t="s">
        <v>1152</v>
      </c>
      <c r="B507" s="237" t="s">
        <v>880</v>
      </c>
      <c r="C507" s="237" t="s">
        <v>1721</v>
      </c>
      <c r="D507" s="237" t="s">
        <v>1717</v>
      </c>
      <c r="E507" s="176" t="s">
        <v>1021</v>
      </c>
      <c r="F507" s="176" t="s">
        <v>2618</v>
      </c>
      <c r="G507" s="155" t="s">
        <v>1022</v>
      </c>
      <c r="H507" s="155" t="s">
        <v>1752</v>
      </c>
      <c r="I507" s="2" t="s">
        <v>1036</v>
      </c>
      <c r="J507" s="264">
        <v>6.4939999999999998E-3</v>
      </c>
      <c r="K507" s="6" t="s">
        <v>1037</v>
      </c>
      <c r="L507" s="148">
        <v>228937016</v>
      </c>
      <c r="M507" s="148">
        <v>0</v>
      </c>
      <c r="N507" s="456"/>
      <c r="O507" s="456" t="s">
        <v>2622</v>
      </c>
      <c r="P507" s="192">
        <v>73</v>
      </c>
      <c r="Q507" s="193">
        <v>75</v>
      </c>
      <c r="R507" s="193">
        <v>77</v>
      </c>
      <c r="S507" s="193">
        <v>80</v>
      </c>
      <c r="T507" s="193" t="s">
        <v>1676</v>
      </c>
      <c r="U507" s="88" t="s">
        <v>1038</v>
      </c>
      <c r="V507" s="10">
        <v>0.05</v>
      </c>
      <c r="W507" s="6" t="s">
        <v>1039</v>
      </c>
      <c r="X507" s="6"/>
      <c r="Y507" s="2" t="s">
        <v>2587</v>
      </c>
      <c r="Z507" s="6" t="s">
        <v>2565</v>
      </c>
      <c r="AA507" s="238">
        <f t="shared" si="74"/>
        <v>3.2470000000000003E-4</v>
      </c>
      <c r="AB507" s="252">
        <v>0</v>
      </c>
      <c r="AC507" s="278">
        <f>+(Tabla1[[#This Row],[Avance PDI]]*100%)/Tabla1[[#This Row],[ponderacion_meta]]</f>
        <v>0</v>
      </c>
      <c r="AD507" s="279">
        <f>+Tabla1[[#This Row],[ponderacion_meta]]/305*Tabla1[[#This Row],[proyeccion_año1]]</f>
        <v>1.5543016393442623E-3</v>
      </c>
      <c r="AE507" s="279">
        <f>+Tabla1[[#This Row],[ponderacion_meta]]/305*Tabla1[[#This Row],[proyeccion_año2]]</f>
        <v>1.5968852459016393E-3</v>
      </c>
      <c r="AF507" s="279">
        <f>+Tabla1[[#This Row],[ponderacion_meta]]/305*Tabla1[[#This Row],[proyeccion_año3]]</f>
        <v>1.6394688524590164E-3</v>
      </c>
      <c r="AG507" s="279">
        <f>+Tabla1[[#This Row],[ponderacion_meta]]/305*Tabla1[[#This Row],[proyeccion_año4]]</f>
        <v>1.7033442622950818E-3</v>
      </c>
      <c r="AH507" s="393">
        <f t="shared" si="76"/>
        <v>1.03071E-2</v>
      </c>
      <c r="AI507" s="393">
        <f t="shared" si="77"/>
        <v>7.1052631578947381E-2</v>
      </c>
      <c r="AJ507" s="316">
        <f t="shared" si="75"/>
        <v>7.1052631578947381E-2</v>
      </c>
      <c r="AK507" s="387">
        <v>3.2470000000000003E-3</v>
      </c>
      <c r="AL507" s="406">
        <f t="shared" si="78"/>
        <v>8.3333333333333356E-2</v>
      </c>
      <c r="AM507" s="327">
        <v>0</v>
      </c>
      <c r="AN507" s="410">
        <f t="shared" si="79"/>
        <v>8.3333333333333356E-2</v>
      </c>
      <c r="AO507" s="343" t="e">
        <f>+([1]!Tabla1[[#This Row],[ponderacion_accion]]/4)*AQ507</f>
        <v>#REF!</v>
      </c>
      <c r="AP507" s="343" t="e">
        <f>Tabla1[[#This Row],[ponderacion_meta]]*AO507</f>
        <v>#REF!</v>
      </c>
      <c r="AQ507" s="353"/>
      <c r="AR507" s="377">
        <v>0</v>
      </c>
      <c r="AS507" s="7" t="e">
        <f>+((SUM(AO507:AO515)*100))/50</f>
        <v>#REF!</v>
      </c>
      <c r="AT507" s="521">
        <v>0</v>
      </c>
    </row>
    <row r="508" spans="1:46" ht="15" customHeight="1" x14ac:dyDescent="0.35">
      <c r="A508" s="236" t="s">
        <v>1152</v>
      </c>
      <c r="B508" s="237" t="s">
        <v>880</v>
      </c>
      <c r="C508" s="237" t="s">
        <v>1721</v>
      </c>
      <c r="D508" s="237" t="s">
        <v>1717</v>
      </c>
      <c r="E508" s="176" t="s">
        <v>1021</v>
      </c>
      <c r="F508" s="176" t="s">
        <v>2618</v>
      </c>
      <c r="G508" s="155" t="s">
        <v>1022</v>
      </c>
      <c r="H508" s="155" t="s">
        <v>1752</v>
      </c>
      <c r="I508" s="2" t="s">
        <v>1036</v>
      </c>
      <c r="J508" s="264">
        <v>6.4939999999999998E-3</v>
      </c>
      <c r="K508" s="6" t="s">
        <v>1037</v>
      </c>
      <c r="L508" s="148">
        <v>228937016</v>
      </c>
      <c r="M508" s="148">
        <v>0</v>
      </c>
      <c r="N508" s="456"/>
      <c r="O508" s="456" t="s">
        <v>2622</v>
      </c>
      <c r="P508" s="192">
        <v>73</v>
      </c>
      <c r="Q508" s="193">
        <v>75</v>
      </c>
      <c r="R508" s="193">
        <v>77</v>
      </c>
      <c r="S508" s="193">
        <v>80</v>
      </c>
      <c r="T508" s="193" t="s">
        <v>1677</v>
      </c>
      <c r="U508" s="88" t="s">
        <v>1040</v>
      </c>
      <c r="V508" s="10">
        <v>0.05</v>
      </c>
      <c r="W508" s="6" t="s">
        <v>1041</v>
      </c>
      <c r="X508" s="6"/>
      <c r="Y508" s="2" t="s">
        <v>2587</v>
      </c>
      <c r="Z508" s="6" t="s">
        <v>2565</v>
      </c>
      <c r="AA508" s="238">
        <f t="shared" si="74"/>
        <v>3.2470000000000003E-4</v>
      </c>
      <c r="AB508" s="252">
        <v>0</v>
      </c>
      <c r="AC508" s="278">
        <f>+(Tabla1[[#This Row],[Avance PDI]]*100%)/Tabla1[[#This Row],[ponderacion_meta]]</f>
        <v>0</v>
      </c>
      <c r="AD508" s="279">
        <v>1.5543016393442623E-3</v>
      </c>
      <c r="AE508" s="279">
        <v>1.5968852459016393E-3</v>
      </c>
      <c r="AF508" s="279">
        <v>1.6394688524590164E-3</v>
      </c>
      <c r="AG508" s="279">
        <v>1.7033442622950818E-3</v>
      </c>
      <c r="AH508" s="393">
        <f t="shared" si="76"/>
        <v>1.03071E-2</v>
      </c>
      <c r="AI508" s="393">
        <f t="shared" si="77"/>
        <v>7.1052631578947381E-2</v>
      </c>
      <c r="AJ508" s="316">
        <f t="shared" si="75"/>
        <v>7.1052631578947381E-2</v>
      </c>
      <c r="AK508" s="387">
        <v>3.2470000000000003E-3</v>
      </c>
      <c r="AL508" s="406">
        <f t="shared" si="78"/>
        <v>8.3333333333333356E-2</v>
      </c>
      <c r="AM508" s="327">
        <v>0</v>
      </c>
      <c r="AN508" s="410">
        <f t="shared" si="79"/>
        <v>8.3333333333333356E-2</v>
      </c>
      <c r="AO508" s="344" t="e">
        <f>+([1]!Tabla1[[#This Row],[ponderacion_accion]]/4)*AQ508</f>
        <v>#REF!</v>
      </c>
      <c r="AP508" s="344" t="e">
        <f>Tabla1[[#This Row],[ponderacion_meta]]*AO508</f>
        <v>#REF!</v>
      </c>
      <c r="AQ508" s="354"/>
      <c r="AR508" s="378">
        <v>0</v>
      </c>
      <c r="AS508" s="9"/>
      <c r="AT508" s="521">
        <v>0</v>
      </c>
    </row>
    <row r="509" spans="1:46" ht="15" customHeight="1" x14ac:dyDescent="0.35">
      <c r="A509" s="236" t="s">
        <v>1152</v>
      </c>
      <c r="B509" s="237" t="s">
        <v>880</v>
      </c>
      <c r="C509" s="237" t="s">
        <v>1721</v>
      </c>
      <c r="D509" s="237" t="s">
        <v>1717</v>
      </c>
      <c r="E509" s="176" t="s">
        <v>1021</v>
      </c>
      <c r="F509" s="176" t="s">
        <v>2618</v>
      </c>
      <c r="G509" s="155" t="s">
        <v>1022</v>
      </c>
      <c r="H509" s="155" t="s">
        <v>1752</v>
      </c>
      <c r="I509" s="2" t="s">
        <v>1036</v>
      </c>
      <c r="J509" s="264">
        <v>6.4939999999999998E-3</v>
      </c>
      <c r="K509" s="6" t="s">
        <v>1037</v>
      </c>
      <c r="L509" s="148">
        <v>228937016</v>
      </c>
      <c r="M509" s="148">
        <v>0</v>
      </c>
      <c r="N509" s="456"/>
      <c r="O509" s="456" t="s">
        <v>2622</v>
      </c>
      <c r="P509" s="192">
        <v>73</v>
      </c>
      <c r="Q509" s="193">
        <v>75</v>
      </c>
      <c r="R509" s="193">
        <v>77</v>
      </c>
      <c r="S509" s="193">
        <v>80</v>
      </c>
      <c r="T509" s="193" t="s">
        <v>1678</v>
      </c>
      <c r="U509" s="88" t="s">
        <v>1042</v>
      </c>
      <c r="V509" s="10">
        <v>0.05</v>
      </c>
      <c r="W509" s="6" t="s">
        <v>1043</v>
      </c>
      <c r="X509" s="6"/>
      <c r="Y509" s="2" t="s">
        <v>2587</v>
      </c>
      <c r="Z509" s="6" t="s">
        <v>2565</v>
      </c>
      <c r="AA509" s="238">
        <f t="shared" si="74"/>
        <v>3.2470000000000003E-4</v>
      </c>
      <c r="AB509" s="252">
        <v>0</v>
      </c>
      <c r="AC509" s="278">
        <f>+(Tabla1[[#This Row],[Avance PDI]]*100%)/Tabla1[[#This Row],[ponderacion_meta]]</f>
        <v>0</v>
      </c>
      <c r="AD509" s="279">
        <v>1.5543016393442623E-3</v>
      </c>
      <c r="AE509" s="279">
        <v>1.5968852459016393E-3</v>
      </c>
      <c r="AF509" s="279">
        <v>1.6394688524590164E-3</v>
      </c>
      <c r="AG509" s="279">
        <v>1.7033442622950818E-3</v>
      </c>
      <c r="AH509" s="393">
        <f t="shared" si="76"/>
        <v>1.03071E-2</v>
      </c>
      <c r="AI509" s="393">
        <f t="shared" si="77"/>
        <v>7.1052631578947381E-2</v>
      </c>
      <c r="AJ509" s="316">
        <f t="shared" si="75"/>
        <v>7.1052631578947381E-2</v>
      </c>
      <c r="AK509" s="387">
        <v>3.2470000000000003E-3</v>
      </c>
      <c r="AL509" s="406">
        <f t="shared" si="78"/>
        <v>8.3333333333333356E-2</v>
      </c>
      <c r="AM509" s="327">
        <v>0</v>
      </c>
      <c r="AN509" s="410">
        <f t="shared" si="79"/>
        <v>8.3333333333333356E-2</v>
      </c>
      <c r="AO509" s="344" t="e">
        <f>+([1]!Tabla1[[#This Row],[ponderacion_accion]]/4)*AQ509</f>
        <v>#REF!</v>
      </c>
      <c r="AP509" s="344" t="e">
        <f>Tabla1[[#This Row],[ponderacion_meta]]*AO509</f>
        <v>#REF!</v>
      </c>
      <c r="AQ509" s="354"/>
      <c r="AR509" s="378">
        <v>0</v>
      </c>
      <c r="AS509" s="9"/>
      <c r="AT509" s="521">
        <v>0</v>
      </c>
    </row>
    <row r="510" spans="1:46" ht="15" customHeight="1" x14ac:dyDescent="0.35">
      <c r="A510" s="236" t="s">
        <v>1152</v>
      </c>
      <c r="B510" s="237" t="s">
        <v>880</v>
      </c>
      <c r="C510" s="237" t="s">
        <v>1721</v>
      </c>
      <c r="D510" s="237" t="s">
        <v>1717</v>
      </c>
      <c r="E510" s="176" t="s">
        <v>1021</v>
      </c>
      <c r="F510" s="176" t="s">
        <v>2618</v>
      </c>
      <c r="G510" s="155" t="s">
        <v>1022</v>
      </c>
      <c r="H510" s="155" t="s">
        <v>1752</v>
      </c>
      <c r="I510" s="2" t="s">
        <v>1036</v>
      </c>
      <c r="J510" s="264">
        <v>6.4939999999999998E-3</v>
      </c>
      <c r="K510" s="6" t="s">
        <v>1037</v>
      </c>
      <c r="L510" s="148">
        <v>228937016</v>
      </c>
      <c r="M510" s="148">
        <v>0</v>
      </c>
      <c r="N510" s="456"/>
      <c r="O510" s="456" t="s">
        <v>2622</v>
      </c>
      <c r="P510" s="192">
        <v>73</v>
      </c>
      <c r="Q510" s="193">
        <v>75</v>
      </c>
      <c r="R510" s="193">
        <v>77</v>
      </c>
      <c r="S510" s="193">
        <v>80</v>
      </c>
      <c r="T510" s="193" t="s">
        <v>1679</v>
      </c>
      <c r="U510" s="88" t="s">
        <v>1044</v>
      </c>
      <c r="V510" s="10">
        <v>0.05</v>
      </c>
      <c r="W510" s="6" t="s">
        <v>1045</v>
      </c>
      <c r="X510" s="6"/>
      <c r="Y510" s="2" t="s">
        <v>2587</v>
      </c>
      <c r="Z510" s="6" t="s">
        <v>2565</v>
      </c>
      <c r="AA510" s="238">
        <f t="shared" si="74"/>
        <v>3.2470000000000003E-4</v>
      </c>
      <c r="AB510" s="252">
        <v>0</v>
      </c>
      <c r="AC510" s="278">
        <f>+(Tabla1[[#This Row],[Avance PDI]]*100%)/Tabla1[[#This Row],[ponderacion_meta]]</f>
        <v>0</v>
      </c>
      <c r="AD510" s="279">
        <v>1.5543016393442623E-3</v>
      </c>
      <c r="AE510" s="279">
        <v>1.5968852459016393E-3</v>
      </c>
      <c r="AF510" s="279">
        <v>1.6394688524590164E-3</v>
      </c>
      <c r="AG510" s="279">
        <v>1.7033442622950818E-3</v>
      </c>
      <c r="AH510" s="393">
        <f t="shared" si="76"/>
        <v>1.03071E-2</v>
      </c>
      <c r="AI510" s="393">
        <f t="shared" si="77"/>
        <v>7.1052631578947381E-2</v>
      </c>
      <c r="AJ510" s="316">
        <f t="shared" si="75"/>
        <v>7.1052631578947381E-2</v>
      </c>
      <c r="AK510" s="387">
        <v>3.2470000000000003E-3</v>
      </c>
      <c r="AL510" s="406">
        <f t="shared" si="78"/>
        <v>8.3333333333333356E-2</v>
      </c>
      <c r="AM510" s="327">
        <v>0</v>
      </c>
      <c r="AN510" s="410">
        <f t="shared" si="79"/>
        <v>8.3333333333333356E-2</v>
      </c>
      <c r="AO510" s="344" t="e">
        <f>+([1]!Tabla1[[#This Row],[ponderacion_accion]]/4)*AQ510</f>
        <v>#REF!</v>
      </c>
      <c r="AP510" s="344" t="e">
        <f>Tabla1[[#This Row],[ponderacion_meta]]*AO510</f>
        <v>#REF!</v>
      </c>
      <c r="AQ510" s="354"/>
      <c r="AR510" s="378">
        <v>0</v>
      </c>
      <c r="AS510" s="9"/>
      <c r="AT510" s="521">
        <v>0</v>
      </c>
    </row>
    <row r="511" spans="1:46" ht="15" customHeight="1" x14ac:dyDescent="0.35">
      <c r="A511" s="236" t="s">
        <v>1152</v>
      </c>
      <c r="B511" s="237" t="s">
        <v>880</v>
      </c>
      <c r="C511" s="237" t="s">
        <v>1721</v>
      </c>
      <c r="D511" s="237" t="s">
        <v>1717</v>
      </c>
      <c r="E511" s="176" t="s">
        <v>1021</v>
      </c>
      <c r="F511" s="176" t="s">
        <v>2618</v>
      </c>
      <c r="G511" s="155" t="s">
        <v>1022</v>
      </c>
      <c r="H511" s="155" t="s">
        <v>1752</v>
      </c>
      <c r="I511" s="2" t="s">
        <v>1036</v>
      </c>
      <c r="J511" s="264">
        <v>6.4939999999999998E-3</v>
      </c>
      <c r="K511" s="6" t="s">
        <v>1037</v>
      </c>
      <c r="L511" s="148">
        <v>228937016</v>
      </c>
      <c r="M511" s="148">
        <v>0</v>
      </c>
      <c r="N511" s="456"/>
      <c r="O511" s="456" t="s">
        <v>2622</v>
      </c>
      <c r="P511" s="192">
        <v>73</v>
      </c>
      <c r="Q511" s="193">
        <v>75</v>
      </c>
      <c r="R511" s="193">
        <v>77</v>
      </c>
      <c r="S511" s="193">
        <v>80</v>
      </c>
      <c r="T511" s="193" t="s">
        <v>1680</v>
      </c>
      <c r="U511" s="88" t="s">
        <v>1046</v>
      </c>
      <c r="V511" s="10">
        <v>0.6</v>
      </c>
      <c r="W511" s="6" t="s">
        <v>1047</v>
      </c>
      <c r="X511" s="6"/>
      <c r="Y511" s="2" t="s">
        <v>2587</v>
      </c>
      <c r="Z511" s="6" t="s">
        <v>2565</v>
      </c>
      <c r="AA511" s="238">
        <f t="shared" si="74"/>
        <v>3.8963999999999995E-3</v>
      </c>
      <c r="AB511" s="252">
        <v>0</v>
      </c>
      <c r="AC511" s="278">
        <f>+(Tabla1[[#This Row],[Avance PDI]]*100%)/Tabla1[[#This Row],[ponderacion_meta]]</f>
        <v>0</v>
      </c>
      <c r="AD511" s="279">
        <v>1.5543016393442623E-3</v>
      </c>
      <c r="AE511" s="279">
        <v>1.5968852459016393E-3</v>
      </c>
      <c r="AF511" s="279">
        <v>1.6394688524590164E-3</v>
      </c>
      <c r="AG511" s="279">
        <v>1.7033442622950818E-3</v>
      </c>
      <c r="AH511" s="393">
        <f t="shared" si="76"/>
        <v>1.03071E-2</v>
      </c>
      <c r="AI511" s="393">
        <f t="shared" si="77"/>
        <v>7.1052631578947381E-2</v>
      </c>
      <c r="AJ511" s="316">
        <f t="shared" si="75"/>
        <v>7.1052631578947381E-2</v>
      </c>
      <c r="AK511" s="387">
        <v>3.2470000000000003E-3</v>
      </c>
      <c r="AL511" s="406">
        <f t="shared" si="78"/>
        <v>8.3333333333333356E-2</v>
      </c>
      <c r="AM511" s="327">
        <v>0</v>
      </c>
      <c r="AN511" s="410">
        <f t="shared" si="79"/>
        <v>8.3333333333333356E-2</v>
      </c>
      <c r="AO511" s="344" t="e">
        <f>+([1]!Tabla1[[#This Row],[ponderacion_accion]]/4)*AQ511</f>
        <v>#REF!</v>
      </c>
      <c r="AP511" s="344" t="e">
        <f>Tabla1[[#This Row],[ponderacion_meta]]*AO511</f>
        <v>#REF!</v>
      </c>
      <c r="AQ511" s="354"/>
      <c r="AR511" s="378">
        <v>0</v>
      </c>
      <c r="AS511" s="9"/>
      <c r="AT511" s="521">
        <v>0</v>
      </c>
    </row>
    <row r="512" spans="1:46" ht="15" customHeight="1" x14ac:dyDescent="0.35">
      <c r="A512" s="236" t="s">
        <v>1152</v>
      </c>
      <c r="B512" s="237" t="s">
        <v>880</v>
      </c>
      <c r="C512" s="237" t="s">
        <v>1721</v>
      </c>
      <c r="D512" s="237" t="s">
        <v>1717</v>
      </c>
      <c r="E512" s="176" t="s">
        <v>1021</v>
      </c>
      <c r="F512" s="176" t="s">
        <v>2618</v>
      </c>
      <c r="G512" s="155" t="s">
        <v>1022</v>
      </c>
      <c r="H512" s="155" t="s">
        <v>1752</v>
      </c>
      <c r="I512" s="2" t="s">
        <v>1036</v>
      </c>
      <c r="J512" s="264">
        <v>6.4939999999999998E-3</v>
      </c>
      <c r="K512" s="6" t="s">
        <v>1037</v>
      </c>
      <c r="L512" s="148">
        <v>228937016</v>
      </c>
      <c r="M512" s="148">
        <v>0</v>
      </c>
      <c r="N512" s="456"/>
      <c r="O512" s="456" t="s">
        <v>2622</v>
      </c>
      <c r="P512" s="192">
        <v>73</v>
      </c>
      <c r="Q512" s="193">
        <v>75</v>
      </c>
      <c r="R512" s="193">
        <v>77</v>
      </c>
      <c r="S512" s="193">
        <v>80</v>
      </c>
      <c r="T512" s="193" t="s">
        <v>1681</v>
      </c>
      <c r="U512" s="88" t="s">
        <v>1048</v>
      </c>
      <c r="V512" s="10">
        <v>0.05</v>
      </c>
      <c r="W512" s="6" t="s">
        <v>1049</v>
      </c>
      <c r="X512" s="6"/>
      <c r="Y512" s="2" t="s">
        <v>2587</v>
      </c>
      <c r="Z512" s="6" t="s">
        <v>2565</v>
      </c>
      <c r="AA512" s="238">
        <f t="shared" si="74"/>
        <v>3.2470000000000003E-4</v>
      </c>
      <c r="AB512" s="252">
        <v>0</v>
      </c>
      <c r="AC512" s="278">
        <f>+(Tabla1[[#This Row],[Avance PDI]]*100%)/Tabla1[[#This Row],[ponderacion_meta]]</f>
        <v>0</v>
      </c>
      <c r="AD512" s="279">
        <v>1.5543016393442623E-3</v>
      </c>
      <c r="AE512" s="279">
        <v>1.5968852459016393E-3</v>
      </c>
      <c r="AF512" s="279">
        <v>1.6394688524590164E-3</v>
      </c>
      <c r="AG512" s="279">
        <v>1.7033442622950818E-3</v>
      </c>
      <c r="AH512" s="393">
        <f t="shared" si="76"/>
        <v>1.03071E-2</v>
      </c>
      <c r="AI512" s="393">
        <f t="shared" si="77"/>
        <v>7.1052631578947381E-2</v>
      </c>
      <c r="AJ512" s="316">
        <f t="shared" si="75"/>
        <v>7.1052631578947381E-2</v>
      </c>
      <c r="AK512" s="387">
        <v>3.2470000000000003E-3</v>
      </c>
      <c r="AL512" s="406">
        <f t="shared" si="78"/>
        <v>8.3333333333333356E-2</v>
      </c>
      <c r="AM512" s="327">
        <v>0</v>
      </c>
      <c r="AN512" s="410">
        <f t="shared" si="79"/>
        <v>8.3333333333333356E-2</v>
      </c>
      <c r="AO512" s="344" t="e">
        <f>+([1]!Tabla1[[#This Row],[ponderacion_accion]]/4)*AQ512</f>
        <v>#REF!</v>
      </c>
      <c r="AP512" s="344" t="e">
        <f>Tabla1[[#This Row],[ponderacion_meta]]*AO512</f>
        <v>#REF!</v>
      </c>
      <c r="AQ512" s="354"/>
      <c r="AR512" s="378">
        <v>0</v>
      </c>
      <c r="AS512" s="9"/>
      <c r="AT512" s="521">
        <v>0</v>
      </c>
    </row>
    <row r="513" spans="1:46" ht="15" customHeight="1" x14ac:dyDescent="0.35">
      <c r="A513" s="236" t="s">
        <v>1152</v>
      </c>
      <c r="B513" s="237" t="s">
        <v>880</v>
      </c>
      <c r="C513" s="237" t="s">
        <v>1721</v>
      </c>
      <c r="D513" s="237" t="s">
        <v>1717</v>
      </c>
      <c r="E513" s="176" t="s">
        <v>1021</v>
      </c>
      <c r="F513" s="176" t="s">
        <v>2618</v>
      </c>
      <c r="G513" s="155" t="s">
        <v>1022</v>
      </c>
      <c r="H513" s="155" t="s">
        <v>1752</v>
      </c>
      <c r="I513" s="2" t="s">
        <v>1036</v>
      </c>
      <c r="J513" s="264">
        <v>6.4939999999999998E-3</v>
      </c>
      <c r="K513" s="6" t="s">
        <v>1037</v>
      </c>
      <c r="L513" s="148">
        <v>228937016</v>
      </c>
      <c r="M513" s="148">
        <v>0</v>
      </c>
      <c r="N513" s="456"/>
      <c r="O513" s="456" t="s">
        <v>2622</v>
      </c>
      <c r="P513" s="192">
        <v>73</v>
      </c>
      <c r="Q513" s="193">
        <v>75</v>
      </c>
      <c r="R513" s="193">
        <v>77</v>
      </c>
      <c r="S513" s="193">
        <v>80</v>
      </c>
      <c r="T513" s="193" t="s">
        <v>1682</v>
      </c>
      <c r="U513" s="88" t="s">
        <v>1050</v>
      </c>
      <c r="V513" s="10">
        <v>0.05</v>
      </c>
      <c r="W513" s="6" t="s">
        <v>1051</v>
      </c>
      <c r="X513" s="6"/>
      <c r="Y513" s="2" t="s">
        <v>2587</v>
      </c>
      <c r="Z513" s="6" t="s">
        <v>2565</v>
      </c>
      <c r="AA513" s="238">
        <f t="shared" si="74"/>
        <v>3.2470000000000003E-4</v>
      </c>
      <c r="AB513" s="252">
        <v>0</v>
      </c>
      <c r="AC513" s="278">
        <f>+(Tabla1[[#This Row],[Avance PDI]]*100%)/Tabla1[[#This Row],[ponderacion_meta]]</f>
        <v>0</v>
      </c>
      <c r="AD513" s="279">
        <v>1.5543016393442623E-3</v>
      </c>
      <c r="AE513" s="279">
        <v>1.5968852459016393E-3</v>
      </c>
      <c r="AF513" s="279">
        <v>1.6394688524590164E-3</v>
      </c>
      <c r="AG513" s="279">
        <v>1.7033442622950818E-3</v>
      </c>
      <c r="AH513" s="393">
        <f t="shared" si="76"/>
        <v>1.03071E-2</v>
      </c>
      <c r="AI513" s="393">
        <f t="shared" si="77"/>
        <v>7.1052631578947381E-2</v>
      </c>
      <c r="AJ513" s="316">
        <f t="shared" si="75"/>
        <v>7.1052631578947381E-2</v>
      </c>
      <c r="AK513" s="387">
        <v>3.2470000000000003E-3</v>
      </c>
      <c r="AL513" s="406">
        <f t="shared" si="78"/>
        <v>8.3333333333333356E-2</v>
      </c>
      <c r="AM513" s="327">
        <v>0</v>
      </c>
      <c r="AN513" s="410">
        <f t="shared" si="79"/>
        <v>8.3333333333333356E-2</v>
      </c>
      <c r="AO513" s="344" t="e">
        <f>+([1]!Tabla1[[#This Row],[ponderacion_accion]]/4)*AQ513</f>
        <v>#REF!</v>
      </c>
      <c r="AP513" s="344" t="e">
        <f>Tabla1[[#This Row],[ponderacion_meta]]*AO513</f>
        <v>#REF!</v>
      </c>
      <c r="AQ513" s="354"/>
      <c r="AR513" s="378">
        <v>0</v>
      </c>
      <c r="AS513" s="9"/>
      <c r="AT513" s="521">
        <v>0</v>
      </c>
    </row>
    <row r="514" spans="1:46" ht="15" customHeight="1" x14ac:dyDescent="0.35">
      <c r="A514" s="236" t="s">
        <v>1152</v>
      </c>
      <c r="B514" s="237" t="s">
        <v>880</v>
      </c>
      <c r="C514" s="237" t="s">
        <v>1721</v>
      </c>
      <c r="D514" s="237" t="s">
        <v>1717</v>
      </c>
      <c r="E514" s="176" t="s">
        <v>1021</v>
      </c>
      <c r="F514" s="176" t="s">
        <v>2618</v>
      </c>
      <c r="G514" s="155" t="s">
        <v>1022</v>
      </c>
      <c r="H514" s="155" t="s">
        <v>1752</v>
      </c>
      <c r="I514" s="2" t="s">
        <v>1036</v>
      </c>
      <c r="J514" s="264">
        <v>6.4939999999999998E-3</v>
      </c>
      <c r="K514" s="6" t="s">
        <v>1037</v>
      </c>
      <c r="L514" s="148">
        <v>228937016</v>
      </c>
      <c r="M514" s="148">
        <v>0</v>
      </c>
      <c r="N514" s="456"/>
      <c r="O514" s="456" t="s">
        <v>2622</v>
      </c>
      <c r="P514" s="192">
        <v>73</v>
      </c>
      <c r="Q514" s="193">
        <v>75</v>
      </c>
      <c r="R514" s="193">
        <v>77</v>
      </c>
      <c r="S514" s="193">
        <v>80</v>
      </c>
      <c r="T514" s="193" t="s">
        <v>1683</v>
      </c>
      <c r="U514" s="88" t="s">
        <v>1052</v>
      </c>
      <c r="V514" s="10">
        <v>0.05</v>
      </c>
      <c r="W514" s="6" t="s">
        <v>1053</v>
      </c>
      <c r="X514" s="6"/>
      <c r="Y514" s="2" t="s">
        <v>2587</v>
      </c>
      <c r="Z514" s="6" t="s">
        <v>2565</v>
      </c>
      <c r="AA514" s="238">
        <f t="shared" si="74"/>
        <v>3.2470000000000003E-4</v>
      </c>
      <c r="AB514" s="252">
        <v>0</v>
      </c>
      <c r="AC514" s="278">
        <f>+(Tabla1[[#This Row],[Avance PDI]]*100%)/Tabla1[[#This Row],[ponderacion_meta]]</f>
        <v>0</v>
      </c>
      <c r="AD514" s="279">
        <v>1.5543016393442623E-3</v>
      </c>
      <c r="AE514" s="279">
        <v>1.5968852459016393E-3</v>
      </c>
      <c r="AF514" s="279">
        <v>1.6394688524590164E-3</v>
      </c>
      <c r="AG514" s="279">
        <v>1.7033442622950818E-3</v>
      </c>
      <c r="AH514" s="393">
        <f t="shared" si="76"/>
        <v>1.03071E-2</v>
      </c>
      <c r="AI514" s="393">
        <f t="shared" si="77"/>
        <v>7.1052631578947381E-2</v>
      </c>
      <c r="AJ514" s="316">
        <f t="shared" si="75"/>
        <v>7.1052631578947381E-2</v>
      </c>
      <c r="AK514" s="387">
        <v>3.2470000000000003E-3</v>
      </c>
      <c r="AL514" s="406">
        <f t="shared" si="78"/>
        <v>8.3333333333333356E-2</v>
      </c>
      <c r="AM514" s="327">
        <v>0</v>
      </c>
      <c r="AN514" s="410">
        <f t="shared" si="79"/>
        <v>8.3333333333333356E-2</v>
      </c>
      <c r="AO514" s="344" t="e">
        <f>+([1]!Tabla1[[#This Row],[ponderacion_accion]]/4)*AQ514</f>
        <v>#REF!</v>
      </c>
      <c r="AP514" s="344" t="e">
        <f>Tabla1[[#This Row],[ponderacion_meta]]*AO514</f>
        <v>#REF!</v>
      </c>
      <c r="AQ514" s="354"/>
      <c r="AR514" s="378">
        <v>0</v>
      </c>
      <c r="AS514" s="9"/>
      <c r="AT514" s="521">
        <v>0</v>
      </c>
    </row>
    <row r="515" spans="1:46" ht="15" customHeight="1" x14ac:dyDescent="0.35">
      <c r="A515" s="236" t="s">
        <v>1152</v>
      </c>
      <c r="B515" s="237" t="s">
        <v>880</v>
      </c>
      <c r="C515" s="237" t="s">
        <v>1721</v>
      </c>
      <c r="D515" s="237" t="s">
        <v>1717</v>
      </c>
      <c r="E515" s="176" t="s">
        <v>1021</v>
      </c>
      <c r="F515" s="176" t="s">
        <v>2618</v>
      </c>
      <c r="G515" s="155" t="s">
        <v>1022</v>
      </c>
      <c r="H515" s="155" t="s">
        <v>1752</v>
      </c>
      <c r="I515" s="2" t="s">
        <v>1036</v>
      </c>
      <c r="J515" s="264">
        <v>6.4939999999999998E-3</v>
      </c>
      <c r="K515" s="6" t="s">
        <v>1037</v>
      </c>
      <c r="L515" s="148">
        <v>228937016</v>
      </c>
      <c r="M515" s="148">
        <v>0</v>
      </c>
      <c r="N515" s="456"/>
      <c r="O515" s="456" t="s">
        <v>2622</v>
      </c>
      <c r="P515" s="192">
        <v>73</v>
      </c>
      <c r="Q515" s="193">
        <v>75</v>
      </c>
      <c r="R515" s="193">
        <v>77</v>
      </c>
      <c r="S515" s="193">
        <v>80</v>
      </c>
      <c r="T515" s="193" t="s">
        <v>1684</v>
      </c>
      <c r="U515" s="88" t="s">
        <v>1054</v>
      </c>
      <c r="V515" s="10">
        <v>0.05</v>
      </c>
      <c r="W515" s="6" t="s">
        <v>1055</v>
      </c>
      <c r="X515" s="6"/>
      <c r="Y515" s="2" t="s">
        <v>2587</v>
      </c>
      <c r="Z515" s="6" t="s">
        <v>2565</v>
      </c>
      <c r="AA515" s="238">
        <f t="shared" si="74"/>
        <v>3.2470000000000003E-4</v>
      </c>
      <c r="AB515" s="252">
        <v>0</v>
      </c>
      <c r="AC515" s="278">
        <f>+(Tabla1[[#This Row],[Avance PDI]]*100%)/Tabla1[[#This Row],[ponderacion_meta]]</f>
        <v>0</v>
      </c>
      <c r="AD515" s="279">
        <v>1.5543016393442623E-3</v>
      </c>
      <c r="AE515" s="279">
        <v>1.5968852459016393E-3</v>
      </c>
      <c r="AF515" s="279">
        <v>1.6394688524590164E-3</v>
      </c>
      <c r="AG515" s="279">
        <v>1.7033442622950818E-3</v>
      </c>
      <c r="AH515" s="393">
        <f t="shared" si="76"/>
        <v>1.03071E-2</v>
      </c>
      <c r="AI515" s="393">
        <f t="shared" si="77"/>
        <v>7.1052631578947381E-2</v>
      </c>
      <c r="AJ515" s="316">
        <f t="shared" si="75"/>
        <v>7.1052631578947381E-2</v>
      </c>
      <c r="AK515" s="387">
        <v>3.2470000000000003E-3</v>
      </c>
      <c r="AL515" s="406">
        <f t="shared" si="78"/>
        <v>8.3333333333333356E-2</v>
      </c>
      <c r="AM515" s="327">
        <v>0</v>
      </c>
      <c r="AN515" s="410">
        <f t="shared" si="79"/>
        <v>8.3333333333333356E-2</v>
      </c>
      <c r="AO515" s="345" t="e">
        <f>+([1]!Tabla1[[#This Row],[ponderacion_accion]]/4)*AQ515</f>
        <v>#REF!</v>
      </c>
      <c r="AP515" s="345" t="e">
        <f>Tabla1[[#This Row],[ponderacion_meta]]*AO515</f>
        <v>#REF!</v>
      </c>
      <c r="AQ515" s="357"/>
      <c r="AR515" s="379">
        <v>0</v>
      </c>
      <c r="AS515" s="9"/>
      <c r="AT515" s="521">
        <v>0</v>
      </c>
    </row>
    <row r="516" spans="1:46" ht="15" customHeight="1" x14ac:dyDescent="0.35">
      <c r="A516" s="236" t="s">
        <v>1152</v>
      </c>
      <c r="B516" s="237" t="s">
        <v>880</v>
      </c>
      <c r="C516" s="237" t="s">
        <v>1721</v>
      </c>
      <c r="D516" s="237" t="s">
        <v>1717</v>
      </c>
      <c r="E516" s="176" t="s">
        <v>1021</v>
      </c>
      <c r="F516" s="176" t="s">
        <v>2618</v>
      </c>
      <c r="G516" s="155" t="s">
        <v>1022</v>
      </c>
      <c r="H516" s="155" t="s">
        <v>1752</v>
      </c>
      <c r="I516" s="7" t="s">
        <v>1056</v>
      </c>
      <c r="J516" s="265">
        <v>6.4939999999999998E-3</v>
      </c>
      <c r="K516" s="91" t="s">
        <v>1057</v>
      </c>
      <c r="L516" s="147">
        <v>574470248</v>
      </c>
      <c r="M516" s="147">
        <v>0</v>
      </c>
      <c r="N516" s="459"/>
      <c r="O516" s="459" t="s">
        <v>2622</v>
      </c>
      <c r="P516" s="195">
        <v>0</v>
      </c>
      <c r="Q516" s="195">
        <v>3</v>
      </c>
      <c r="R516" s="195">
        <v>3</v>
      </c>
      <c r="S516" s="195">
        <v>0</v>
      </c>
      <c r="T516" s="195" t="s">
        <v>1685</v>
      </c>
      <c r="U516" s="87" t="s">
        <v>1058</v>
      </c>
      <c r="V516" s="11">
        <v>0.1</v>
      </c>
      <c r="W516" s="9" t="s">
        <v>1059</v>
      </c>
      <c r="X516" s="9"/>
      <c r="Y516" s="7" t="s">
        <v>2587</v>
      </c>
      <c r="Z516" s="9" t="s">
        <v>2565</v>
      </c>
      <c r="AA516" s="239">
        <f t="shared" si="74"/>
        <v>6.4940000000000006E-4</v>
      </c>
      <c r="AB516" s="252">
        <v>0</v>
      </c>
      <c r="AC516" s="262">
        <f>+(Tabla1[[#This Row],[Avance PDI]]*100%)/Tabla1[[#This Row],[ponderacion_meta]]</f>
        <v>0</v>
      </c>
      <c r="AD516" s="257">
        <f>+Tabla1[[#This Row],[ponderacion_meta]]*Tabla1[[#This Row],[proyeccion_año1]]</f>
        <v>0</v>
      </c>
      <c r="AE516" s="257">
        <f>+Tabla1[[#This Row],[ponderacion_meta]]/6*Tabla1[[#This Row],[proyeccion_año2]]</f>
        <v>3.2469999999999999E-3</v>
      </c>
      <c r="AF516" s="257">
        <f>+Tabla1[[#This Row],[ponderacion_meta]]/6*Tabla1[[#This Row],[proyeccion_año3]]</f>
        <v>3.2469999999999999E-3</v>
      </c>
      <c r="AG516" s="257">
        <f>+Tabla1[[#This Row],[ponderacion_meta]]*Tabla1[[#This Row],[proyeccion_año4]]</f>
        <v>0</v>
      </c>
      <c r="AH516" s="393">
        <f t="shared" si="76"/>
        <v>1.03071E-2</v>
      </c>
      <c r="AI516" s="393">
        <f t="shared" si="77"/>
        <v>7.1052631578947381E-2</v>
      </c>
      <c r="AJ516" s="316">
        <f t="shared" si="75"/>
        <v>7.1052631578947381E-2</v>
      </c>
      <c r="AK516" s="387">
        <v>3.2470000000000003E-3</v>
      </c>
      <c r="AL516" s="406">
        <f t="shared" si="78"/>
        <v>8.3333333333333356E-2</v>
      </c>
      <c r="AM516" s="327">
        <v>0</v>
      </c>
      <c r="AN516" s="410">
        <f t="shared" si="79"/>
        <v>8.3333333333333356E-2</v>
      </c>
      <c r="AO516" s="358" t="e">
        <f>+([1]!Tabla1[[#This Row],[ponderacion_accion]]/6)*AQ516</f>
        <v>#REF!</v>
      </c>
      <c r="AP516" s="335" t="e">
        <f>Tabla1[[#This Row],[ponderacion_meta]]*AO516</f>
        <v>#REF!</v>
      </c>
      <c r="AQ516" s="361"/>
      <c r="AR516" s="380">
        <v>56259120.75</v>
      </c>
      <c r="AS516" s="7" t="e">
        <f>+((SUM(AO516:AO520)*100))/50</f>
        <v>#REF!</v>
      </c>
      <c r="AT516" s="521">
        <v>0</v>
      </c>
    </row>
    <row r="517" spans="1:46" ht="15" customHeight="1" x14ac:dyDescent="0.35">
      <c r="A517" s="236" t="s">
        <v>1152</v>
      </c>
      <c r="B517" s="237" t="s">
        <v>880</v>
      </c>
      <c r="C517" s="237" t="s">
        <v>1721</v>
      </c>
      <c r="D517" s="237" t="s">
        <v>1717</v>
      </c>
      <c r="E517" s="176" t="s">
        <v>1021</v>
      </c>
      <c r="F517" s="176" t="s">
        <v>2618</v>
      </c>
      <c r="G517" s="155" t="s">
        <v>1022</v>
      </c>
      <c r="H517" s="155" t="s">
        <v>1752</v>
      </c>
      <c r="I517" s="7" t="s">
        <v>1056</v>
      </c>
      <c r="J517" s="265">
        <v>6.4939999999999998E-3</v>
      </c>
      <c r="K517" s="9" t="s">
        <v>1057</v>
      </c>
      <c r="L517" s="147">
        <v>574470248</v>
      </c>
      <c r="M517" s="147">
        <v>0</v>
      </c>
      <c r="N517" s="459"/>
      <c r="O517" s="459" t="s">
        <v>2622</v>
      </c>
      <c r="P517" s="195">
        <v>0</v>
      </c>
      <c r="Q517" s="195">
        <v>3</v>
      </c>
      <c r="R517" s="195">
        <v>3</v>
      </c>
      <c r="S517" s="195">
        <v>0</v>
      </c>
      <c r="T517" s="195" t="s">
        <v>1686</v>
      </c>
      <c r="U517" s="87" t="s">
        <v>1060</v>
      </c>
      <c r="V517" s="11">
        <v>0.3</v>
      </c>
      <c r="W517" s="9" t="s">
        <v>1061</v>
      </c>
      <c r="X517" s="9"/>
      <c r="Y517" s="7" t="s">
        <v>2587</v>
      </c>
      <c r="Z517" s="9" t="s">
        <v>2565</v>
      </c>
      <c r="AA517" s="239">
        <f t="shared" si="74"/>
        <v>1.9481999999999998E-3</v>
      </c>
      <c r="AB517" s="252">
        <v>0</v>
      </c>
      <c r="AC517" s="262">
        <f>+(Tabla1[[#This Row],[Avance PDI]]*100%)/Tabla1[[#This Row],[ponderacion_meta]]</f>
        <v>0</v>
      </c>
      <c r="AD517" s="257">
        <v>0</v>
      </c>
      <c r="AE517" s="257">
        <v>3.2469999999999999E-3</v>
      </c>
      <c r="AF517" s="257">
        <v>3.2469999999999999E-3</v>
      </c>
      <c r="AG517" s="257">
        <v>0</v>
      </c>
      <c r="AH517" s="393">
        <f t="shared" si="76"/>
        <v>1.03071E-2</v>
      </c>
      <c r="AI517" s="393">
        <f t="shared" si="77"/>
        <v>7.1052631578947381E-2</v>
      </c>
      <c r="AJ517" s="316">
        <f t="shared" si="75"/>
        <v>7.1052631578947381E-2</v>
      </c>
      <c r="AK517" s="387">
        <v>3.2470000000000003E-3</v>
      </c>
      <c r="AL517" s="406">
        <f t="shared" si="78"/>
        <v>8.3333333333333356E-2</v>
      </c>
      <c r="AM517" s="327">
        <v>0</v>
      </c>
      <c r="AN517" s="410">
        <f t="shared" si="79"/>
        <v>8.3333333333333356E-2</v>
      </c>
      <c r="AO517" s="359" t="e">
        <f>+([1]!Tabla1[[#This Row],[ponderacion_accion]]/6)*AQ517</f>
        <v>#REF!</v>
      </c>
      <c r="AP517" s="335" t="e">
        <f>Tabla1[[#This Row],[ponderacion_meta]]*AO517</f>
        <v>#REF!</v>
      </c>
      <c r="AQ517" s="351"/>
      <c r="AR517" s="380">
        <v>0</v>
      </c>
      <c r="AS517" s="9"/>
      <c r="AT517" s="521">
        <v>0</v>
      </c>
    </row>
    <row r="518" spans="1:46" ht="15" customHeight="1" x14ac:dyDescent="0.35">
      <c r="A518" s="236" t="s">
        <v>1152</v>
      </c>
      <c r="B518" s="237" t="s">
        <v>880</v>
      </c>
      <c r="C518" s="237" t="s">
        <v>1721</v>
      </c>
      <c r="D518" s="237" t="s">
        <v>1717</v>
      </c>
      <c r="E518" s="176" t="s">
        <v>1021</v>
      </c>
      <c r="F518" s="176" t="s">
        <v>2618</v>
      </c>
      <c r="G518" s="155" t="s">
        <v>1022</v>
      </c>
      <c r="H518" s="155" t="s">
        <v>1752</v>
      </c>
      <c r="I518" s="7" t="s">
        <v>1056</v>
      </c>
      <c r="J518" s="265">
        <v>6.4939999999999998E-3</v>
      </c>
      <c r="K518" s="9" t="s">
        <v>1057</v>
      </c>
      <c r="L518" s="147">
        <v>574470248</v>
      </c>
      <c r="M518" s="147">
        <v>0</v>
      </c>
      <c r="N518" s="459"/>
      <c r="O518" s="459" t="s">
        <v>2622</v>
      </c>
      <c r="P518" s="195">
        <v>0</v>
      </c>
      <c r="Q518" s="195">
        <v>3</v>
      </c>
      <c r="R518" s="195">
        <v>3</v>
      </c>
      <c r="S518" s="195">
        <v>0</v>
      </c>
      <c r="T518" s="195" t="s">
        <v>1687</v>
      </c>
      <c r="U518" s="87" t="s">
        <v>1062</v>
      </c>
      <c r="V518" s="11">
        <v>0.2</v>
      </c>
      <c r="W518" s="9" t="s">
        <v>1063</v>
      </c>
      <c r="X518" s="9"/>
      <c r="Y518" s="7" t="s">
        <v>2587</v>
      </c>
      <c r="Z518" s="9" t="s">
        <v>2565</v>
      </c>
      <c r="AA518" s="239">
        <f t="shared" si="74"/>
        <v>1.2988000000000001E-3</v>
      </c>
      <c r="AB518" s="252">
        <v>0</v>
      </c>
      <c r="AC518" s="262">
        <f>+(Tabla1[[#This Row],[Avance PDI]]*100%)/Tabla1[[#This Row],[ponderacion_meta]]</f>
        <v>0</v>
      </c>
      <c r="AD518" s="257">
        <v>0</v>
      </c>
      <c r="AE518" s="257">
        <v>3.2469999999999999E-3</v>
      </c>
      <c r="AF518" s="257">
        <v>3.2469999999999999E-3</v>
      </c>
      <c r="AG518" s="257">
        <v>0</v>
      </c>
      <c r="AH518" s="393">
        <f t="shared" si="76"/>
        <v>1.03071E-2</v>
      </c>
      <c r="AI518" s="393">
        <f t="shared" si="77"/>
        <v>7.1052631578947381E-2</v>
      </c>
      <c r="AJ518" s="316">
        <f t="shared" si="75"/>
        <v>7.1052631578947381E-2</v>
      </c>
      <c r="AK518" s="387">
        <v>3.2470000000000003E-3</v>
      </c>
      <c r="AL518" s="406">
        <f t="shared" si="78"/>
        <v>8.3333333333333356E-2</v>
      </c>
      <c r="AM518" s="327">
        <v>0</v>
      </c>
      <c r="AN518" s="410">
        <f t="shared" si="79"/>
        <v>8.3333333333333356E-2</v>
      </c>
      <c r="AO518" s="359" t="e">
        <f>+([1]!Tabla1[[#This Row],[ponderacion_accion]]/6)*AQ518</f>
        <v>#REF!</v>
      </c>
      <c r="AP518" s="335" t="e">
        <f>Tabla1[[#This Row],[ponderacion_meta]]*AO518</f>
        <v>#REF!</v>
      </c>
      <c r="AQ518" s="351"/>
      <c r="AR518" s="380">
        <v>0</v>
      </c>
      <c r="AS518" s="9"/>
      <c r="AT518" s="521">
        <v>0</v>
      </c>
    </row>
    <row r="519" spans="1:46" ht="15" customHeight="1" x14ac:dyDescent="0.35">
      <c r="A519" s="236" t="s">
        <v>1152</v>
      </c>
      <c r="B519" s="237" t="s">
        <v>880</v>
      </c>
      <c r="C519" s="237" t="s">
        <v>1721</v>
      </c>
      <c r="D519" s="237" t="s">
        <v>1717</v>
      </c>
      <c r="E519" s="176" t="s">
        <v>1021</v>
      </c>
      <c r="F519" s="176" t="s">
        <v>2618</v>
      </c>
      <c r="G519" s="155" t="s">
        <v>1022</v>
      </c>
      <c r="H519" s="155" t="s">
        <v>1752</v>
      </c>
      <c r="I519" s="7" t="s">
        <v>1056</v>
      </c>
      <c r="J519" s="265">
        <v>6.4939999999999998E-3</v>
      </c>
      <c r="K519" s="9" t="s">
        <v>1057</v>
      </c>
      <c r="L519" s="147">
        <v>574470248</v>
      </c>
      <c r="M519" s="147">
        <v>0</v>
      </c>
      <c r="N519" s="459"/>
      <c r="O519" s="459" t="s">
        <v>2622</v>
      </c>
      <c r="P519" s="195">
        <v>0</v>
      </c>
      <c r="Q519" s="195">
        <v>3</v>
      </c>
      <c r="R519" s="195">
        <v>3</v>
      </c>
      <c r="S519" s="195">
        <v>0</v>
      </c>
      <c r="T519" s="195" t="s">
        <v>1688</v>
      </c>
      <c r="U519" s="87" t="s">
        <v>1064</v>
      </c>
      <c r="V519" s="11">
        <v>0.3</v>
      </c>
      <c r="W519" s="9" t="s">
        <v>1065</v>
      </c>
      <c r="X519" s="9"/>
      <c r="Y519" s="7" t="s">
        <v>2587</v>
      </c>
      <c r="Z519" s="9" t="s">
        <v>2565</v>
      </c>
      <c r="AA519" s="239">
        <f t="shared" si="74"/>
        <v>1.9481999999999998E-3</v>
      </c>
      <c r="AB519" s="252">
        <v>0</v>
      </c>
      <c r="AC519" s="262">
        <f>+(Tabla1[[#This Row],[Avance PDI]]*100%)/Tabla1[[#This Row],[ponderacion_meta]]</f>
        <v>0</v>
      </c>
      <c r="AD519" s="257">
        <v>0</v>
      </c>
      <c r="AE519" s="257">
        <v>3.2469999999999999E-3</v>
      </c>
      <c r="AF519" s="257">
        <v>3.2469999999999999E-3</v>
      </c>
      <c r="AG519" s="257">
        <v>0</v>
      </c>
      <c r="AH519" s="393">
        <f t="shared" si="76"/>
        <v>1.03071E-2</v>
      </c>
      <c r="AI519" s="393">
        <f t="shared" si="77"/>
        <v>7.1052631578947381E-2</v>
      </c>
      <c r="AJ519" s="316">
        <f t="shared" si="75"/>
        <v>7.1052631578947381E-2</v>
      </c>
      <c r="AK519" s="387">
        <v>3.2470000000000003E-3</v>
      </c>
      <c r="AL519" s="406">
        <f t="shared" si="78"/>
        <v>8.3333333333333356E-2</v>
      </c>
      <c r="AM519" s="327">
        <v>0</v>
      </c>
      <c r="AN519" s="410">
        <f t="shared" si="79"/>
        <v>8.3333333333333356E-2</v>
      </c>
      <c r="AO519" s="359" t="e">
        <f>+([1]!Tabla1[[#This Row],[ponderacion_accion]]/6)*AQ519</f>
        <v>#REF!</v>
      </c>
      <c r="AP519" s="335" t="e">
        <f>Tabla1[[#This Row],[ponderacion_meta]]*AO519</f>
        <v>#REF!</v>
      </c>
      <c r="AQ519" s="351"/>
      <c r="AR519" s="380">
        <v>0</v>
      </c>
      <c r="AS519" s="9"/>
      <c r="AT519" s="521">
        <v>0</v>
      </c>
    </row>
    <row r="520" spans="1:46" ht="15" customHeight="1" x14ac:dyDescent="0.35">
      <c r="A520" s="236" t="s">
        <v>1152</v>
      </c>
      <c r="B520" s="237" t="s">
        <v>880</v>
      </c>
      <c r="C520" s="237" t="s">
        <v>1721</v>
      </c>
      <c r="D520" s="237" t="s">
        <v>1717</v>
      </c>
      <c r="E520" s="176" t="s">
        <v>1021</v>
      </c>
      <c r="F520" s="176" t="s">
        <v>2618</v>
      </c>
      <c r="G520" s="155" t="s">
        <v>1022</v>
      </c>
      <c r="H520" s="155" t="s">
        <v>1752</v>
      </c>
      <c r="I520" s="7" t="s">
        <v>1056</v>
      </c>
      <c r="J520" s="265">
        <v>6.4939999999999998E-3</v>
      </c>
      <c r="K520" s="9" t="s">
        <v>1057</v>
      </c>
      <c r="L520" s="147">
        <v>574470248</v>
      </c>
      <c r="M520" s="147">
        <v>0</v>
      </c>
      <c r="N520" s="459"/>
      <c r="O520" s="459" t="s">
        <v>2622</v>
      </c>
      <c r="P520" s="195">
        <v>0</v>
      </c>
      <c r="Q520" s="195">
        <v>3</v>
      </c>
      <c r="R520" s="195">
        <v>3</v>
      </c>
      <c r="S520" s="195">
        <v>0</v>
      </c>
      <c r="T520" s="195" t="s">
        <v>1689</v>
      </c>
      <c r="U520" s="87" t="s">
        <v>1066</v>
      </c>
      <c r="V520" s="11">
        <v>0.1</v>
      </c>
      <c r="W520" s="9" t="s">
        <v>1067</v>
      </c>
      <c r="X520" s="9"/>
      <c r="Y520" s="7" t="s">
        <v>2587</v>
      </c>
      <c r="Z520" s="9" t="s">
        <v>2565</v>
      </c>
      <c r="AA520" s="239">
        <f t="shared" si="74"/>
        <v>6.4940000000000006E-4</v>
      </c>
      <c r="AB520" s="252">
        <v>0</v>
      </c>
      <c r="AC520" s="262">
        <f>+(Tabla1[[#This Row],[Avance PDI]]*100%)/Tabla1[[#This Row],[ponderacion_meta]]</f>
        <v>0</v>
      </c>
      <c r="AD520" s="257">
        <v>0</v>
      </c>
      <c r="AE520" s="257">
        <v>3.2469999999999999E-3</v>
      </c>
      <c r="AF520" s="257">
        <v>3.2469999999999999E-3</v>
      </c>
      <c r="AG520" s="257">
        <v>0</v>
      </c>
      <c r="AH520" s="393">
        <f t="shared" si="76"/>
        <v>1.03071E-2</v>
      </c>
      <c r="AI520" s="393">
        <f t="shared" si="77"/>
        <v>7.1052631578947381E-2</v>
      </c>
      <c r="AJ520" s="316">
        <f t="shared" si="75"/>
        <v>7.1052631578947381E-2</v>
      </c>
      <c r="AK520" s="387">
        <v>3.2470000000000003E-3</v>
      </c>
      <c r="AL520" s="406">
        <f t="shared" si="78"/>
        <v>8.3333333333333356E-2</v>
      </c>
      <c r="AM520" s="327">
        <v>0</v>
      </c>
      <c r="AN520" s="410">
        <f t="shared" si="79"/>
        <v>8.3333333333333356E-2</v>
      </c>
      <c r="AO520" s="360" t="e">
        <f>+([1]!Tabla1[[#This Row],[ponderacion_accion]]/6)*AQ520</f>
        <v>#REF!</v>
      </c>
      <c r="AP520" s="335" t="e">
        <f>Tabla1[[#This Row],[ponderacion_meta]]*AO520</f>
        <v>#REF!</v>
      </c>
      <c r="AQ520" s="356"/>
      <c r="AR520" s="380">
        <v>0</v>
      </c>
      <c r="AS520" s="9"/>
      <c r="AT520" s="521">
        <v>0</v>
      </c>
    </row>
    <row r="521" spans="1:46" ht="15" customHeight="1" x14ac:dyDescent="0.35">
      <c r="A521" s="236" t="s">
        <v>1152</v>
      </c>
      <c r="B521" s="237" t="s">
        <v>880</v>
      </c>
      <c r="C521" s="237" t="s">
        <v>1721</v>
      </c>
      <c r="D521" s="237" t="s">
        <v>1717</v>
      </c>
      <c r="E521" s="176" t="s">
        <v>1021</v>
      </c>
      <c r="F521" s="176" t="s">
        <v>2618</v>
      </c>
      <c r="G521" s="155" t="s">
        <v>1022</v>
      </c>
      <c r="H521" s="155" t="s">
        <v>1752</v>
      </c>
      <c r="I521" s="2" t="s">
        <v>1068</v>
      </c>
      <c r="J521" s="264">
        <v>6.4939999999999998E-3</v>
      </c>
      <c r="K521" s="6" t="s">
        <v>1069</v>
      </c>
      <c r="L521" s="149">
        <v>54692685</v>
      </c>
      <c r="M521" s="149">
        <v>0</v>
      </c>
      <c r="N521" s="457"/>
      <c r="O521" s="457" t="s">
        <v>1753</v>
      </c>
      <c r="P521" s="183">
        <v>0.1</v>
      </c>
      <c r="Q521" s="184">
        <v>0.3</v>
      </c>
      <c r="R521" s="184">
        <v>0.3</v>
      </c>
      <c r="S521" s="184">
        <v>0.3</v>
      </c>
      <c r="T521" s="184" t="s">
        <v>1690</v>
      </c>
      <c r="U521" s="88" t="s">
        <v>1070</v>
      </c>
      <c r="V521" s="10">
        <v>0.25</v>
      </c>
      <c r="W521" s="6" t="s">
        <v>1071</v>
      </c>
      <c r="X521" s="6"/>
      <c r="Y521" s="2" t="s">
        <v>2587</v>
      </c>
      <c r="Z521" s="6" t="s">
        <v>2562</v>
      </c>
      <c r="AA521" s="238">
        <f t="shared" si="74"/>
        <v>1.6234999999999999E-3</v>
      </c>
      <c r="AB521" s="252">
        <v>0</v>
      </c>
      <c r="AC521" s="278">
        <f>+(Tabla1[[#This Row],[Avance PDI]]*100%)/Tabla1[[#This Row],[ponderacion_meta]]</f>
        <v>0</v>
      </c>
      <c r="AD521" s="279">
        <f>+Tabla1[[#This Row],[ponderacion_meta]]*Tabla1[[#This Row],[proyeccion_año1]]</f>
        <v>6.4940000000000006E-4</v>
      </c>
      <c r="AE521" s="279">
        <f>+Tabla1[[#This Row],[ponderacion_meta]]*Tabla1[[#This Row],[proyeccion_año2]]</f>
        <v>1.9481999999999998E-3</v>
      </c>
      <c r="AF521" s="279">
        <f>+Tabla1[[#This Row],[ponderacion_meta]]*Tabla1[[#This Row],[proyeccion_año3]]</f>
        <v>1.9481999999999998E-3</v>
      </c>
      <c r="AG521" s="279">
        <f>+Tabla1[[#This Row],[ponderacion_meta]]*Tabla1[[#This Row],[proyeccion_año4]]</f>
        <v>1.9481999999999998E-3</v>
      </c>
      <c r="AH521" s="393">
        <f t="shared" si="76"/>
        <v>1.03071E-2</v>
      </c>
      <c r="AI521" s="393">
        <f t="shared" si="77"/>
        <v>7.1052631578947381E-2</v>
      </c>
      <c r="AJ521" s="316">
        <f t="shared" si="75"/>
        <v>7.1052631578947381E-2</v>
      </c>
      <c r="AK521" s="387">
        <v>3.2470000000000003E-3</v>
      </c>
      <c r="AL521" s="406">
        <f t="shared" si="78"/>
        <v>8.3333333333333356E-2</v>
      </c>
      <c r="AM521" s="327">
        <v>0</v>
      </c>
      <c r="AN521" s="410">
        <f t="shared" si="79"/>
        <v>8.3333333333333356E-2</v>
      </c>
      <c r="AO521" s="343" t="e">
        <f>+([1]!Tabla1[[#This Row],[ponderacion_accion]]/25%)*AQ521</f>
        <v>#REF!</v>
      </c>
      <c r="AP521" s="343" t="e">
        <f>Tabla1[[#This Row],[ponderacion_meta]]*AO521</f>
        <v>#REF!</v>
      </c>
      <c r="AQ521" s="353"/>
      <c r="AR521" s="377">
        <v>0</v>
      </c>
      <c r="AS521" s="7" t="e">
        <f>+((SUM(AO521:AO525)*100))/100</f>
        <v>#REF!</v>
      </c>
      <c r="AT521" s="521">
        <v>0</v>
      </c>
    </row>
    <row r="522" spans="1:46" ht="15" customHeight="1" x14ac:dyDescent="0.35">
      <c r="A522" s="236" t="s">
        <v>1152</v>
      </c>
      <c r="B522" s="237" t="s">
        <v>880</v>
      </c>
      <c r="C522" s="237" t="s">
        <v>1721</v>
      </c>
      <c r="D522" s="237" t="s">
        <v>1717</v>
      </c>
      <c r="E522" s="176" t="s">
        <v>1021</v>
      </c>
      <c r="F522" s="176" t="s">
        <v>2618</v>
      </c>
      <c r="G522" s="155" t="s">
        <v>1022</v>
      </c>
      <c r="H522" s="155" t="s">
        <v>1752</v>
      </c>
      <c r="I522" s="2" t="s">
        <v>1068</v>
      </c>
      <c r="J522" s="264">
        <v>6.4939999999999998E-3</v>
      </c>
      <c r="K522" s="6" t="s">
        <v>1069</v>
      </c>
      <c r="L522" s="149">
        <v>54692685</v>
      </c>
      <c r="M522" s="149">
        <v>0</v>
      </c>
      <c r="N522" s="457"/>
      <c r="O522" s="457" t="s">
        <v>1753</v>
      </c>
      <c r="P522" s="183">
        <v>0.1</v>
      </c>
      <c r="Q522" s="184">
        <v>0.3</v>
      </c>
      <c r="R522" s="184">
        <v>0.3</v>
      </c>
      <c r="S522" s="184">
        <v>0.3</v>
      </c>
      <c r="T522" s="184" t="s">
        <v>1691</v>
      </c>
      <c r="U522" s="88" t="s">
        <v>1072</v>
      </c>
      <c r="V522" s="10">
        <v>0.2</v>
      </c>
      <c r="W522" s="6" t="s">
        <v>202</v>
      </c>
      <c r="X522" s="6"/>
      <c r="Y522" s="2" t="s">
        <v>2587</v>
      </c>
      <c r="Z522" s="6" t="s">
        <v>2562</v>
      </c>
      <c r="AA522" s="238">
        <f t="shared" si="74"/>
        <v>1.2988000000000001E-3</v>
      </c>
      <c r="AB522" s="252">
        <v>0</v>
      </c>
      <c r="AC522" s="278">
        <f>+(Tabla1[[#This Row],[Avance PDI]]*100%)/Tabla1[[#This Row],[ponderacion_meta]]</f>
        <v>0</v>
      </c>
      <c r="AD522" s="279">
        <v>6.4940000000000006E-4</v>
      </c>
      <c r="AE522" s="279">
        <v>1.9481999999999998E-3</v>
      </c>
      <c r="AF522" s="279">
        <v>1.9481999999999998E-3</v>
      </c>
      <c r="AG522" s="279">
        <v>1.9481999999999998E-3</v>
      </c>
      <c r="AH522" s="393">
        <f t="shared" si="76"/>
        <v>1.03071E-2</v>
      </c>
      <c r="AI522" s="393">
        <f t="shared" si="77"/>
        <v>7.1052631578947381E-2</v>
      </c>
      <c r="AJ522" s="316">
        <f t="shared" si="75"/>
        <v>7.1052631578947381E-2</v>
      </c>
      <c r="AK522" s="387">
        <v>3.2470000000000003E-3</v>
      </c>
      <c r="AL522" s="406">
        <f t="shared" si="78"/>
        <v>8.3333333333333356E-2</v>
      </c>
      <c r="AM522" s="327">
        <v>0</v>
      </c>
      <c r="AN522" s="410">
        <f t="shared" si="79"/>
        <v>8.3333333333333356E-2</v>
      </c>
      <c r="AO522" s="344" t="e">
        <f>+([1]!Tabla1[[#This Row],[ponderacion_accion]]/20%)*AQ522</f>
        <v>#REF!</v>
      </c>
      <c r="AP522" s="344" t="e">
        <f>Tabla1[[#This Row],[ponderacion_meta]]*AO522</f>
        <v>#REF!</v>
      </c>
      <c r="AQ522" s="354"/>
      <c r="AR522" s="378">
        <v>0</v>
      </c>
      <c r="AS522" s="9"/>
      <c r="AT522" s="521">
        <v>0</v>
      </c>
    </row>
    <row r="523" spans="1:46" ht="15" customHeight="1" x14ac:dyDescent="0.35">
      <c r="A523" s="236" t="s">
        <v>1152</v>
      </c>
      <c r="B523" s="237" t="s">
        <v>880</v>
      </c>
      <c r="C523" s="237" t="s">
        <v>1721</v>
      </c>
      <c r="D523" s="237" t="s">
        <v>1717</v>
      </c>
      <c r="E523" s="176" t="s">
        <v>1021</v>
      </c>
      <c r="F523" s="176" t="s">
        <v>2618</v>
      </c>
      <c r="G523" s="155" t="s">
        <v>1022</v>
      </c>
      <c r="H523" s="155" t="s">
        <v>1752</v>
      </c>
      <c r="I523" s="2" t="s">
        <v>1068</v>
      </c>
      <c r="J523" s="264">
        <v>6.4939999999999998E-3</v>
      </c>
      <c r="K523" s="6" t="s">
        <v>1069</v>
      </c>
      <c r="L523" s="149">
        <v>54692685</v>
      </c>
      <c r="M523" s="149">
        <v>0</v>
      </c>
      <c r="N523" s="457"/>
      <c r="O523" s="457" t="s">
        <v>1753</v>
      </c>
      <c r="P523" s="183">
        <v>0.1</v>
      </c>
      <c r="Q523" s="184">
        <v>0.3</v>
      </c>
      <c r="R523" s="184">
        <v>0.3</v>
      </c>
      <c r="S523" s="184">
        <v>0.3</v>
      </c>
      <c r="T523" s="184" t="s">
        <v>1692</v>
      </c>
      <c r="U523" s="88" t="s">
        <v>1073</v>
      </c>
      <c r="V523" s="10">
        <v>0.1</v>
      </c>
      <c r="W523" s="6" t="s">
        <v>1074</v>
      </c>
      <c r="X523" s="6"/>
      <c r="Y523" s="2" t="s">
        <v>2587</v>
      </c>
      <c r="Z523" s="6" t="s">
        <v>2562</v>
      </c>
      <c r="AA523" s="238">
        <f t="shared" si="74"/>
        <v>6.4940000000000006E-4</v>
      </c>
      <c r="AB523" s="252">
        <v>0</v>
      </c>
      <c r="AC523" s="278">
        <f>+(Tabla1[[#This Row],[Avance PDI]]*100%)/Tabla1[[#This Row],[ponderacion_meta]]</f>
        <v>0</v>
      </c>
      <c r="AD523" s="279">
        <v>6.4940000000000006E-4</v>
      </c>
      <c r="AE523" s="279">
        <v>1.9481999999999998E-3</v>
      </c>
      <c r="AF523" s="279">
        <v>1.9481999999999998E-3</v>
      </c>
      <c r="AG523" s="279">
        <v>1.9481999999999998E-3</v>
      </c>
      <c r="AH523" s="393">
        <f t="shared" si="76"/>
        <v>1.03071E-2</v>
      </c>
      <c r="AI523" s="393">
        <f t="shared" si="77"/>
        <v>7.1052631578947381E-2</v>
      </c>
      <c r="AJ523" s="316">
        <f t="shared" si="75"/>
        <v>7.1052631578947381E-2</v>
      </c>
      <c r="AK523" s="387">
        <v>3.2470000000000003E-3</v>
      </c>
      <c r="AL523" s="406">
        <f t="shared" si="78"/>
        <v>8.3333333333333356E-2</v>
      </c>
      <c r="AM523" s="327">
        <v>0</v>
      </c>
      <c r="AN523" s="410">
        <f t="shared" si="79"/>
        <v>8.3333333333333356E-2</v>
      </c>
      <c r="AO523" s="344" t="e">
        <f>+([1]!Tabla1[[#This Row],[ponderacion_accion]]/10%)*AQ523</f>
        <v>#REF!</v>
      </c>
      <c r="AP523" s="344" t="e">
        <f>Tabla1[[#This Row],[ponderacion_meta]]*AO523</f>
        <v>#REF!</v>
      </c>
      <c r="AQ523" s="354"/>
      <c r="AR523" s="378">
        <v>0</v>
      </c>
      <c r="AS523" s="9"/>
      <c r="AT523" s="521">
        <v>0</v>
      </c>
    </row>
    <row r="524" spans="1:46" ht="15" customHeight="1" x14ac:dyDescent="0.35">
      <c r="A524" s="236" t="s">
        <v>1152</v>
      </c>
      <c r="B524" s="237" t="s">
        <v>880</v>
      </c>
      <c r="C524" s="237" t="s">
        <v>1721</v>
      </c>
      <c r="D524" s="237" t="s">
        <v>1717</v>
      </c>
      <c r="E524" s="176" t="s">
        <v>1021</v>
      </c>
      <c r="F524" s="176" t="s">
        <v>2618</v>
      </c>
      <c r="G524" s="155" t="s">
        <v>1022</v>
      </c>
      <c r="H524" s="155" t="s">
        <v>1752</v>
      </c>
      <c r="I524" s="2" t="s">
        <v>1068</v>
      </c>
      <c r="J524" s="264">
        <v>6.4939999999999998E-3</v>
      </c>
      <c r="K524" s="6" t="s">
        <v>1069</v>
      </c>
      <c r="L524" s="149">
        <v>54692685</v>
      </c>
      <c r="M524" s="149">
        <v>0</v>
      </c>
      <c r="N524" s="457"/>
      <c r="O524" s="457" t="s">
        <v>1753</v>
      </c>
      <c r="P524" s="183">
        <v>0.1</v>
      </c>
      <c r="Q524" s="184">
        <v>0.3</v>
      </c>
      <c r="R524" s="184">
        <v>0.3</v>
      </c>
      <c r="S524" s="184">
        <v>0.3</v>
      </c>
      <c r="T524" s="184" t="s">
        <v>1693</v>
      </c>
      <c r="U524" s="88" t="s">
        <v>1075</v>
      </c>
      <c r="V524" s="10">
        <v>0.05</v>
      </c>
      <c r="W524" s="6" t="s">
        <v>1076</v>
      </c>
      <c r="X524" s="6"/>
      <c r="Y524" s="2" t="s">
        <v>2587</v>
      </c>
      <c r="Z524" s="6" t="s">
        <v>2562</v>
      </c>
      <c r="AA524" s="238">
        <f t="shared" si="74"/>
        <v>3.2470000000000003E-4</v>
      </c>
      <c r="AB524" s="252">
        <v>0</v>
      </c>
      <c r="AC524" s="278">
        <f>+(Tabla1[[#This Row],[Avance PDI]]*100%)/Tabla1[[#This Row],[ponderacion_meta]]</f>
        <v>0</v>
      </c>
      <c r="AD524" s="279">
        <v>6.4940000000000006E-4</v>
      </c>
      <c r="AE524" s="279">
        <v>1.9481999999999998E-3</v>
      </c>
      <c r="AF524" s="279">
        <v>1.9481999999999998E-3</v>
      </c>
      <c r="AG524" s="279">
        <v>1.9481999999999998E-3</v>
      </c>
      <c r="AH524" s="393">
        <f t="shared" si="76"/>
        <v>1.03071E-2</v>
      </c>
      <c r="AI524" s="393">
        <f t="shared" si="77"/>
        <v>7.1052631578947381E-2</v>
      </c>
      <c r="AJ524" s="316">
        <f t="shared" si="75"/>
        <v>7.1052631578947381E-2</v>
      </c>
      <c r="AK524" s="387">
        <v>3.2470000000000003E-3</v>
      </c>
      <c r="AL524" s="406">
        <f t="shared" si="78"/>
        <v>8.3333333333333356E-2</v>
      </c>
      <c r="AM524" s="327">
        <v>0</v>
      </c>
      <c r="AN524" s="410">
        <f t="shared" si="79"/>
        <v>8.3333333333333356E-2</v>
      </c>
      <c r="AO524" s="344" t="e">
        <f>+([1]!Tabla1[[#This Row],[ponderacion_accion]]/5%)*AQ524</f>
        <v>#REF!</v>
      </c>
      <c r="AP524" s="344" t="e">
        <f>Tabla1[[#This Row],[ponderacion_meta]]*AO524</f>
        <v>#REF!</v>
      </c>
      <c r="AQ524" s="354"/>
      <c r="AR524" s="378">
        <v>0</v>
      </c>
      <c r="AS524" s="9"/>
      <c r="AT524" s="521">
        <v>0</v>
      </c>
    </row>
    <row r="525" spans="1:46" ht="15" customHeight="1" x14ac:dyDescent="0.35">
      <c r="A525" s="236" t="s">
        <v>1152</v>
      </c>
      <c r="B525" s="237" t="s">
        <v>880</v>
      </c>
      <c r="C525" s="237" t="s">
        <v>1721</v>
      </c>
      <c r="D525" s="237" t="s">
        <v>1717</v>
      </c>
      <c r="E525" s="176" t="s">
        <v>1021</v>
      </c>
      <c r="F525" s="176" t="s">
        <v>2618</v>
      </c>
      <c r="G525" s="155" t="s">
        <v>1022</v>
      </c>
      <c r="H525" s="155" t="s">
        <v>1752</v>
      </c>
      <c r="I525" s="2" t="s">
        <v>1068</v>
      </c>
      <c r="J525" s="264">
        <v>6.4939999999999998E-3</v>
      </c>
      <c r="K525" s="6" t="s">
        <v>1069</v>
      </c>
      <c r="L525" s="149">
        <v>54692685</v>
      </c>
      <c r="M525" s="149">
        <v>0</v>
      </c>
      <c r="N525" s="457"/>
      <c r="O525" s="457" t="s">
        <v>1753</v>
      </c>
      <c r="P525" s="183">
        <v>0.1</v>
      </c>
      <c r="Q525" s="184">
        <v>0.3</v>
      </c>
      <c r="R525" s="184">
        <v>0.3</v>
      </c>
      <c r="S525" s="184">
        <v>0.3</v>
      </c>
      <c r="T525" s="184" t="s">
        <v>1694</v>
      </c>
      <c r="U525" s="88" t="s">
        <v>1077</v>
      </c>
      <c r="V525" s="10">
        <v>0.4</v>
      </c>
      <c r="W525" s="6" t="s">
        <v>993</v>
      </c>
      <c r="X525" s="6"/>
      <c r="Y525" s="2" t="s">
        <v>2587</v>
      </c>
      <c r="Z525" s="6" t="s">
        <v>2562</v>
      </c>
      <c r="AA525" s="238">
        <f t="shared" si="74"/>
        <v>2.5976000000000003E-3</v>
      </c>
      <c r="AB525" s="252">
        <v>0</v>
      </c>
      <c r="AC525" s="278">
        <f>+(Tabla1[[#This Row],[Avance PDI]]*100%)/Tabla1[[#This Row],[ponderacion_meta]]</f>
        <v>0</v>
      </c>
      <c r="AD525" s="279">
        <v>6.4940000000000006E-4</v>
      </c>
      <c r="AE525" s="279">
        <v>1.9481999999999998E-3</v>
      </c>
      <c r="AF525" s="279">
        <v>1.9481999999999998E-3</v>
      </c>
      <c r="AG525" s="279">
        <v>1.9481999999999998E-3</v>
      </c>
      <c r="AH525" s="393">
        <f t="shared" si="76"/>
        <v>1.03071E-2</v>
      </c>
      <c r="AI525" s="393">
        <f t="shared" si="77"/>
        <v>7.1052631578947381E-2</v>
      </c>
      <c r="AJ525" s="316">
        <f t="shared" si="75"/>
        <v>7.1052631578947381E-2</v>
      </c>
      <c r="AK525" s="387">
        <v>3.2470000000000003E-3</v>
      </c>
      <c r="AL525" s="406">
        <f t="shared" si="78"/>
        <v>8.3333333333333356E-2</v>
      </c>
      <c r="AM525" s="327">
        <v>0</v>
      </c>
      <c r="AN525" s="410">
        <f t="shared" si="79"/>
        <v>8.3333333333333356E-2</v>
      </c>
      <c r="AO525" s="345" t="e">
        <f>+([1]!Tabla1[[#This Row],[ponderacion_accion]]/40%)*AQ525</f>
        <v>#REF!</v>
      </c>
      <c r="AP525" s="345" t="e">
        <f>Tabla1[[#This Row],[ponderacion_meta]]*AO525</f>
        <v>#REF!</v>
      </c>
      <c r="AQ525" s="357"/>
      <c r="AR525" s="379">
        <v>0</v>
      </c>
      <c r="AS525" s="9"/>
      <c r="AT525" s="521">
        <v>0</v>
      </c>
    </row>
    <row r="526" spans="1:46" ht="15" customHeight="1" x14ac:dyDescent="0.35">
      <c r="A526" s="236" t="s">
        <v>1152</v>
      </c>
      <c r="B526" s="237" t="s">
        <v>880</v>
      </c>
      <c r="C526" s="237" t="s">
        <v>1721</v>
      </c>
      <c r="D526" s="237" t="s">
        <v>1717</v>
      </c>
      <c r="E526" s="176" t="s">
        <v>1021</v>
      </c>
      <c r="F526" s="176" t="s">
        <v>2618</v>
      </c>
      <c r="G526" s="155" t="s">
        <v>1022</v>
      </c>
      <c r="H526" s="155" t="s">
        <v>1752</v>
      </c>
      <c r="I526" s="7" t="s">
        <v>1078</v>
      </c>
      <c r="J526" s="265">
        <v>6.4939999999999998E-3</v>
      </c>
      <c r="K526" s="9" t="s">
        <v>1079</v>
      </c>
      <c r="L526" s="150">
        <v>48485751</v>
      </c>
      <c r="M526" s="150">
        <v>0</v>
      </c>
      <c r="N526" s="458"/>
      <c r="O526" s="458" t="s">
        <v>2622</v>
      </c>
      <c r="P526" s="185">
        <v>0</v>
      </c>
      <c r="Q526" s="195">
        <v>1</v>
      </c>
      <c r="R526" s="195">
        <v>0</v>
      </c>
      <c r="S526" s="195">
        <v>0</v>
      </c>
      <c r="T526" s="195" t="s">
        <v>1695</v>
      </c>
      <c r="U526" s="87" t="s">
        <v>1080</v>
      </c>
      <c r="V526" s="11">
        <v>0.1</v>
      </c>
      <c r="W526" s="9" t="s">
        <v>310</v>
      </c>
      <c r="X526" s="9"/>
      <c r="Y526" s="7" t="s">
        <v>2587</v>
      </c>
      <c r="Z526" s="9" t="s">
        <v>2562</v>
      </c>
      <c r="AA526" s="239">
        <f t="shared" si="74"/>
        <v>6.4940000000000006E-4</v>
      </c>
      <c r="AB526" s="252">
        <v>0</v>
      </c>
      <c r="AC526" s="262">
        <f>+(Tabla1[[#This Row],[Avance PDI]]*100%)/Tabla1[[#This Row],[ponderacion_meta]]</f>
        <v>0</v>
      </c>
      <c r="AD526" s="257">
        <f>+Tabla1[[#This Row],[ponderacion_meta]]*Tabla1[[#This Row],[proyeccion_año1]]</f>
        <v>0</v>
      </c>
      <c r="AE526" s="257">
        <f>+Tabla1[[#This Row],[ponderacion_meta]]*Tabla1[[#This Row],[proyeccion_año2]]</f>
        <v>6.4939999999999998E-3</v>
      </c>
      <c r="AF526" s="257">
        <f>+Tabla1[[#This Row],[ponderacion_meta]]*Tabla1[[#This Row],[proyeccion_año3]]</f>
        <v>0</v>
      </c>
      <c r="AG526" s="257">
        <f>+Tabla1[[#This Row],[ponderacion_meta]]*Tabla1[[#This Row],[proyeccion_año4]]</f>
        <v>0</v>
      </c>
      <c r="AH526" s="393">
        <f t="shared" si="76"/>
        <v>1.03071E-2</v>
      </c>
      <c r="AI526" s="393">
        <f t="shared" si="77"/>
        <v>7.1052631578947381E-2</v>
      </c>
      <c r="AJ526" s="316">
        <f t="shared" si="75"/>
        <v>7.1052631578947381E-2</v>
      </c>
      <c r="AK526" s="387">
        <v>3.2470000000000003E-3</v>
      </c>
      <c r="AL526" s="406">
        <f t="shared" si="78"/>
        <v>8.3333333333333356E-2</v>
      </c>
      <c r="AM526" s="327">
        <v>0</v>
      </c>
      <c r="AN526" s="410">
        <f t="shared" si="79"/>
        <v>8.3333333333333356E-2</v>
      </c>
      <c r="AO526" s="358" t="e">
        <f>+([1]!Tabla1[[#This Row],[ponderacion_accion]]/10%)*AQ526</f>
        <v>#REF!</v>
      </c>
      <c r="AP526" s="358" t="e">
        <f>Tabla1[[#This Row],[ponderacion_meta]]*AO526</f>
        <v>#REF!</v>
      </c>
      <c r="AQ526" s="361"/>
      <c r="AR526" s="380">
        <v>0</v>
      </c>
      <c r="AS526" s="7" t="e">
        <f>+((SUM(AO526:AO530)*100))/100</f>
        <v>#REF!</v>
      </c>
      <c r="AT526" s="521">
        <v>0</v>
      </c>
    </row>
    <row r="527" spans="1:46" ht="15" customHeight="1" x14ac:dyDescent="0.35">
      <c r="A527" s="236" t="s">
        <v>1152</v>
      </c>
      <c r="B527" s="237" t="s">
        <v>880</v>
      </c>
      <c r="C527" s="237" t="s">
        <v>1721</v>
      </c>
      <c r="D527" s="237" t="s">
        <v>1717</v>
      </c>
      <c r="E527" s="176" t="s">
        <v>1021</v>
      </c>
      <c r="F527" s="176" t="s">
        <v>2618</v>
      </c>
      <c r="G527" s="155" t="s">
        <v>1022</v>
      </c>
      <c r="H527" s="155" t="s">
        <v>1752</v>
      </c>
      <c r="I527" s="7" t="s">
        <v>1078</v>
      </c>
      <c r="J527" s="265">
        <v>6.4939999999999998E-3</v>
      </c>
      <c r="K527" s="9" t="s">
        <v>1079</v>
      </c>
      <c r="L527" s="150">
        <v>48485751</v>
      </c>
      <c r="M527" s="150">
        <v>0</v>
      </c>
      <c r="N527" s="458"/>
      <c r="O527" s="458" t="s">
        <v>2622</v>
      </c>
      <c r="P527" s="185">
        <v>0</v>
      </c>
      <c r="Q527" s="195">
        <v>1</v>
      </c>
      <c r="R527" s="195">
        <v>0</v>
      </c>
      <c r="S527" s="195">
        <v>0</v>
      </c>
      <c r="T527" s="195" t="s">
        <v>1696</v>
      </c>
      <c r="U527" s="87" t="s">
        <v>1081</v>
      </c>
      <c r="V527" s="11">
        <v>0.6</v>
      </c>
      <c r="W527" s="9" t="s">
        <v>1082</v>
      </c>
      <c r="X527" s="9"/>
      <c r="Y527" s="7" t="s">
        <v>2587</v>
      </c>
      <c r="Z527" s="9" t="s">
        <v>2562</v>
      </c>
      <c r="AA527" s="239">
        <f t="shared" si="74"/>
        <v>3.8963999999999995E-3</v>
      </c>
      <c r="AB527" s="252">
        <v>0</v>
      </c>
      <c r="AC527" s="262">
        <f>+(Tabla1[[#This Row],[Avance PDI]]*100%)/Tabla1[[#This Row],[ponderacion_meta]]</f>
        <v>0</v>
      </c>
      <c r="AD527" s="257">
        <v>0</v>
      </c>
      <c r="AE527" s="257">
        <v>6.4939999999999998E-3</v>
      </c>
      <c r="AF527" s="257">
        <v>0</v>
      </c>
      <c r="AG527" s="257">
        <v>0</v>
      </c>
      <c r="AH527" s="393">
        <f t="shared" si="76"/>
        <v>1.03071E-2</v>
      </c>
      <c r="AI527" s="393">
        <f t="shared" si="77"/>
        <v>7.1052631578947381E-2</v>
      </c>
      <c r="AJ527" s="316">
        <f t="shared" si="75"/>
        <v>7.1052631578947381E-2</v>
      </c>
      <c r="AK527" s="387">
        <v>3.2470000000000003E-3</v>
      </c>
      <c r="AL527" s="406">
        <f t="shared" si="78"/>
        <v>8.3333333333333356E-2</v>
      </c>
      <c r="AM527" s="327">
        <v>0</v>
      </c>
      <c r="AN527" s="410">
        <f t="shared" si="79"/>
        <v>8.3333333333333356E-2</v>
      </c>
      <c r="AO527" s="359" t="e">
        <f>+([1]!Tabla1[[#This Row],[ponderacion_accion]]/60%)*AQ527</f>
        <v>#REF!</v>
      </c>
      <c r="AP527" s="359" t="e">
        <f>Tabla1[[#This Row],[ponderacion_meta]]*AO527</f>
        <v>#REF!</v>
      </c>
      <c r="AQ527" s="351"/>
      <c r="AR527" s="380">
        <v>0</v>
      </c>
      <c r="AS527" s="9"/>
      <c r="AT527" s="521">
        <v>0</v>
      </c>
    </row>
    <row r="528" spans="1:46" ht="15" customHeight="1" x14ac:dyDescent="0.35">
      <c r="A528" s="236" t="s">
        <v>1152</v>
      </c>
      <c r="B528" s="401" t="s">
        <v>880</v>
      </c>
      <c r="C528" s="237" t="s">
        <v>1721</v>
      </c>
      <c r="D528" s="237" t="s">
        <v>1717</v>
      </c>
      <c r="E528" s="177" t="s">
        <v>1021</v>
      </c>
      <c r="F528" s="176" t="s">
        <v>2618</v>
      </c>
      <c r="G528" s="158" t="s">
        <v>1022</v>
      </c>
      <c r="H528" s="158" t="s">
        <v>1752</v>
      </c>
      <c r="I528" s="21" t="s">
        <v>1078</v>
      </c>
      <c r="J528" s="271">
        <v>6.4939999999999998E-3</v>
      </c>
      <c r="K528" s="20" t="s">
        <v>1079</v>
      </c>
      <c r="L528" s="245">
        <v>48485751</v>
      </c>
      <c r="M528" s="245">
        <v>0</v>
      </c>
      <c r="N528" s="460"/>
      <c r="O528" s="460" t="s">
        <v>2622</v>
      </c>
      <c r="P528" s="246">
        <v>0</v>
      </c>
      <c r="Q528" s="247">
        <v>1</v>
      </c>
      <c r="R528" s="247">
        <v>0</v>
      </c>
      <c r="S528" s="247">
        <v>0</v>
      </c>
      <c r="T528" s="247" t="s">
        <v>1697</v>
      </c>
      <c r="U528" s="248" t="s">
        <v>1083</v>
      </c>
      <c r="V528" s="22">
        <v>0.3</v>
      </c>
      <c r="W528" s="20" t="s">
        <v>1084</v>
      </c>
      <c r="X528" s="20"/>
      <c r="Y528" s="21" t="s">
        <v>2587</v>
      </c>
      <c r="Z528" s="20" t="s">
        <v>2562</v>
      </c>
      <c r="AA528" s="249">
        <f t="shared" si="74"/>
        <v>1.9481999999999998E-3</v>
      </c>
      <c r="AB528" s="252">
        <v>0</v>
      </c>
      <c r="AC528" s="262">
        <f>+(Tabla1[[#This Row],[Avance PDI]]*100%)/Tabla1[[#This Row],[ponderacion_meta]]</f>
        <v>0</v>
      </c>
      <c r="AD528" s="257">
        <v>0</v>
      </c>
      <c r="AE528" s="257">
        <v>6.4939999999999998E-3</v>
      </c>
      <c r="AF528" s="257">
        <v>0</v>
      </c>
      <c r="AG528" s="257">
        <v>0</v>
      </c>
      <c r="AH528" s="393">
        <f t="shared" si="76"/>
        <v>1.03071E-2</v>
      </c>
      <c r="AI528" s="393">
        <f t="shared" si="77"/>
        <v>7.1052631578947381E-2</v>
      </c>
      <c r="AJ528" s="316">
        <f t="shared" si="75"/>
        <v>7.1052631578947381E-2</v>
      </c>
      <c r="AK528" s="387">
        <v>3.2470000000000003E-3</v>
      </c>
      <c r="AL528" s="406">
        <f t="shared" si="78"/>
        <v>8.3333333333333356E-2</v>
      </c>
      <c r="AM528" s="328">
        <v>0</v>
      </c>
      <c r="AN528" s="410">
        <f t="shared" si="79"/>
        <v>8.3333333333333356E-2</v>
      </c>
      <c r="AO528" s="360" t="e">
        <f>+([1]!Tabla1[[#This Row],[ponderacion_accion]]/30%)*AQ528</f>
        <v>#REF!</v>
      </c>
      <c r="AP528" s="360" t="e">
        <f>Tabla1[[#This Row],[ponderacion_meta]]*AO528</f>
        <v>#REF!</v>
      </c>
      <c r="AQ528" s="356"/>
      <c r="AR528" s="381">
        <v>0</v>
      </c>
      <c r="AS528" s="20"/>
      <c r="AT528" s="521">
        <v>0</v>
      </c>
    </row>
    <row r="529" spans="9:28" ht="15" customHeight="1" x14ac:dyDescent="0.25">
      <c r="I529" s="152"/>
      <c r="M529" s="153"/>
      <c r="N529" s="153"/>
      <c r="O529" s="153"/>
      <c r="P529" s="50"/>
      <c r="Q529" s="50"/>
      <c r="R529" s="50"/>
      <c r="T529" s="51"/>
    </row>
    <row r="540" spans="9:28" x14ac:dyDescent="0.25">
      <c r="AB540" s="517"/>
    </row>
  </sheetData>
  <phoneticPr fontId="2" type="noConversion"/>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A5532-E233-4F9B-AD2C-3877853C9E43}">
  <dimension ref="A1:E5"/>
  <sheetViews>
    <sheetView workbookViewId="0">
      <selection activeCell="B5" sqref="B5"/>
    </sheetView>
  </sheetViews>
  <sheetFormatPr baseColWidth="10" defaultRowHeight="15" x14ac:dyDescent="0.25"/>
  <cols>
    <col min="2" max="2" width="31.85546875" bestFit="1" customWidth="1"/>
    <col min="4" max="4" width="14.5703125" bestFit="1" customWidth="1"/>
  </cols>
  <sheetData>
    <row r="1" spans="1:5" x14ac:dyDescent="0.25">
      <c r="A1" t="s">
        <v>1713</v>
      </c>
      <c r="B1" t="s">
        <v>1716</v>
      </c>
      <c r="C1" t="s">
        <v>1707</v>
      </c>
      <c r="D1" t="s">
        <v>1714</v>
      </c>
      <c r="E1" t="s">
        <v>1715</v>
      </c>
    </row>
    <row r="2" spans="1:5" x14ac:dyDescent="0.25">
      <c r="A2" t="s">
        <v>1149</v>
      </c>
      <c r="B2" s="412">
        <f>'S-PLAN'!AD2+'S-PLAN'!AD6+'S-PLAN'!AD11+'S-PLAN'!AD17+'S-PLAN'!AD23+'S-PLAN'!AD27+'S-PLAN'!AD32+'S-PLAN'!AD38+'S-PLAN'!AD42+'S-PLAN'!AD47+'S-PLAN'!AD52</f>
        <v>9.8694074254412657E-3</v>
      </c>
      <c r="C2" s="412">
        <f>'S-PLAN'!AH2</f>
        <v>3.8811000000000002E-3</v>
      </c>
      <c r="D2" s="412">
        <f>'S-PLAN'!AI2</f>
        <v>3.6363636363636362E-2</v>
      </c>
      <c r="E2" s="413">
        <f>SUM($C$2:$C$5)</f>
        <v>5.9873660000000009E-2</v>
      </c>
    </row>
    <row r="3" spans="1:5" x14ac:dyDescent="0.25">
      <c r="A3" t="s">
        <v>1150</v>
      </c>
      <c r="B3" s="412">
        <f>'S-PLAN'!AD57+'S-PLAN'!AD63+'S-PLAN'!AD72+'S-PLAN'!AD77+'S-PLAN'!AD81+'S-PLAN'!AD85+'S-PLAN'!AD89+'S-PLAN'!AD93+'S-PLAN'!AD97+'S-PLAN'!AD100+'S-PLAN'!AD102+'S-PLAN'!AD108+'S-PLAN'!AD114+'S-PLAN'!AD118+'S-PLAN'!AD122+'S-PLAN'!AD127+'S-PLAN'!AD130+'S-PLAN'!AD134+'S-PLAN'!AD137+'S-PLAN'!AD141+'S-PLAN'!AD146+'S-PLAN'!AD150+'S-PLAN'!AD154+'S-PLAN'!AD157+'S-PLAN'!AD160+'S-PLAN'!AD163+'S-PLAN'!AD167+'S-PLAN'!AD170+'S-PLAN'!AD174+'S-PLAN'!AD177+'S-PLAN'!AD180+'S-PLAN'!AD182+'S-PLAN'!AD186+'S-PLAN'!AD189+'S-PLAN'!AD192+'S-PLAN'!AD197+'S-PLAN'!AD201+'S-PLAN'!AD205+'S-PLAN'!AD210+'S-PLAN'!AD214+'S-PLAN'!AD219+'S-PLAN'!AD224+'S-PLAN'!AD229+'S-PLAN'!AD234+'S-PLAN'!AD238+'S-PLAN'!AD243+'S-PLAN'!AD246+'S-PLAN'!AD249+'S-PLAN'!AD252+'S-PLAN'!AD255</f>
        <v>3.9266645837340804E-2</v>
      </c>
      <c r="C3" s="412">
        <f>'S-PLAN'!AH57</f>
        <v>1.9088790000000005E-2</v>
      </c>
      <c r="D3" s="412">
        <f>'S-PLAN'!AI57</f>
        <v>4.2766666666666675E-2</v>
      </c>
      <c r="E3" s="413">
        <f>SUM($C$2:$C$5)</f>
        <v>5.9873660000000009E-2</v>
      </c>
    </row>
    <row r="4" spans="1:5" x14ac:dyDescent="0.25">
      <c r="A4" t="s">
        <v>1151</v>
      </c>
      <c r="B4" s="414">
        <f>'S-PLAN'!AD258+'S-PLAN'!AD264+'S-PLAN'!AD270+'S-PLAN'!AD276+'S-PLAN'!AD285+'S-PLAN'!AD288+'S-PLAN'!AD292+'S-PLAN'!AD298+'S-PLAN'!AD302+'S-PLAN'!AD306+'S-PLAN'!AD312</f>
        <v>1.5942770000000002E-2</v>
      </c>
      <c r="C4" s="412">
        <f>'S-PLAN'!AH258</f>
        <v>2.6596669999999999E-2</v>
      </c>
      <c r="D4" s="412">
        <f>'S-PLAN'!AI258</f>
        <v>8.2625000000000032E-2</v>
      </c>
      <c r="E4" s="413">
        <f>SUM($C$2:$C$5)</f>
        <v>5.9873660000000009E-2</v>
      </c>
    </row>
    <row r="5" spans="1:5" x14ac:dyDescent="0.25">
      <c r="A5" t="s">
        <v>1152</v>
      </c>
      <c r="B5" s="414">
        <f>'S-PLAN'!AD432+'S-PLAN'!AD437+'S-PLAN'!AD443+'S-PLAN'!AD449+'S-PLAN'!AD458+'S-PLAN'!AD461+'S-PLAN'!AD465+'S-PLAN'!AD472+'S-PLAN'!AD475+'S-PLAN'!AD479+'S-PLAN'!AD484+'S-PLAN'!AD492+'S-PLAN'!AD496+'S-PLAN'!AD500+'S-PLAN'!AD503+'S-PLAN'!AD507+'S-PLAN'!AD516+'S-PLAN'!AD521+'S-PLAN'!AD526</f>
        <v>1.9024257194899818E-2</v>
      </c>
      <c r="C5" s="412">
        <f>'S-PLAN'!AH432</f>
        <v>1.03071E-2</v>
      </c>
      <c r="D5" s="412">
        <f>'S-PLAN'!AI432</f>
        <v>7.1052631578947381E-2</v>
      </c>
      <c r="E5" s="413">
        <f>SUM($C$2:$C$5)</f>
        <v>5.9873660000000009E-2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45AC6-338A-4494-A331-A830EF0FAB62}">
  <dimension ref="A1:K32"/>
  <sheetViews>
    <sheetView zoomScale="130" zoomScaleNormal="130" workbookViewId="0">
      <selection activeCell="A4" sqref="A4"/>
    </sheetView>
  </sheetViews>
  <sheetFormatPr baseColWidth="10" defaultRowHeight="12.75" x14ac:dyDescent="0.25"/>
  <cols>
    <col min="1" max="1" width="12.28515625" style="297" bestFit="1" customWidth="1"/>
    <col min="2" max="2" width="139.28515625" style="297" bestFit="1" customWidth="1"/>
    <col min="3" max="3" width="17.42578125" style="297" bestFit="1" customWidth="1"/>
    <col min="4" max="4" width="21.42578125" style="297" bestFit="1" customWidth="1"/>
    <col min="5" max="5" width="11.42578125" style="297"/>
    <col min="6" max="6" width="11.42578125" style="293"/>
    <col min="7" max="7" width="12.140625" style="297" bestFit="1" customWidth="1"/>
    <col min="8" max="8" width="21.42578125" style="300" bestFit="1" customWidth="1"/>
    <col min="9" max="9" width="11.42578125" style="297"/>
    <col min="10" max="11" width="11.5703125" style="297" bestFit="1" customWidth="1"/>
    <col min="12" max="16384" width="11.42578125" style="297"/>
  </cols>
  <sheetData>
    <row r="1" spans="1:11" s="293" customFormat="1" x14ac:dyDescent="0.25">
      <c r="A1" s="310" t="s">
        <v>1120</v>
      </c>
      <c r="B1" s="310" t="s">
        <v>1121</v>
      </c>
      <c r="C1" s="311" t="s">
        <v>1124</v>
      </c>
      <c r="D1" s="311" t="s">
        <v>1125</v>
      </c>
      <c r="E1" s="312"/>
      <c r="F1" s="312" t="s">
        <v>1121</v>
      </c>
      <c r="G1" s="311" t="s">
        <v>1124</v>
      </c>
      <c r="H1" s="311" t="s">
        <v>1125</v>
      </c>
    </row>
    <row r="2" spans="1:11" x14ac:dyDescent="0.25">
      <c r="A2" s="294" t="s">
        <v>1089</v>
      </c>
      <c r="B2" s="295" t="s">
        <v>18</v>
      </c>
      <c r="C2" s="296">
        <v>9.7409999999999988E-4</v>
      </c>
      <c r="D2" s="296">
        <v>7.4999999999999997E-2</v>
      </c>
      <c r="F2" s="298" t="s">
        <v>18</v>
      </c>
      <c r="G2" s="299">
        <v>9.7409999999999988E-4</v>
      </c>
      <c r="H2" s="309">
        <v>7.4999999999999997E-2</v>
      </c>
      <c r="J2" s="297" t="s">
        <v>1122</v>
      </c>
      <c r="K2" s="297" t="s">
        <v>1123</v>
      </c>
    </row>
    <row r="3" spans="1:11" x14ac:dyDescent="0.25">
      <c r="A3" s="294" t="s">
        <v>1090</v>
      </c>
      <c r="B3" s="295" t="s">
        <v>41</v>
      </c>
      <c r="C3" s="301">
        <v>2.9069999999999999E-3</v>
      </c>
      <c r="D3" s="301">
        <v>6.25E-2</v>
      </c>
      <c r="F3" s="302" t="s">
        <v>41</v>
      </c>
      <c r="G3" s="303">
        <v>2.9069999999999999E-3</v>
      </c>
      <c r="H3" s="309">
        <v>0.05</v>
      </c>
      <c r="J3" s="297">
        <v>100</v>
      </c>
      <c r="K3" s="297">
        <v>5.9</v>
      </c>
    </row>
    <row r="4" spans="1:11" x14ac:dyDescent="0.25">
      <c r="A4" s="294" t="s">
        <v>1091</v>
      </c>
      <c r="B4" s="304" t="s">
        <v>104</v>
      </c>
      <c r="C4" s="296">
        <v>0</v>
      </c>
      <c r="D4" s="296">
        <v>0</v>
      </c>
      <c r="F4" s="298" t="s">
        <v>104</v>
      </c>
      <c r="G4" s="299">
        <v>0</v>
      </c>
      <c r="H4" s="309">
        <v>0</v>
      </c>
    </row>
    <row r="5" spans="1:11" x14ac:dyDescent="0.25">
      <c r="A5" s="294" t="s">
        <v>1092</v>
      </c>
      <c r="B5" s="304" t="s">
        <v>150</v>
      </c>
      <c r="C5" s="301">
        <v>3.8964000000000004E-3</v>
      </c>
      <c r="D5" s="301">
        <v>0.30000000000000004</v>
      </c>
      <c r="F5" s="302" t="s">
        <v>150</v>
      </c>
      <c r="G5" s="303">
        <v>3.8964000000000004E-3</v>
      </c>
      <c r="H5" s="309">
        <v>0.30000000000000004</v>
      </c>
      <c r="J5" s="297" t="s">
        <v>1122</v>
      </c>
      <c r="K5" s="297" t="s">
        <v>1123</v>
      </c>
    </row>
    <row r="6" spans="1:11" x14ac:dyDescent="0.25">
      <c r="A6" s="294" t="s">
        <v>1093</v>
      </c>
      <c r="B6" s="304" t="s">
        <v>183</v>
      </c>
      <c r="C6" s="296">
        <v>1.8122000000000001E-3</v>
      </c>
      <c r="D6" s="296">
        <v>0.04</v>
      </c>
      <c r="F6" s="298" t="s">
        <v>183</v>
      </c>
      <c r="G6" s="299">
        <v>1.8122000000000001E-3</v>
      </c>
      <c r="H6" s="309">
        <v>0.04</v>
      </c>
      <c r="J6" s="297">
        <v>100</v>
      </c>
      <c r="K6" s="297">
        <v>10.76</v>
      </c>
    </row>
    <row r="7" spans="1:11" x14ac:dyDescent="0.25">
      <c r="A7" s="294" t="s">
        <v>1094</v>
      </c>
      <c r="B7" s="295" t="s">
        <v>229</v>
      </c>
      <c r="C7" s="301">
        <v>1.5504E-3</v>
      </c>
      <c r="D7" s="301">
        <v>6.6666666666666666E-2</v>
      </c>
      <c r="F7" s="302" t="s">
        <v>229</v>
      </c>
      <c r="G7" s="303">
        <v>1.5504E-3</v>
      </c>
      <c r="H7" s="309">
        <v>6.6666666666666666E-2</v>
      </c>
    </row>
    <row r="8" spans="1:11" ht="20.25" customHeight="1" x14ac:dyDescent="0.25">
      <c r="A8" s="294" t="s">
        <v>1095</v>
      </c>
      <c r="B8" s="295" t="s">
        <v>248</v>
      </c>
      <c r="C8" s="296">
        <v>2.9070000000000003E-3</v>
      </c>
      <c r="D8" s="296">
        <v>3.125E-2</v>
      </c>
      <c r="F8" s="298" t="s">
        <v>248</v>
      </c>
      <c r="G8" s="299">
        <v>2.9070000000000003E-3</v>
      </c>
      <c r="H8" s="309">
        <v>3.125E-2</v>
      </c>
    </row>
    <row r="9" spans="1:11" x14ac:dyDescent="0.25">
      <c r="A9" s="294" t="s">
        <v>1096</v>
      </c>
      <c r="B9" s="295" t="s">
        <v>325</v>
      </c>
      <c r="C9" s="301">
        <v>4.8704999999999994E-4</v>
      </c>
      <c r="D9" s="301">
        <v>7.4999999999999997E-2</v>
      </c>
      <c r="F9" s="302" t="s">
        <v>325</v>
      </c>
      <c r="G9" s="303">
        <v>4.8704999999999994E-4</v>
      </c>
      <c r="H9" s="309">
        <v>7.4999999999999997E-2</v>
      </c>
    </row>
    <row r="10" spans="1:11" x14ac:dyDescent="0.25">
      <c r="A10" s="294" t="s">
        <v>1097</v>
      </c>
      <c r="B10" s="304" t="s">
        <v>334</v>
      </c>
      <c r="C10" s="296">
        <v>3.2558400000000003E-3</v>
      </c>
      <c r="D10" s="296">
        <v>4.6666666666666662E-2</v>
      </c>
      <c r="F10" s="298" t="s">
        <v>334</v>
      </c>
      <c r="G10" s="299">
        <v>3.2558400000000003E-3</v>
      </c>
      <c r="H10" s="309">
        <v>4.6666666666666662E-2</v>
      </c>
    </row>
    <row r="11" spans="1:11" x14ac:dyDescent="0.25">
      <c r="A11" s="294" t="s">
        <v>1098</v>
      </c>
      <c r="B11" s="304" t="s">
        <v>381</v>
      </c>
      <c r="C11" s="301">
        <v>3.2470000000000003E-4</v>
      </c>
      <c r="D11" s="301">
        <v>5.000000000000001E-2</v>
      </c>
      <c r="F11" s="302" t="s">
        <v>381</v>
      </c>
      <c r="G11" s="303">
        <v>3.2470000000000003E-4</v>
      </c>
      <c r="H11" s="309">
        <v>5.000000000000001E-2</v>
      </c>
    </row>
    <row r="12" spans="1:11" x14ac:dyDescent="0.25">
      <c r="A12" s="294" t="s">
        <v>1099</v>
      </c>
      <c r="B12" s="295" t="s">
        <v>390</v>
      </c>
      <c r="C12" s="296">
        <v>3.2470000000000003E-4</v>
      </c>
      <c r="D12" s="296">
        <v>8.333333333333335E-3</v>
      </c>
      <c r="F12" s="298" t="s">
        <v>390</v>
      </c>
      <c r="G12" s="299">
        <v>3.2470000000000003E-4</v>
      </c>
      <c r="H12" s="309">
        <v>8.333333333333335E-3</v>
      </c>
    </row>
    <row r="13" spans="1:11" x14ac:dyDescent="0.25">
      <c r="A13" s="294" t="s">
        <v>1100</v>
      </c>
      <c r="B13" s="295" t="s">
        <v>439</v>
      </c>
      <c r="C13" s="301">
        <v>1.6234999999999999E-3</v>
      </c>
      <c r="D13" s="301">
        <v>8.3333333333333329E-2</v>
      </c>
      <c r="F13" s="302" t="s">
        <v>439</v>
      </c>
      <c r="G13" s="303">
        <v>1.6234999999999999E-3</v>
      </c>
      <c r="H13" s="309">
        <v>8.3333333333333329E-2</v>
      </c>
    </row>
    <row r="14" spans="1:11" x14ac:dyDescent="0.25">
      <c r="A14" s="294" t="s">
        <v>1101</v>
      </c>
      <c r="B14" s="304" t="s">
        <v>1086</v>
      </c>
      <c r="C14" s="296">
        <v>0</v>
      </c>
      <c r="D14" s="296">
        <v>0</v>
      </c>
      <c r="F14" s="298" t="s">
        <v>1086</v>
      </c>
      <c r="G14" s="299">
        <v>0</v>
      </c>
      <c r="H14" s="309">
        <v>0</v>
      </c>
    </row>
    <row r="15" spans="1:11" x14ac:dyDescent="0.25">
      <c r="A15" s="294" t="s">
        <v>1102</v>
      </c>
      <c r="B15" s="295" t="s">
        <v>474</v>
      </c>
      <c r="C15" s="301">
        <v>0</v>
      </c>
      <c r="D15" s="301">
        <v>0</v>
      </c>
      <c r="F15" s="302" t="s">
        <v>474</v>
      </c>
      <c r="G15" s="303">
        <v>0</v>
      </c>
      <c r="H15" s="309">
        <v>0</v>
      </c>
    </row>
    <row r="16" spans="1:11" x14ac:dyDescent="0.25">
      <c r="A16" s="294" t="s">
        <v>1103</v>
      </c>
      <c r="B16" s="295" t="s">
        <v>488</v>
      </c>
      <c r="C16" s="296">
        <v>0</v>
      </c>
      <c r="D16" s="296">
        <v>0</v>
      </c>
      <c r="F16" s="298" t="s">
        <v>488</v>
      </c>
      <c r="G16" s="299">
        <v>0</v>
      </c>
      <c r="H16" s="309">
        <v>0</v>
      </c>
    </row>
    <row r="17" spans="1:8" x14ac:dyDescent="0.25">
      <c r="A17" s="294" t="s">
        <v>1104</v>
      </c>
      <c r="B17" s="304" t="s">
        <v>500</v>
      </c>
      <c r="C17" s="301">
        <v>2.9069999999999994E-3</v>
      </c>
      <c r="D17" s="301">
        <v>8.3333333333333329E-2</v>
      </c>
      <c r="F17" s="302" t="s">
        <v>500</v>
      </c>
      <c r="G17" s="303">
        <v>2.9069999999999994E-3</v>
      </c>
      <c r="H17" s="309">
        <v>8.3333333333333329E-2</v>
      </c>
    </row>
    <row r="18" spans="1:8" x14ac:dyDescent="0.25">
      <c r="A18" s="294" t="s">
        <v>1105</v>
      </c>
      <c r="B18" s="295" t="s">
        <v>521</v>
      </c>
      <c r="C18" s="296">
        <v>0</v>
      </c>
      <c r="D18" s="296">
        <v>0</v>
      </c>
      <c r="F18" s="298" t="s">
        <v>521</v>
      </c>
      <c r="G18" s="299">
        <v>0</v>
      </c>
      <c r="H18" s="309">
        <v>0</v>
      </c>
    </row>
    <row r="19" spans="1:8" x14ac:dyDescent="0.25">
      <c r="A19" s="294" t="s">
        <v>1106</v>
      </c>
      <c r="B19" s="295" t="s">
        <v>549</v>
      </c>
      <c r="C19" s="301">
        <v>0</v>
      </c>
      <c r="D19" s="301">
        <v>0</v>
      </c>
      <c r="F19" s="302" t="s">
        <v>549</v>
      </c>
      <c r="G19" s="303">
        <v>0</v>
      </c>
      <c r="H19" s="309">
        <v>0</v>
      </c>
    </row>
    <row r="20" spans="1:8" x14ac:dyDescent="0.25">
      <c r="A20" s="294" t="s">
        <v>1107</v>
      </c>
      <c r="B20" s="295" t="s">
        <v>557</v>
      </c>
      <c r="C20" s="299">
        <v>0</v>
      </c>
      <c r="D20" s="299">
        <v>0</v>
      </c>
      <c r="F20" s="305" t="s">
        <v>557</v>
      </c>
      <c r="G20" s="299">
        <v>0</v>
      </c>
      <c r="H20" s="309">
        <v>0</v>
      </c>
    </row>
    <row r="21" spans="1:8" x14ac:dyDescent="0.25">
      <c r="A21" s="294" t="s">
        <v>1108</v>
      </c>
      <c r="B21" s="304" t="s">
        <v>569</v>
      </c>
      <c r="C21" s="301">
        <v>3.2470000000000003E-3</v>
      </c>
      <c r="D21" s="301">
        <v>7.1428571428571438E-2</v>
      </c>
      <c r="F21" s="302" t="s">
        <v>569</v>
      </c>
      <c r="G21" s="303">
        <v>3.2470000000000003E-3</v>
      </c>
      <c r="H21" s="309">
        <v>7.1428571428571438E-2</v>
      </c>
    </row>
    <row r="22" spans="1:8" x14ac:dyDescent="0.25">
      <c r="A22" s="294" t="s">
        <v>1109</v>
      </c>
      <c r="B22" s="295" t="s">
        <v>629</v>
      </c>
      <c r="C22" s="296">
        <v>6.4940000000000006E-4</v>
      </c>
      <c r="D22" s="296">
        <v>5.000000000000001E-2</v>
      </c>
      <c r="F22" s="298" t="s">
        <v>629</v>
      </c>
      <c r="G22" s="299">
        <v>6.4940000000000006E-4</v>
      </c>
      <c r="H22" s="309">
        <v>5.000000000000001E-2</v>
      </c>
    </row>
    <row r="23" spans="1:8" x14ac:dyDescent="0.25">
      <c r="A23" s="294" t="s">
        <v>1110</v>
      </c>
      <c r="B23" s="295" t="s">
        <v>651</v>
      </c>
      <c r="C23" s="301">
        <v>9.7257000000000003E-3</v>
      </c>
      <c r="D23" s="301">
        <v>0.10833333333333334</v>
      </c>
      <c r="F23" s="302" t="s">
        <v>651</v>
      </c>
      <c r="G23" s="303">
        <v>9.7257000000000003E-3</v>
      </c>
      <c r="H23" s="309">
        <v>0.10833333333333334</v>
      </c>
    </row>
    <row r="24" spans="1:8" x14ac:dyDescent="0.25">
      <c r="A24" s="294" t="s">
        <v>1111</v>
      </c>
      <c r="B24" s="304" t="s">
        <v>740</v>
      </c>
      <c r="C24" s="296">
        <v>0</v>
      </c>
      <c r="D24" s="296">
        <v>0</v>
      </c>
      <c r="F24" s="298" t="s">
        <v>740</v>
      </c>
      <c r="G24" s="299">
        <v>0</v>
      </c>
      <c r="H24" s="309">
        <v>0</v>
      </c>
    </row>
    <row r="25" spans="1:8" x14ac:dyDescent="0.25">
      <c r="A25" s="294" t="s">
        <v>1112</v>
      </c>
      <c r="B25" s="304" t="s">
        <v>765</v>
      </c>
      <c r="C25" s="303">
        <v>4.2535699999999999E-3</v>
      </c>
      <c r="D25" s="303">
        <v>1.9481999999999999E-2</v>
      </c>
      <c r="F25" s="306" t="s">
        <v>765</v>
      </c>
      <c r="G25" s="303">
        <v>4.2535699999999999E-3</v>
      </c>
      <c r="H25" s="309">
        <v>0.10916666666666669</v>
      </c>
    </row>
    <row r="26" spans="1:8" x14ac:dyDescent="0.25">
      <c r="A26" s="294" t="s">
        <v>1113</v>
      </c>
      <c r="B26" s="304" t="s">
        <v>1088</v>
      </c>
      <c r="C26" s="296">
        <v>0</v>
      </c>
      <c r="D26" s="296">
        <v>0</v>
      </c>
      <c r="F26" s="298" t="s">
        <v>1088</v>
      </c>
      <c r="G26" s="299">
        <v>0</v>
      </c>
      <c r="H26" s="309">
        <v>0</v>
      </c>
    </row>
    <row r="27" spans="1:8" x14ac:dyDescent="0.25">
      <c r="A27" s="294" t="s">
        <v>1114</v>
      </c>
      <c r="B27" s="304" t="s">
        <v>1087</v>
      </c>
      <c r="C27" s="301">
        <v>6.3954000000000007E-3</v>
      </c>
      <c r="D27" s="301">
        <v>0.18333333333333335</v>
      </c>
      <c r="F27" s="302" t="s">
        <v>1087</v>
      </c>
      <c r="G27" s="303">
        <v>6.3954000000000007E-3</v>
      </c>
      <c r="H27" s="309">
        <v>0.18333333333333335</v>
      </c>
    </row>
    <row r="28" spans="1:8" x14ac:dyDescent="0.25">
      <c r="A28" s="294" t="s">
        <v>1115</v>
      </c>
      <c r="B28" s="304" t="s">
        <v>854</v>
      </c>
      <c r="C28" s="296">
        <v>2.3256000000000001E-3</v>
      </c>
      <c r="D28" s="296">
        <v>6.6666666666666666E-2</v>
      </c>
      <c r="F28" s="298" t="s">
        <v>854</v>
      </c>
      <c r="G28" s="299">
        <v>2.3256000000000001E-3</v>
      </c>
      <c r="H28" s="309">
        <v>6.6666666666666666E-2</v>
      </c>
    </row>
    <row r="29" spans="1:8" x14ac:dyDescent="0.25">
      <c r="A29" s="294" t="s">
        <v>1116</v>
      </c>
      <c r="B29" s="304" t="s">
        <v>882</v>
      </c>
      <c r="C29" s="301">
        <v>6.4107000000000001E-3</v>
      </c>
      <c r="D29" s="301">
        <v>8.3333333333333356E-2</v>
      </c>
      <c r="F29" s="302" t="s">
        <v>882</v>
      </c>
      <c r="G29" s="303">
        <v>6.4107000000000001E-3</v>
      </c>
      <c r="H29" s="309">
        <v>8.3333333333333356E-2</v>
      </c>
    </row>
    <row r="30" spans="1:8" x14ac:dyDescent="0.25">
      <c r="A30" s="294" t="s">
        <v>1117</v>
      </c>
      <c r="B30" s="295" t="s">
        <v>984</v>
      </c>
      <c r="C30" s="296">
        <v>6.4940000000000006E-4</v>
      </c>
      <c r="D30" s="296">
        <v>2.5000000000000005E-2</v>
      </c>
      <c r="F30" s="298" t="s">
        <v>984</v>
      </c>
      <c r="G30" s="299">
        <v>6.4940000000000006E-4</v>
      </c>
      <c r="H30" s="309">
        <v>2.5000000000000005E-2</v>
      </c>
    </row>
    <row r="31" spans="1:8" x14ac:dyDescent="0.25">
      <c r="A31" s="294" t="s">
        <v>1118</v>
      </c>
      <c r="B31" s="295" t="s">
        <v>1022</v>
      </c>
      <c r="C31" s="301">
        <v>3.2470000000000003E-3</v>
      </c>
      <c r="D31" s="301">
        <v>8.3333333333333356E-2</v>
      </c>
      <c r="F31" s="302" t="s">
        <v>1022</v>
      </c>
      <c r="G31" s="303">
        <v>3.2470000000000003E-3</v>
      </c>
      <c r="H31" s="309">
        <v>8.3333333333333356E-2</v>
      </c>
    </row>
    <row r="32" spans="1:8" x14ac:dyDescent="0.25">
      <c r="B32" s="304" t="s">
        <v>1119</v>
      </c>
      <c r="C32" s="307">
        <f>+SUM(C2:C31)</f>
        <v>5.9873660000000002E-2</v>
      </c>
      <c r="G32" s="308">
        <f>SUM(G2:G31)</f>
        <v>5.9873660000000002E-2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48F4-0E40-4462-8FCC-9C051716ECD0}">
  <dimension ref="A1:G175"/>
  <sheetViews>
    <sheetView topLeftCell="A76" workbookViewId="0">
      <selection activeCell="D80" sqref="D80"/>
    </sheetView>
  </sheetViews>
  <sheetFormatPr baseColWidth="10" defaultRowHeight="15" x14ac:dyDescent="0.25"/>
  <cols>
    <col min="1" max="1" width="15.7109375" bestFit="1" customWidth="1"/>
    <col min="2" max="2" width="14.7109375" bestFit="1" customWidth="1"/>
    <col min="3" max="3" width="19.85546875" customWidth="1"/>
    <col min="4" max="5" width="32.140625" customWidth="1"/>
    <col min="6" max="6" width="19.5703125" customWidth="1"/>
    <col min="7" max="7" width="36.85546875" customWidth="1"/>
  </cols>
  <sheetData>
    <row r="1" spans="1:7" x14ac:dyDescent="0.25">
      <c r="A1" s="461" t="s">
        <v>1757</v>
      </c>
      <c r="B1" s="462" t="s">
        <v>1758</v>
      </c>
      <c r="C1" s="462" t="s">
        <v>1759</v>
      </c>
      <c r="D1" s="462" t="s">
        <v>1760</v>
      </c>
      <c r="E1" s="462" t="s">
        <v>1761</v>
      </c>
      <c r="F1" s="463" t="s">
        <v>1762</v>
      </c>
      <c r="G1" s="464" t="s">
        <v>1763</v>
      </c>
    </row>
    <row r="2" spans="1:7" ht="24" x14ac:dyDescent="0.25">
      <c r="A2" s="465" t="s">
        <v>1764</v>
      </c>
      <c r="B2" s="466">
        <v>1007747570</v>
      </c>
      <c r="C2" s="467" t="s">
        <v>1765</v>
      </c>
      <c r="D2" s="468" t="s">
        <v>1766</v>
      </c>
      <c r="E2" s="466" t="s">
        <v>1767</v>
      </c>
      <c r="F2" s="469" t="s">
        <v>1768</v>
      </c>
      <c r="G2" s="470" t="s">
        <v>1769</v>
      </c>
    </row>
    <row r="3" spans="1:7" ht="24" x14ac:dyDescent="0.25">
      <c r="A3" s="465" t="s">
        <v>1770</v>
      </c>
      <c r="B3" s="466">
        <v>1118569634</v>
      </c>
      <c r="C3" s="467" t="s">
        <v>1771</v>
      </c>
      <c r="D3" s="468" t="s">
        <v>1772</v>
      </c>
      <c r="E3" s="466" t="s">
        <v>1773</v>
      </c>
      <c r="F3" s="469" t="s">
        <v>1774</v>
      </c>
      <c r="G3" s="470" t="s">
        <v>1775</v>
      </c>
    </row>
    <row r="4" spans="1:7" ht="36" x14ac:dyDescent="0.25">
      <c r="A4" s="465" t="s">
        <v>1776</v>
      </c>
      <c r="B4" s="466">
        <v>47436558</v>
      </c>
      <c r="C4" s="467" t="s">
        <v>1777</v>
      </c>
      <c r="D4" s="468" t="s">
        <v>1778</v>
      </c>
      <c r="E4" s="466" t="s">
        <v>1779</v>
      </c>
      <c r="F4" s="469" t="s">
        <v>1780</v>
      </c>
      <c r="G4" s="470" t="s">
        <v>1781</v>
      </c>
    </row>
    <row r="5" spans="1:7" ht="24" x14ac:dyDescent="0.25">
      <c r="A5" s="465" t="s">
        <v>1782</v>
      </c>
      <c r="B5" s="466">
        <v>34553108</v>
      </c>
      <c r="C5" s="467" t="s">
        <v>1783</v>
      </c>
      <c r="D5" s="468" t="s">
        <v>1766</v>
      </c>
      <c r="E5" s="466" t="s">
        <v>1784</v>
      </c>
      <c r="F5" s="469" t="s">
        <v>1785</v>
      </c>
      <c r="G5" s="470" t="s">
        <v>1786</v>
      </c>
    </row>
    <row r="6" spans="1:7" ht="24" x14ac:dyDescent="0.25">
      <c r="A6" s="465" t="s">
        <v>1787</v>
      </c>
      <c r="B6" s="466">
        <v>71613840</v>
      </c>
      <c r="C6" s="467" t="s">
        <v>1788</v>
      </c>
      <c r="D6" s="468" t="s">
        <v>1789</v>
      </c>
      <c r="E6" s="466" t="s">
        <v>1790</v>
      </c>
      <c r="F6" s="469" t="s">
        <v>1791</v>
      </c>
      <c r="G6" s="471" t="s">
        <v>1792</v>
      </c>
    </row>
    <row r="7" spans="1:7" ht="24" x14ac:dyDescent="0.25">
      <c r="A7" s="465" t="s">
        <v>1793</v>
      </c>
      <c r="B7" s="472">
        <v>49761830</v>
      </c>
      <c r="C7" s="469" t="s">
        <v>1794</v>
      </c>
      <c r="D7" s="469" t="s">
        <v>1795</v>
      </c>
      <c r="E7" s="469" t="s">
        <v>1796</v>
      </c>
      <c r="F7" s="473" t="s">
        <v>1797</v>
      </c>
      <c r="G7" s="473" t="s">
        <v>1798</v>
      </c>
    </row>
    <row r="8" spans="1:7" ht="24" x14ac:dyDescent="0.25">
      <c r="A8" s="465" t="s">
        <v>1799</v>
      </c>
      <c r="B8" s="466">
        <v>1116548020</v>
      </c>
      <c r="C8" s="467" t="s">
        <v>1800</v>
      </c>
      <c r="D8" s="468" t="s">
        <v>1766</v>
      </c>
      <c r="E8" s="466" t="s">
        <v>1801</v>
      </c>
      <c r="F8" s="469" t="s">
        <v>1802</v>
      </c>
      <c r="G8" s="474" t="s">
        <v>1803</v>
      </c>
    </row>
    <row r="9" spans="1:7" ht="24" x14ac:dyDescent="0.25">
      <c r="A9" s="465" t="s">
        <v>1804</v>
      </c>
      <c r="B9" s="466">
        <v>1098724267</v>
      </c>
      <c r="C9" s="467" t="s">
        <v>1805</v>
      </c>
      <c r="D9" s="468" t="s">
        <v>1772</v>
      </c>
      <c r="E9" s="466" t="s">
        <v>1806</v>
      </c>
      <c r="F9" s="469" t="s">
        <v>1807</v>
      </c>
      <c r="G9" s="470" t="s">
        <v>1808</v>
      </c>
    </row>
    <row r="10" spans="1:7" ht="36" x14ac:dyDescent="0.25">
      <c r="A10" s="465" t="s">
        <v>1809</v>
      </c>
      <c r="B10" s="466">
        <v>1118552372</v>
      </c>
      <c r="C10" s="467" t="s">
        <v>1810</v>
      </c>
      <c r="D10" s="468" t="s">
        <v>1766</v>
      </c>
      <c r="E10" s="466" t="s">
        <v>1811</v>
      </c>
      <c r="F10" s="469" t="s">
        <v>1812</v>
      </c>
      <c r="G10" s="470" t="s">
        <v>1813</v>
      </c>
    </row>
    <row r="11" spans="1:7" ht="36" x14ac:dyDescent="0.25">
      <c r="A11" s="465" t="s">
        <v>1814</v>
      </c>
      <c r="B11" s="466">
        <v>51770068</v>
      </c>
      <c r="C11" s="467" t="s">
        <v>1815</v>
      </c>
      <c r="D11" s="468" t="s">
        <v>1772</v>
      </c>
      <c r="E11" s="466" t="s">
        <v>1773</v>
      </c>
      <c r="F11" s="469" t="s">
        <v>1816</v>
      </c>
      <c r="G11" s="470" t="s">
        <v>1817</v>
      </c>
    </row>
    <row r="12" spans="1:7" ht="24" x14ac:dyDescent="0.25">
      <c r="A12" s="465" t="s">
        <v>1818</v>
      </c>
      <c r="B12" s="466">
        <v>1007747295</v>
      </c>
      <c r="C12" s="467" t="s">
        <v>1819</v>
      </c>
      <c r="D12" s="468" t="s">
        <v>1766</v>
      </c>
      <c r="E12" s="466" t="s">
        <v>1820</v>
      </c>
      <c r="F12" s="469" t="s">
        <v>1821</v>
      </c>
      <c r="G12" s="470" t="s">
        <v>1822</v>
      </c>
    </row>
    <row r="13" spans="1:7" ht="24" x14ac:dyDescent="0.25">
      <c r="A13" s="465" t="s">
        <v>1823</v>
      </c>
      <c r="B13" s="475">
        <v>1118539351</v>
      </c>
      <c r="C13" s="476" t="s">
        <v>1824</v>
      </c>
      <c r="D13" s="469" t="s">
        <v>1778</v>
      </c>
      <c r="E13" s="475" t="s">
        <v>1767</v>
      </c>
      <c r="F13" s="469" t="s">
        <v>1825</v>
      </c>
      <c r="G13" s="470" t="s">
        <v>1826</v>
      </c>
    </row>
    <row r="14" spans="1:7" ht="24" x14ac:dyDescent="0.25">
      <c r="A14" s="465" t="s">
        <v>1827</v>
      </c>
      <c r="B14" s="466">
        <v>52095639</v>
      </c>
      <c r="C14" s="467" t="s">
        <v>1828</v>
      </c>
      <c r="D14" s="468" t="s">
        <v>1829</v>
      </c>
      <c r="E14" s="466" t="s">
        <v>1830</v>
      </c>
      <c r="F14" s="469" t="s">
        <v>1831</v>
      </c>
      <c r="G14" s="470" t="s">
        <v>1832</v>
      </c>
    </row>
    <row r="15" spans="1:7" ht="24" x14ac:dyDescent="0.25">
      <c r="A15" s="465" t="s">
        <v>1833</v>
      </c>
      <c r="B15" s="466">
        <v>1118529938</v>
      </c>
      <c r="C15" s="467" t="s">
        <v>1834</v>
      </c>
      <c r="D15" s="468" t="s">
        <v>1835</v>
      </c>
      <c r="E15" s="466" t="s">
        <v>1806</v>
      </c>
      <c r="F15" s="469" t="s">
        <v>1836</v>
      </c>
      <c r="G15" s="470" t="s">
        <v>1837</v>
      </c>
    </row>
    <row r="16" spans="1:7" ht="24" x14ac:dyDescent="0.25">
      <c r="A16" s="465" t="s">
        <v>1838</v>
      </c>
      <c r="B16" s="466">
        <v>24228899</v>
      </c>
      <c r="C16" s="467" t="s">
        <v>1839</v>
      </c>
      <c r="D16" s="468" t="s">
        <v>1766</v>
      </c>
      <c r="E16" s="466" t="s">
        <v>1840</v>
      </c>
      <c r="F16" s="469" t="s">
        <v>1841</v>
      </c>
      <c r="G16" s="470" t="s">
        <v>1842</v>
      </c>
    </row>
    <row r="17" spans="1:7" ht="24" x14ac:dyDescent="0.25">
      <c r="A17" s="465" t="s">
        <v>1843</v>
      </c>
      <c r="B17" s="466">
        <v>4165569</v>
      </c>
      <c r="C17" s="467" t="s">
        <v>1844</v>
      </c>
      <c r="D17" s="468" t="s">
        <v>1845</v>
      </c>
      <c r="E17" s="466" t="s">
        <v>1846</v>
      </c>
      <c r="F17" s="469" t="s">
        <v>1847</v>
      </c>
      <c r="G17" s="470" t="s">
        <v>1848</v>
      </c>
    </row>
    <row r="18" spans="1:7" ht="36" x14ac:dyDescent="0.25">
      <c r="A18" s="465" t="s">
        <v>1849</v>
      </c>
      <c r="B18" s="466">
        <v>47432669</v>
      </c>
      <c r="C18" s="467" t="s">
        <v>1850</v>
      </c>
      <c r="D18" s="468" t="s">
        <v>1851</v>
      </c>
      <c r="E18" s="468" t="s">
        <v>1852</v>
      </c>
      <c r="F18" s="469" t="s">
        <v>1853</v>
      </c>
      <c r="G18" s="470" t="s">
        <v>1854</v>
      </c>
    </row>
    <row r="19" spans="1:7" ht="36" x14ac:dyDescent="0.25">
      <c r="A19" s="465" t="s">
        <v>1855</v>
      </c>
      <c r="B19" s="466">
        <v>7221061</v>
      </c>
      <c r="C19" s="467" t="s">
        <v>1856</v>
      </c>
      <c r="D19" s="468" t="s">
        <v>1857</v>
      </c>
      <c r="E19" s="466" t="s">
        <v>1858</v>
      </c>
      <c r="F19" s="469" t="s">
        <v>1859</v>
      </c>
      <c r="G19" s="470" t="s">
        <v>1860</v>
      </c>
    </row>
    <row r="20" spans="1:7" ht="24" x14ac:dyDescent="0.25">
      <c r="A20" s="465" t="s">
        <v>1861</v>
      </c>
      <c r="B20" s="466">
        <v>47440605</v>
      </c>
      <c r="C20" s="467" t="s">
        <v>1862</v>
      </c>
      <c r="D20" s="468" t="s">
        <v>1778</v>
      </c>
      <c r="E20" s="466" t="s">
        <v>1863</v>
      </c>
      <c r="F20" s="469" t="s">
        <v>1864</v>
      </c>
      <c r="G20" s="470" t="s">
        <v>1865</v>
      </c>
    </row>
    <row r="21" spans="1:7" ht="24" x14ac:dyDescent="0.25">
      <c r="A21" s="465" t="s">
        <v>1866</v>
      </c>
      <c r="B21" s="466">
        <v>1118648725</v>
      </c>
      <c r="C21" s="467" t="s">
        <v>1867</v>
      </c>
      <c r="D21" s="468" t="s">
        <v>1778</v>
      </c>
      <c r="E21" s="466" t="s">
        <v>1863</v>
      </c>
      <c r="F21" s="469" t="s">
        <v>1868</v>
      </c>
      <c r="G21" s="470" t="s">
        <v>1869</v>
      </c>
    </row>
    <row r="22" spans="1:7" ht="24" x14ac:dyDescent="0.25">
      <c r="A22" s="465" t="s">
        <v>1870</v>
      </c>
      <c r="B22" s="466">
        <v>46386292</v>
      </c>
      <c r="C22" s="467" t="s">
        <v>1871</v>
      </c>
      <c r="D22" s="468" t="s">
        <v>1766</v>
      </c>
      <c r="E22" s="466" t="s">
        <v>1872</v>
      </c>
      <c r="F22" s="469" t="s">
        <v>1873</v>
      </c>
      <c r="G22" s="470" t="s">
        <v>1874</v>
      </c>
    </row>
    <row r="23" spans="1:7" ht="24" x14ac:dyDescent="0.25">
      <c r="A23" s="465" t="s">
        <v>1875</v>
      </c>
      <c r="B23" s="466">
        <v>1006441860</v>
      </c>
      <c r="C23" s="467" t="s">
        <v>1876</v>
      </c>
      <c r="D23" s="468" t="s">
        <v>1766</v>
      </c>
      <c r="E23" s="466" t="s">
        <v>1877</v>
      </c>
      <c r="F23" s="469" t="s">
        <v>1878</v>
      </c>
      <c r="G23" s="470" t="s">
        <v>1879</v>
      </c>
    </row>
    <row r="24" spans="1:7" ht="24" x14ac:dyDescent="0.25">
      <c r="A24" s="465" t="s">
        <v>1880</v>
      </c>
      <c r="B24" s="466">
        <v>74849728</v>
      </c>
      <c r="C24" s="467" t="s">
        <v>1881</v>
      </c>
      <c r="D24" s="468" t="s">
        <v>1778</v>
      </c>
      <c r="E24" s="466" t="s">
        <v>1882</v>
      </c>
      <c r="F24" s="469" t="s">
        <v>1883</v>
      </c>
      <c r="G24" s="470" t="s">
        <v>1884</v>
      </c>
    </row>
    <row r="25" spans="1:7" ht="36" x14ac:dyDescent="0.25">
      <c r="A25" s="465" t="s">
        <v>1885</v>
      </c>
      <c r="B25" s="466">
        <v>33480244</v>
      </c>
      <c r="C25" s="467" t="s">
        <v>1886</v>
      </c>
      <c r="D25" s="468" t="s">
        <v>1778</v>
      </c>
      <c r="E25" s="466" t="s">
        <v>1858</v>
      </c>
      <c r="F25" s="469" t="s">
        <v>1887</v>
      </c>
      <c r="G25" s="470" t="s">
        <v>1888</v>
      </c>
    </row>
    <row r="26" spans="1:7" ht="24" x14ac:dyDescent="0.25">
      <c r="A26" s="465" t="s">
        <v>1889</v>
      </c>
      <c r="B26" s="466">
        <v>7223242</v>
      </c>
      <c r="C26" s="467" t="s">
        <v>1890</v>
      </c>
      <c r="D26" s="468" t="s">
        <v>1891</v>
      </c>
      <c r="E26" s="466" t="s">
        <v>2560</v>
      </c>
      <c r="F26" s="469" t="s">
        <v>1893</v>
      </c>
      <c r="G26" s="477" t="s">
        <v>2561</v>
      </c>
    </row>
    <row r="27" spans="1:7" ht="24" x14ac:dyDescent="0.25">
      <c r="A27" s="465" t="s">
        <v>1894</v>
      </c>
      <c r="B27" s="466">
        <v>16642602</v>
      </c>
      <c r="C27" s="467" t="s">
        <v>1895</v>
      </c>
      <c r="D27" s="468" t="s">
        <v>1896</v>
      </c>
      <c r="E27" s="466" t="s">
        <v>1897</v>
      </c>
      <c r="F27" s="469" t="s">
        <v>1898</v>
      </c>
      <c r="G27" s="470" t="s">
        <v>1899</v>
      </c>
    </row>
    <row r="28" spans="1:7" ht="36" x14ac:dyDescent="0.25">
      <c r="A28" s="465" t="s">
        <v>1900</v>
      </c>
      <c r="B28" s="466">
        <v>74187383</v>
      </c>
      <c r="C28" s="467" t="s">
        <v>1901</v>
      </c>
      <c r="D28" s="468" t="s">
        <v>1766</v>
      </c>
      <c r="E28" s="466" t="s">
        <v>1902</v>
      </c>
      <c r="F28" s="469" t="s">
        <v>1903</v>
      </c>
      <c r="G28" s="470" t="s">
        <v>1904</v>
      </c>
    </row>
    <row r="29" spans="1:7" ht="36" x14ac:dyDescent="0.25">
      <c r="A29" s="465" t="s">
        <v>1905</v>
      </c>
      <c r="B29" s="466">
        <v>1118169112</v>
      </c>
      <c r="C29" s="467" t="s">
        <v>1906</v>
      </c>
      <c r="D29" s="468" t="s">
        <v>1766</v>
      </c>
      <c r="E29" s="466" t="s">
        <v>1907</v>
      </c>
      <c r="F29" s="469" t="s">
        <v>1908</v>
      </c>
      <c r="G29" s="470" t="s">
        <v>1909</v>
      </c>
    </row>
    <row r="30" spans="1:7" ht="36" x14ac:dyDescent="0.25">
      <c r="A30" s="465" t="s">
        <v>1910</v>
      </c>
      <c r="B30" s="466">
        <v>1116553918</v>
      </c>
      <c r="C30" s="467" t="s">
        <v>1911</v>
      </c>
      <c r="D30" s="468" t="s">
        <v>1766</v>
      </c>
      <c r="E30" s="466" t="s">
        <v>1912</v>
      </c>
      <c r="F30" s="469" t="s">
        <v>1913</v>
      </c>
      <c r="G30" s="470" t="s">
        <v>1914</v>
      </c>
    </row>
    <row r="31" spans="1:7" ht="24" x14ac:dyDescent="0.25">
      <c r="A31" s="465" t="s">
        <v>1915</v>
      </c>
      <c r="B31" s="466">
        <v>47439630</v>
      </c>
      <c r="C31" s="467" t="s">
        <v>1916</v>
      </c>
      <c r="D31" s="468" t="s">
        <v>1917</v>
      </c>
      <c r="E31" s="466" t="s">
        <v>1918</v>
      </c>
      <c r="F31" s="469" t="s">
        <v>1919</v>
      </c>
      <c r="G31" s="470" t="s">
        <v>1920</v>
      </c>
    </row>
    <row r="32" spans="1:7" ht="24" x14ac:dyDescent="0.25">
      <c r="A32" s="465" t="s">
        <v>1921</v>
      </c>
      <c r="B32" s="466">
        <v>74859078</v>
      </c>
      <c r="C32" s="467" t="s">
        <v>1922</v>
      </c>
      <c r="D32" s="468" t="s">
        <v>1778</v>
      </c>
      <c r="E32" s="466" t="s">
        <v>1923</v>
      </c>
      <c r="F32" s="469" t="s">
        <v>1924</v>
      </c>
      <c r="G32" s="470" t="s">
        <v>1925</v>
      </c>
    </row>
    <row r="33" spans="1:7" ht="24" x14ac:dyDescent="0.25">
      <c r="A33" s="465" t="s">
        <v>1926</v>
      </c>
      <c r="B33" s="466">
        <v>74753795</v>
      </c>
      <c r="C33" s="467" t="s">
        <v>1927</v>
      </c>
      <c r="D33" s="468" t="s">
        <v>1928</v>
      </c>
      <c r="E33" s="466" t="s">
        <v>1784</v>
      </c>
      <c r="F33" s="469" t="s">
        <v>1929</v>
      </c>
      <c r="G33" s="470" t="s">
        <v>1930</v>
      </c>
    </row>
    <row r="34" spans="1:7" ht="24" x14ac:dyDescent="0.25">
      <c r="A34" s="465" t="s">
        <v>1931</v>
      </c>
      <c r="B34" s="466">
        <v>47440295</v>
      </c>
      <c r="C34" s="467" t="s">
        <v>1932</v>
      </c>
      <c r="D34" s="468" t="s">
        <v>1933</v>
      </c>
      <c r="E34" s="466" t="s">
        <v>1934</v>
      </c>
      <c r="F34" s="469" t="s">
        <v>1935</v>
      </c>
      <c r="G34" s="478" t="s">
        <v>1936</v>
      </c>
    </row>
    <row r="35" spans="1:7" ht="24" x14ac:dyDescent="0.25">
      <c r="A35" s="465" t="s">
        <v>1937</v>
      </c>
      <c r="B35" s="466">
        <v>40332537</v>
      </c>
      <c r="C35" s="467" t="s">
        <v>1938</v>
      </c>
      <c r="D35" s="468" t="s">
        <v>1939</v>
      </c>
      <c r="E35" s="466" t="s">
        <v>1863</v>
      </c>
      <c r="F35" s="469" t="s">
        <v>1940</v>
      </c>
      <c r="G35" s="470" t="s">
        <v>1941</v>
      </c>
    </row>
    <row r="36" spans="1:7" ht="24" x14ac:dyDescent="0.25">
      <c r="A36" s="465" t="s">
        <v>1942</v>
      </c>
      <c r="B36" s="466">
        <v>1116496193</v>
      </c>
      <c r="C36" s="467" t="s">
        <v>1943</v>
      </c>
      <c r="D36" s="468" t="s">
        <v>1944</v>
      </c>
      <c r="E36" s="466" t="s">
        <v>1945</v>
      </c>
      <c r="F36" s="469" t="s">
        <v>1946</v>
      </c>
      <c r="G36" s="470" t="s">
        <v>1947</v>
      </c>
    </row>
    <row r="37" spans="1:7" ht="24" x14ac:dyDescent="0.25">
      <c r="A37" s="465" t="s">
        <v>1948</v>
      </c>
      <c r="B37" s="466">
        <v>1118542416</v>
      </c>
      <c r="C37" s="467" t="s">
        <v>1949</v>
      </c>
      <c r="D37" s="468" t="s">
        <v>1950</v>
      </c>
      <c r="E37" s="466" t="s">
        <v>1951</v>
      </c>
      <c r="F37" s="469" t="s">
        <v>1952</v>
      </c>
      <c r="G37" s="470"/>
    </row>
    <row r="38" spans="1:7" ht="24" x14ac:dyDescent="0.25">
      <c r="A38" s="465" t="s">
        <v>1953</v>
      </c>
      <c r="B38" s="466">
        <v>1116665075</v>
      </c>
      <c r="C38" s="467" t="s">
        <v>1954</v>
      </c>
      <c r="D38" s="468" t="s">
        <v>1766</v>
      </c>
      <c r="E38" s="466" t="s">
        <v>1955</v>
      </c>
      <c r="F38" s="469" t="s">
        <v>1956</v>
      </c>
      <c r="G38" s="470" t="s">
        <v>1957</v>
      </c>
    </row>
    <row r="39" spans="1:7" ht="24" x14ac:dyDescent="0.25">
      <c r="A39" s="465" t="s">
        <v>1958</v>
      </c>
      <c r="B39" s="466">
        <v>1118538118</v>
      </c>
      <c r="C39" s="467" t="s">
        <v>1959</v>
      </c>
      <c r="D39" s="468" t="s">
        <v>1766</v>
      </c>
      <c r="E39" s="466" t="s">
        <v>1960</v>
      </c>
      <c r="F39" s="469" t="s">
        <v>1961</v>
      </c>
      <c r="G39" s="470" t="s">
        <v>1962</v>
      </c>
    </row>
    <row r="40" spans="1:7" ht="36" x14ac:dyDescent="0.25">
      <c r="A40" s="465" t="s">
        <v>1963</v>
      </c>
      <c r="B40" s="466">
        <v>1118537745</v>
      </c>
      <c r="C40" s="467" t="s">
        <v>1964</v>
      </c>
      <c r="D40" s="468" t="s">
        <v>1766</v>
      </c>
      <c r="E40" s="466" t="s">
        <v>1796</v>
      </c>
      <c r="F40" s="469" t="s">
        <v>1965</v>
      </c>
      <c r="G40" s="470" t="s">
        <v>1966</v>
      </c>
    </row>
    <row r="41" spans="1:7" ht="36" x14ac:dyDescent="0.25">
      <c r="A41" s="465" t="s">
        <v>1967</v>
      </c>
      <c r="B41" s="466">
        <v>1057584785</v>
      </c>
      <c r="C41" s="467" t="s">
        <v>1968</v>
      </c>
      <c r="D41" s="468" t="s">
        <v>1969</v>
      </c>
      <c r="E41" s="466" t="s">
        <v>1858</v>
      </c>
      <c r="F41" s="469" t="s">
        <v>1970</v>
      </c>
      <c r="G41" s="470" t="s">
        <v>1971</v>
      </c>
    </row>
    <row r="42" spans="1:7" ht="24" x14ac:dyDescent="0.25">
      <c r="A42" s="465" t="s">
        <v>1972</v>
      </c>
      <c r="B42" s="466">
        <v>1116662530</v>
      </c>
      <c r="C42" s="467" t="s">
        <v>1973</v>
      </c>
      <c r="D42" s="468" t="s">
        <v>1772</v>
      </c>
      <c r="E42" s="466" t="s">
        <v>1974</v>
      </c>
      <c r="F42" s="469" t="s">
        <v>1975</v>
      </c>
      <c r="G42" s="470" t="s">
        <v>1976</v>
      </c>
    </row>
    <row r="43" spans="1:7" ht="45" x14ac:dyDescent="0.25">
      <c r="A43" s="465" t="s">
        <v>1977</v>
      </c>
      <c r="B43" s="466">
        <v>1118561569</v>
      </c>
      <c r="C43" s="467" t="s">
        <v>1978</v>
      </c>
      <c r="D43" s="468" t="s">
        <v>1778</v>
      </c>
      <c r="E43" s="466" t="s">
        <v>1863</v>
      </c>
      <c r="F43" s="483" t="s">
        <v>2583</v>
      </c>
      <c r="G43" s="470" t="s">
        <v>1979</v>
      </c>
    </row>
    <row r="44" spans="1:7" ht="24" x14ac:dyDescent="0.25">
      <c r="A44" s="465" t="s">
        <v>1980</v>
      </c>
      <c r="B44" s="466">
        <v>1000224012</v>
      </c>
      <c r="C44" s="467" t="s">
        <v>1981</v>
      </c>
      <c r="D44" s="468" t="s">
        <v>1766</v>
      </c>
      <c r="E44" s="466" t="s">
        <v>1767</v>
      </c>
      <c r="F44" s="469" t="s">
        <v>1982</v>
      </c>
      <c r="G44" s="470" t="s">
        <v>1983</v>
      </c>
    </row>
    <row r="45" spans="1:7" ht="24" x14ac:dyDescent="0.25">
      <c r="A45" s="465" t="s">
        <v>1984</v>
      </c>
      <c r="B45" s="466">
        <v>74865786</v>
      </c>
      <c r="C45" s="467" t="s">
        <v>1985</v>
      </c>
      <c r="D45" s="468" t="s">
        <v>1778</v>
      </c>
      <c r="E45" s="466" t="s">
        <v>1986</v>
      </c>
      <c r="F45" s="469" t="s">
        <v>1987</v>
      </c>
      <c r="G45" s="470" t="s">
        <v>1988</v>
      </c>
    </row>
    <row r="46" spans="1:7" ht="24" x14ac:dyDescent="0.25">
      <c r="A46" s="465" t="s">
        <v>1989</v>
      </c>
      <c r="B46" s="466">
        <v>10779878</v>
      </c>
      <c r="C46" s="467" t="s">
        <v>1990</v>
      </c>
      <c r="D46" s="468" t="s">
        <v>1789</v>
      </c>
      <c r="E46" s="466" t="s">
        <v>1767</v>
      </c>
      <c r="F46" s="469" t="s">
        <v>1991</v>
      </c>
      <c r="G46" s="470" t="s">
        <v>1992</v>
      </c>
    </row>
    <row r="47" spans="1:7" ht="24" x14ac:dyDescent="0.25">
      <c r="A47" s="465" t="s">
        <v>1993</v>
      </c>
      <c r="B47" s="466">
        <v>1075222833</v>
      </c>
      <c r="C47" s="467" t="s">
        <v>1994</v>
      </c>
      <c r="D47" s="468" t="s">
        <v>1995</v>
      </c>
      <c r="E47" s="466" t="s">
        <v>1996</v>
      </c>
      <c r="F47" s="469" t="s">
        <v>1997</v>
      </c>
      <c r="G47" s="470" t="s">
        <v>1998</v>
      </c>
    </row>
    <row r="48" spans="1:7" ht="36" x14ac:dyDescent="0.25">
      <c r="A48" s="465" t="s">
        <v>1999</v>
      </c>
      <c r="B48" s="466">
        <v>1069720136</v>
      </c>
      <c r="C48" s="467" t="s">
        <v>2000</v>
      </c>
      <c r="D48" s="468" t="s">
        <v>1789</v>
      </c>
      <c r="E48" s="466" t="s">
        <v>1897</v>
      </c>
      <c r="F48" s="479" t="s">
        <v>2001</v>
      </c>
      <c r="G48" s="470" t="s">
        <v>2002</v>
      </c>
    </row>
    <row r="49" spans="1:7" ht="24" x14ac:dyDescent="0.25">
      <c r="A49" s="465" t="s">
        <v>2003</v>
      </c>
      <c r="B49" s="466">
        <v>52983709</v>
      </c>
      <c r="C49" s="467" t="s">
        <v>2004</v>
      </c>
      <c r="D49" s="468" t="s">
        <v>1766</v>
      </c>
      <c r="E49" s="466" t="s">
        <v>2005</v>
      </c>
      <c r="F49" s="469" t="s">
        <v>2006</v>
      </c>
      <c r="G49" s="470" t="s">
        <v>2007</v>
      </c>
    </row>
    <row r="50" spans="1:7" ht="24" x14ac:dyDescent="0.25">
      <c r="A50" s="465" t="s">
        <v>2008</v>
      </c>
      <c r="B50" s="466">
        <v>1116785257</v>
      </c>
      <c r="C50" s="467" t="s">
        <v>2009</v>
      </c>
      <c r="D50" s="468" t="s">
        <v>1772</v>
      </c>
      <c r="E50" s="466" t="s">
        <v>1996</v>
      </c>
      <c r="F50" s="469" t="s">
        <v>2010</v>
      </c>
      <c r="G50" s="470" t="s">
        <v>2011</v>
      </c>
    </row>
    <row r="51" spans="1:7" ht="24" x14ac:dyDescent="0.25">
      <c r="A51" s="465" t="s">
        <v>2012</v>
      </c>
      <c r="B51" s="466">
        <v>1116548655</v>
      </c>
      <c r="C51" s="467" t="s">
        <v>2013</v>
      </c>
      <c r="D51" s="468" t="s">
        <v>1766</v>
      </c>
      <c r="E51" s="466" t="s">
        <v>1892</v>
      </c>
      <c r="F51" s="469" t="s">
        <v>2014</v>
      </c>
      <c r="G51" s="470" t="s">
        <v>2015</v>
      </c>
    </row>
    <row r="52" spans="1:7" ht="24" x14ac:dyDescent="0.25">
      <c r="A52" s="465" t="s">
        <v>2016</v>
      </c>
      <c r="B52" s="466">
        <v>1094243043</v>
      </c>
      <c r="C52" s="467" t="s">
        <v>2017</v>
      </c>
      <c r="D52" s="468" t="s">
        <v>2018</v>
      </c>
      <c r="E52" s="466" t="s">
        <v>2019</v>
      </c>
      <c r="F52" s="469" t="s">
        <v>2020</v>
      </c>
      <c r="G52" s="470" t="s">
        <v>2021</v>
      </c>
    </row>
    <row r="53" spans="1:7" ht="24" x14ac:dyDescent="0.25">
      <c r="A53" s="465" t="s">
        <v>2022</v>
      </c>
      <c r="B53" s="466">
        <v>1072026708</v>
      </c>
      <c r="C53" s="467" t="s">
        <v>2023</v>
      </c>
      <c r="D53" s="468" t="s">
        <v>2024</v>
      </c>
      <c r="E53" s="466" t="s">
        <v>2025</v>
      </c>
      <c r="F53" s="469" t="s">
        <v>2026</v>
      </c>
      <c r="G53" s="470" t="s">
        <v>2027</v>
      </c>
    </row>
    <row r="54" spans="1:7" ht="36" x14ac:dyDescent="0.25">
      <c r="A54" s="465" t="s">
        <v>2028</v>
      </c>
      <c r="B54" s="466">
        <v>1118564148</v>
      </c>
      <c r="C54" s="467" t="s">
        <v>2029</v>
      </c>
      <c r="D54" s="468" t="s">
        <v>1789</v>
      </c>
      <c r="E54" s="466" t="s">
        <v>2030</v>
      </c>
      <c r="F54" s="469" t="s">
        <v>2031</v>
      </c>
      <c r="G54" s="470" t="s">
        <v>2032</v>
      </c>
    </row>
    <row r="55" spans="1:7" ht="24" x14ac:dyDescent="0.25">
      <c r="A55" s="465" t="s">
        <v>2033</v>
      </c>
      <c r="B55" s="466">
        <v>33646219</v>
      </c>
      <c r="C55" s="467" t="s">
        <v>2034</v>
      </c>
      <c r="D55" s="468" t="s">
        <v>1778</v>
      </c>
      <c r="E55" s="466" t="s">
        <v>1806</v>
      </c>
      <c r="F55" s="469" t="s">
        <v>2035</v>
      </c>
      <c r="G55" s="470" t="s">
        <v>2036</v>
      </c>
    </row>
    <row r="56" spans="1:7" ht="36" x14ac:dyDescent="0.25">
      <c r="A56" s="465" t="s">
        <v>2037</v>
      </c>
      <c r="B56" s="466">
        <v>28541671</v>
      </c>
      <c r="C56" s="467" t="s">
        <v>2038</v>
      </c>
      <c r="D56" s="468" t="s">
        <v>2039</v>
      </c>
      <c r="E56" s="466" t="s">
        <v>2040</v>
      </c>
      <c r="F56" s="469" t="s">
        <v>2041</v>
      </c>
      <c r="G56" s="470" t="s">
        <v>2042</v>
      </c>
    </row>
    <row r="57" spans="1:7" ht="36" x14ac:dyDescent="0.25">
      <c r="A57" s="465" t="s">
        <v>2043</v>
      </c>
      <c r="B57" s="466">
        <v>1118552746</v>
      </c>
      <c r="C57" s="467" t="s">
        <v>2044</v>
      </c>
      <c r="D57" s="468" t="s">
        <v>1778</v>
      </c>
      <c r="E57" s="466" t="s">
        <v>1907</v>
      </c>
      <c r="F57" s="469" t="s">
        <v>2045</v>
      </c>
      <c r="G57" s="470" t="s">
        <v>2046</v>
      </c>
    </row>
    <row r="58" spans="1:7" ht="24" x14ac:dyDescent="0.25">
      <c r="A58" s="465" t="s">
        <v>2047</v>
      </c>
      <c r="B58" s="466">
        <v>9431223</v>
      </c>
      <c r="C58" s="467" t="s">
        <v>2048</v>
      </c>
      <c r="D58" s="468" t="s">
        <v>2049</v>
      </c>
      <c r="E58" s="466" t="s">
        <v>2049</v>
      </c>
      <c r="F58" s="469" t="s">
        <v>2050</v>
      </c>
      <c r="G58" s="470" t="s">
        <v>2051</v>
      </c>
    </row>
    <row r="59" spans="1:7" ht="24" x14ac:dyDescent="0.25">
      <c r="A59" s="465" t="s">
        <v>2052</v>
      </c>
      <c r="B59" s="466">
        <v>1006453760</v>
      </c>
      <c r="C59" s="467" t="s">
        <v>2053</v>
      </c>
      <c r="D59" s="468" t="s">
        <v>1766</v>
      </c>
      <c r="E59" s="466" t="s">
        <v>1934</v>
      </c>
      <c r="F59" s="469" t="s">
        <v>2054</v>
      </c>
      <c r="G59" s="470" t="s">
        <v>2055</v>
      </c>
    </row>
    <row r="60" spans="1:7" ht="24" x14ac:dyDescent="0.25">
      <c r="A60" s="465" t="s">
        <v>2056</v>
      </c>
      <c r="B60" s="466">
        <v>1116547940</v>
      </c>
      <c r="C60" s="467" t="s">
        <v>2057</v>
      </c>
      <c r="D60" s="468" t="s">
        <v>1778</v>
      </c>
      <c r="E60" s="466" t="s">
        <v>1960</v>
      </c>
      <c r="F60" s="469" t="s">
        <v>2058</v>
      </c>
      <c r="G60" s="470" t="s">
        <v>2059</v>
      </c>
    </row>
    <row r="61" spans="1:7" ht="24" x14ac:dyDescent="0.25">
      <c r="A61" s="465" t="s">
        <v>2060</v>
      </c>
      <c r="B61" s="466">
        <v>74859131</v>
      </c>
      <c r="C61" s="467" t="s">
        <v>2061</v>
      </c>
      <c r="D61" s="468" t="s">
        <v>2062</v>
      </c>
      <c r="E61" s="466" t="s">
        <v>1945</v>
      </c>
      <c r="F61" s="469" t="s">
        <v>2063</v>
      </c>
      <c r="G61" s="470" t="s">
        <v>2064</v>
      </c>
    </row>
    <row r="62" spans="1:7" ht="24" x14ac:dyDescent="0.25">
      <c r="A62" s="465" t="s">
        <v>2065</v>
      </c>
      <c r="B62" s="466">
        <v>1014241478</v>
      </c>
      <c r="C62" s="467" t="s">
        <v>2066</v>
      </c>
      <c r="D62" s="468" t="s">
        <v>1772</v>
      </c>
      <c r="E62" s="466" t="s">
        <v>1923</v>
      </c>
      <c r="F62" s="469" t="s">
        <v>2067</v>
      </c>
      <c r="G62" s="470" t="s">
        <v>2068</v>
      </c>
    </row>
    <row r="63" spans="1:7" ht="36" x14ac:dyDescent="0.25">
      <c r="A63" s="465" t="s">
        <v>2069</v>
      </c>
      <c r="B63" s="466">
        <v>79687125</v>
      </c>
      <c r="C63" s="467" t="s">
        <v>2070</v>
      </c>
      <c r="D63" s="468" t="s">
        <v>1778</v>
      </c>
      <c r="E63" s="466" t="s">
        <v>2071</v>
      </c>
      <c r="F63" s="469" t="s">
        <v>2072</v>
      </c>
      <c r="G63" s="470" t="s">
        <v>2073</v>
      </c>
    </row>
    <row r="64" spans="1:7" ht="24" x14ac:dyDescent="0.25">
      <c r="A64" s="465" t="s">
        <v>2074</v>
      </c>
      <c r="B64" s="466">
        <v>24228272</v>
      </c>
      <c r="C64" s="467" t="s">
        <v>2075</v>
      </c>
      <c r="D64" s="468" t="s">
        <v>1778</v>
      </c>
      <c r="E64" s="466" t="s">
        <v>1974</v>
      </c>
      <c r="F64" s="469" t="s">
        <v>2076</v>
      </c>
      <c r="G64" s="470" t="s">
        <v>2077</v>
      </c>
    </row>
    <row r="65" spans="1:7" ht="24" x14ac:dyDescent="0.25">
      <c r="A65" s="465" t="s">
        <v>2078</v>
      </c>
      <c r="B65" s="466">
        <v>1118535965</v>
      </c>
      <c r="C65" s="467" t="s">
        <v>2079</v>
      </c>
      <c r="D65" s="468" t="s">
        <v>1778</v>
      </c>
      <c r="E65" s="466" t="s">
        <v>1974</v>
      </c>
      <c r="F65" s="469" t="s">
        <v>2080</v>
      </c>
      <c r="G65" s="470" t="s">
        <v>2081</v>
      </c>
    </row>
    <row r="66" spans="1:7" ht="48" x14ac:dyDescent="0.25">
      <c r="A66" s="465" t="s">
        <v>2082</v>
      </c>
      <c r="B66" s="466">
        <v>46364305</v>
      </c>
      <c r="C66" s="467" t="s">
        <v>2083</v>
      </c>
      <c r="D66" s="468" t="s">
        <v>1778</v>
      </c>
      <c r="E66" s="466" t="s">
        <v>1806</v>
      </c>
      <c r="F66" s="469" t="s">
        <v>2084</v>
      </c>
      <c r="G66" s="470" t="s">
        <v>2085</v>
      </c>
    </row>
    <row r="67" spans="1:7" ht="24" x14ac:dyDescent="0.25">
      <c r="A67" s="465" t="s">
        <v>2086</v>
      </c>
      <c r="B67" s="466">
        <v>1118548059</v>
      </c>
      <c r="C67" s="467" t="s">
        <v>2087</v>
      </c>
      <c r="D67" s="468" t="s">
        <v>1778</v>
      </c>
      <c r="E67" s="466" t="s">
        <v>2088</v>
      </c>
      <c r="F67" s="469" t="s">
        <v>2089</v>
      </c>
      <c r="G67" s="470" t="s">
        <v>2090</v>
      </c>
    </row>
    <row r="68" spans="1:7" ht="24" x14ac:dyDescent="0.25">
      <c r="A68" s="465" t="s">
        <v>2091</v>
      </c>
      <c r="B68" s="466">
        <v>47442073</v>
      </c>
      <c r="C68" s="467" t="s">
        <v>2092</v>
      </c>
      <c r="D68" s="468" t="s">
        <v>2093</v>
      </c>
      <c r="E68" s="466" t="s">
        <v>2094</v>
      </c>
      <c r="F68" s="469" t="s">
        <v>2095</v>
      </c>
      <c r="G68" s="470" t="s">
        <v>2096</v>
      </c>
    </row>
    <row r="69" spans="1:7" ht="24" x14ac:dyDescent="0.25">
      <c r="A69" s="465" t="s">
        <v>2097</v>
      </c>
      <c r="B69" s="466">
        <v>1118545117</v>
      </c>
      <c r="C69" s="467" t="s">
        <v>2098</v>
      </c>
      <c r="D69" s="468" t="s">
        <v>1766</v>
      </c>
      <c r="E69" s="466" t="s">
        <v>1951</v>
      </c>
      <c r="F69" s="469" t="s">
        <v>2099</v>
      </c>
      <c r="G69" s="470" t="s">
        <v>2100</v>
      </c>
    </row>
    <row r="70" spans="1:7" ht="24" x14ac:dyDescent="0.25">
      <c r="A70" s="465" t="s">
        <v>2101</v>
      </c>
      <c r="B70" s="466">
        <v>47440850</v>
      </c>
      <c r="C70" s="467" t="s">
        <v>2102</v>
      </c>
      <c r="D70" s="468" t="s">
        <v>1778</v>
      </c>
      <c r="E70" s="466" t="s">
        <v>2103</v>
      </c>
      <c r="F70" s="469" t="s">
        <v>2104</v>
      </c>
      <c r="G70" s="470" t="s">
        <v>2105</v>
      </c>
    </row>
    <row r="71" spans="1:7" ht="24" x14ac:dyDescent="0.25">
      <c r="A71" s="465" t="s">
        <v>2106</v>
      </c>
      <c r="B71" s="466">
        <v>9534900</v>
      </c>
      <c r="C71" s="467" t="s">
        <v>2107</v>
      </c>
      <c r="D71" s="468" t="s">
        <v>1778</v>
      </c>
      <c r="E71" s="466" t="s">
        <v>1974</v>
      </c>
      <c r="F71" s="469" t="s">
        <v>2108</v>
      </c>
      <c r="G71" s="470" t="s">
        <v>2109</v>
      </c>
    </row>
    <row r="72" spans="1:7" ht="24" x14ac:dyDescent="0.25">
      <c r="A72" s="465" t="s">
        <v>2110</v>
      </c>
      <c r="B72" s="466">
        <v>1116544498</v>
      </c>
      <c r="C72" s="467" t="s">
        <v>2111</v>
      </c>
      <c r="D72" s="468" t="s">
        <v>1772</v>
      </c>
      <c r="E72" s="466" t="s">
        <v>1790</v>
      </c>
      <c r="F72" s="469" t="s">
        <v>2112</v>
      </c>
      <c r="G72" s="470" t="s">
        <v>2113</v>
      </c>
    </row>
    <row r="73" spans="1:7" ht="36" x14ac:dyDescent="0.25">
      <c r="A73" s="465" t="s">
        <v>2114</v>
      </c>
      <c r="B73" s="466">
        <v>29685991</v>
      </c>
      <c r="C73" s="467" t="s">
        <v>2115</v>
      </c>
      <c r="D73" s="468" t="s">
        <v>1766</v>
      </c>
      <c r="E73" s="466" t="s">
        <v>2116</v>
      </c>
      <c r="F73" s="469" t="s">
        <v>2117</v>
      </c>
      <c r="G73" s="470" t="s">
        <v>2118</v>
      </c>
    </row>
    <row r="74" spans="1:7" ht="36" x14ac:dyDescent="0.25">
      <c r="A74" s="465" t="s">
        <v>2119</v>
      </c>
      <c r="B74" s="466">
        <v>1049649265</v>
      </c>
      <c r="C74" s="467" t="s">
        <v>2120</v>
      </c>
      <c r="D74" s="468" t="s">
        <v>2121</v>
      </c>
      <c r="E74" s="466" t="s">
        <v>1858</v>
      </c>
      <c r="F74" s="469" t="s">
        <v>2122</v>
      </c>
      <c r="G74" s="470" t="s">
        <v>2123</v>
      </c>
    </row>
    <row r="75" spans="1:7" ht="24" x14ac:dyDescent="0.25">
      <c r="A75" s="465" t="s">
        <v>2124</v>
      </c>
      <c r="B75" s="466">
        <v>47441286</v>
      </c>
      <c r="C75" s="467" t="s">
        <v>2125</v>
      </c>
      <c r="D75" s="468" t="s">
        <v>2126</v>
      </c>
      <c r="E75" s="466" t="s">
        <v>1767</v>
      </c>
      <c r="F75" s="469" t="s">
        <v>2127</v>
      </c>
      <c r="G75" s="470" t="s">
        <v>2128</v>
      </c>
    </row>
    <row r="76" spans="1:7" ht="36" x14ac:dyDescent="0.25">
      <c r="A76" s="465" t="s">
        <v>2129</v>
      </c>
      <c r="B76" s="466">
        <v>1118536906</v>
      </c>
      <c r="C76" s="467" t="s">
        <v>2130</v>
      </c>
      <c r="D76" s="468" t="s">
        <v>2131</v>
      </c>
      <c r="E76" s="466" t="s">
        <v>2132</v>
      </c>
      <c r="F76" s="469" t="s">
        <v>2133</v>
      </c>
      <c r="G76" s="470" t="s">
        <v>2134</v>
      </c>
    </row>
    <row r="77" spans="1:7" ht="24" x14ac:dyDescent="0.25">
      <c r="A77" s="465" t="s">
        <v>2135</v>
      </c>
      <c r="B77" s="466">
        <v>1006441564</v>
      </c>
      <c r="C77" s="467" t="s">
        <v>2136</v>
      </c>
      <c r="D77" s="468" t="s">
        <v>1766</v>
      </c>
      <c r="E77" s="466" t="s">
        <v>2137</v>
      </c>
      <c r="F77" s="469" t="s">
        <v>2138</v>
      </c>
      <c r="G77" s="470" t="s">
        <v>2139</v>
      </c>
    </row>
    <row r="78" spans="1:7" ht="24" x14ac:dyDescent="0.25">
      <c r="A78" s="465" t="s">
        <v>2140</v>
      </c>
      <c r="B78" s="466">
        <v>1006533174</v>
      </c>
      <c r="C78" s="467" t="s">
        <v>2141</v>
      </c>
      <c r="D78" s="468" t="s">
        <v>1772</v>
      </c>
      <c r="E78" s="466" t="s">
        <v>1882</v>
      </c>
      <c r="F78" s="469" t="s">
        <v>2142</v>
      </c>
      <c r="G78" s="470" t="s">
        <v>2143</v>
      </c>
    </row>
    <row r="79" spans="1:7" ht="24" x14ac:dyDescent="0.25">
      <c r="A79" s="465" t="s">
        <v>2144</v>
      </c>
      <c r="B79" s="466">
        <v>1118569678</v>
      </c>
      <c r="C79" s="467" t="s">
        <v>2145</v>
      </c>
      <c r="D79" s="468" t="s">
        <v>1778</v>
      </c>
      <c r="E79" s="466" t="s">
        <v>1892</v>
      </c>
      <c r="F79" s="469" t="s">
        <v>2146</v>
      </c>
      <c r="G79" s="470" t="s">
        <v>2147</v>
      </c>
    </row>
    <row r="80" spans="1:7" ht="36" x14ac:dyDescent="0.25">
      <c r="A80" s="465" t="s">
        <v>2148</v>
      </c>
      <c r="B80" s="466">
        <v>68289750</v>
      </c>
      <c r="C80" s="467" t="s">
        <v>2149</v>
      </c>
      <c r="D80" s="468" t="s">
        <v>2150</v>
      </c>
      <c r="E80" s="466" t="s">
        <v>1872</v>
      </c>
      <c r="F80" s="469" t="s">
        <v>2151</v>
      </c>
      <c r="G80" s="470" t="s">
        <v>2152</v>
      </c>
    </row>
    <row r="81" spans="1:7" ht="24" x14ac:dyDescent="0.25">
      <c r="A81" s="465" t="s">
        <v>2153</v>
      </c>
      <c r="B81" s="466">
        <v>9658276</v>
      </c>
      <c r="C81" s="467" t="s">
        <v>2154</v>
      </c>
      <c r="D81" s="468" t="s">
        <v>1766</v>
      </c>
      <c r="E81" s="466" t="s">
        <v>1934</v>
      </c>
      <c r="F81" s="469" t="s">
        <v>2155</v>
      </c>
      <c r="G81" s="470" t="s">
        <v>2156</v>
      </c>
    </row>
    <row r="82" spans="1:7" ht="24" x14ac:dyDescent="0.25">
      <c r="A82" s="465" t="s">
        <v>2157</v>
      </c>
      <c r="B82" s="466">
        <v>1006552530</v>
      </c>
      <c r="C82" s="467" t="s">
        <v>2158</v>
      </c>
      <c r="D82" s="468" t="s">
        <v>1766</v>
      </c>
      <c r="E82" s="466" t="s">
        <v>1923</v>
      </c>
      <c r="F82" s="469" t="s">
        <v>2159</v>
      </c>
      <c r="G82" s="470" t="s">
        <v>2160</v>
      </c>
    </row>
    <row r="83" spans="1:7" ht="24" x14ac:dyDescent="0.25">
      <c r="A83" s="465" t="s">
        <v>2161</v>
      </c>
      <c r="B83" s="466">
        <v>1118561002</v>
      </c>
      <c r="C83" s="467" t="s">
        <v>2162</v>
      </c>
      <c r="D83" s="468" t="s">
        <v>2163</v>
      </c>
      <c r="E83" s="466" t="s">
        <v>2164</v>
      </c>
      <c r="F83" s="469" t="s">
        <v>2165</v>
      </c>
      <c r="G83" s="470" t="s">
        <v>2166</v>
      </c>
    </row>
    <row r="84" spans="1:7" ht="24" x14ac:dyDescent="0.25">
      <c r="A84" s="465" t="s">
        <v>2167</v>
      </c>
      <c r="B84" s="466">
        <v>1015425299</v>
      </c>
      <c r="C84" s="467" t="s">
        <v>2168</v>
      </c>
      <c r="D84" s="468" t="s">
        <v>2169</v>
      </c>
      <c r="E84" s="466" t="s">
        <v>1918</v>
      </c>
      <c r="F84" s="469" t="s">
        <v>1919</v>
      </c>
      <c r="G84" s="470" t="s">
        <v>2170</v>
      </c>
    </row>
    <row r="85" spans="1:7" ht="24" x14ac:dyDescent="0.25">
      <c r="A85" s="465" t="s">
        <v>2171</v>
      </c>
      <c r="B85" s="466">
        <v>86063951</v>
      </c>
      <c r="C85" s="467" t="s">
        <v>2172</v>
      </c>
      <c r="D85" s="468" t="s">
        <v>1789</v>
      </c>
      <c r="E85" s="466" t="s">
        <v>1882</v>
      </c>
      <c r="F85" s="469" t="s">
        <v>2173</v>
      </c>
      <c r="G85" s="470" t="s">
        <v>2174</v>
      </c>
    </row>
    <row r="86" spans="1:7" ht="36" x14ac:dyDescent="0.25">
      <c r="A86" s="465" t="s">
        <v>2175</v>
      </c>
      <c r="B86" s="466">
        <v>33481717</v>
      </c>
      <c r="C86" s="467" t="s">
        <v>2176</v>
      </c>
      <c r="D86" s="468" t="s">
        <v>1772</v>
      </c>
      <c r="E86" s="466" t="s">
        <v>2177</v>
      </c>
      <c r="F86" s="469" t="s">
        <v>2178</v>
      </c>
      <c r="G86" s="470" t="s">
        <v>2179</v>
      </c>
    </row>
    <row r="87" spans="1:7" ht="24" x14ac:dyDescent="0.25">
      <c r="A87" s="465" t="s">
        <v>2180</v>
      </c>
      <c r="B87" s="466">
        <v>91489584</v>
      </c>
      <c r="C87" s="467" t="s">
        <v>2181</v>
      </c>
      <c r="D87" s="468" t="s">
        <v>1772</v>
      </c>
      <c r="E87" s="466" t="s">
        <v>1923</v>
      </c>
      <c r="F87" s="469" t="s">
        <v>2182</v>
      </c>
      <c r="G87" s="470" t="s">
        <v>2183</v>
      </c>
    </row>
    <row r="88" spans="1:7" ht="24" x14ac:dyDescent="0.25">
      <c r="A88" s="465" t="s">
        <v>2184</v>
      </c>
      <c r="B88" s="466">
        <v>47442083</v>
      </c>
      <c r="C88" s="467" t="s">
        <v>2185</v>
      </c>
      <c r="D88" s="468" t="s">
        <v>2186</v>
      </c>
      <c r="E88" s="466" t="s">
        <v>2187</v>
      </c>
      <c r="F88" s="469" t="s">
        <v>2188</v>
      </c>
      <c r="G88" s="470" t="s">
        <v>2189</v>
      </c>
    </row>
    <row r="89" spans="1:7" ht="36" x14ac:dyDescent="0.25">
      <c r="A89" s="465" t="s">
        <v>2190</v>
      </c>
      <c r="B89" s="466">
        <v>1118545134</v>
      </c>
      <c r="C89" s="467" t="s">
        <v>2191</v>
      </c>
      <c r="D89" s="468" t="s">
        <v>1789</v>
      </c>
      <c r="E89" s="466" t="s">
        <v>2132</v>
      </c>
      <c r="F89" s="469" t="s">
        <v>2192</v>
      </c>
      <c r="G89" s="470" t="s">
        <v>2193</v>
      </c>
    </row>
    <row r="90" spans="1:7" ht="24" x14ac:dyDescent="0.25">
      <c r="A90" s="465" t="s">
        <v>2194</v>
      </c>
      <c r="B90" s="466">
        <v>1118547271</v>
      </c>
      <c r="C90" s="467" t="s">
        <v>2195</v>
      </c>
      <c r="D90" s="468" t="s">
        <v>1778</v>
      </c>
      <c r="E90" s="466" t="s">
        <v>2196</v>
      </c>
      <c r="F90" s="469" t="s">
        <v>2197</v>
      </c>
      <c r="G90" s="470" t="s">
        <v>2198</v>
      </c>
    </row>
    <row r="91" spans="1:7" ht="24" x14ac:dyDescent="0.25">
      <c r="A91" s="465" t="s">
        <v>2199</v>
      </c>
      <c r="B91" s="466">
        <v>23780094</v>
      </c>
      <c r="C91" s="467" t="s">
        <v>2200</v>
      </c>
      <c r="D91" s="468" t="s">
        <v>1789</v>
      </c>
      <c r="E91" s="466" t="s">
        <v>1820</v>
      </c>
      <c r="F91" s="469" t="s">
        <v>2201</v>
      </c>
      <c r="G91" s="470" t="s">
        <v>2202</v>
      </c>
    </row>
    <row r="92" spans="1:7" ht="24" x14ac:dyDescent="0.25">
      <c r="A92" s="465" t="s">
        <v>2203</v>
      </c>
      <c r="B92" s="466">
        <v>1006552239</v>
      </c>
      <c r="C92" s="467" t="s">
        <v>2204</v>
      </c>
      <c r="D92" s="468" t="s">
        <v>1766</v>
      </c>
      <c r="E92" s="466" t="s">
        <v>2205</v>
      </c>
      <c r="F92" s="469" t="s">
        <v>2206</v>
      </c>
      <c r="G92" s="470" t="s">
        <v>2207</v>
      </c>
    </row>
    <row r="93" spans="1:7" ht="24" x14ac:dyDescent="0.25">
      <c r="A93" s="465" t="s">
        <v>2208</v>
      </c>
      <c r="B93" s="466">
        <v>94521463</v>
      </c>
      <c r="C93" s="467" t="s">
        <v>2209</v>
      </c>
      <c r="D93" s="468" t="s">
        <v>1766</v>
      </c>
      <c r="E93" s="466" t="s">
        <v>1846</v>
      </c>
      <c r="F93" s="469" t="s">
        <v>2210</v>
      </c>
      <c r="G93" s="470" t="s">
        <v>2211</v>
      </c>
    </row>
    <row r="94" spans="1:7" ht="24" x14ac:dyDescent="0.25">
      <c r="A94" s="465" t="s">
        <v>2212</v>
      </c>
      <c r="B94" s="466">
        <v>1118566101</v>
      </c>
      <c r="C94" s="467" t="s">
        <v>2213</v>
      </c>
      <c r="D94" s="468" t="s">
        <v>1766</v>
      </c>
      <c r="E94" s="466" t="s">
        <v>1974</v>
      </c>
      <c r="F94" s="469" t="s">
        <v>2214</v>
      </c>
      <c r="G94" s="470" t="s">
        <v>2215</v>
      </c>
    </row>
    <row r="95" spans="1:7" ht="36" x14ac:dyDescent="0.25">
      <c r="A95" s="465" t="s">
        <v>2216</v>
      </c>
      <c r="B95" s="466">
        <v>65772723</v>
      </c>
      <c r="C95" s="467" t="s">
        <v>2217</v>
      </c>
      <c r="D95" s="468" t="s">
        <v>2218</v>
      </c>
      <c r="E95" s="466" t="s">
        <v>1858</v>
      </c>
      <c r="F95" s="469" t="s">
        <v>2219</v>
      </c>
      <c r="G95" s="470" t="s">
        <v>2220</v>
      </c>
    </row>
    <row r="96" spans="1:7" ht="24" x14ac:dyDescent="0.25">
      <c r="A96" s="465" t="s">
        <v>2221</v>
      </c>
      <c r="B96" s="466">
        <v>47434105</v>
      </c>
      <c r="C96" s="467" t="s">
        <v>2222</v>
      </c>
      <c r="D96" s="468" t="s">
        <v>1766</v>
      </c>
      <c r="E96" s="466" t="s">
        <v>1790</v>
      </c>
      <c r="F96" s="469" t="s">
        <v>2223</v>
      </c>
      <c r="G96" s="470" t="s">
        <v>2224</v>
      </c>
    </row>
    <row r="97" spans="1:7" ht="48" x14ac:dyDescent="0.25">
      <c r="A97" s="465" t="s">
        <v>2225</v>
      </c>
      <c r="B97" s="466">
        <v>1118553606</v>
      </c>
      <c r="C97" s="467" t="s">
        <v>2226</v>
      </c>
      <c r="D97" s="468" t="s">
        <v>1766</v>
      </c>
      <c r="E97" s="466" t="s">
        <v>2227</v>
      </c>
      <c r="F97" s="469" t="s">
        <v>2228</v>
      </c>
      <c r="G97" s="470" t="s">
        <v>2229</v>
      </c>
    </row>
    <row r="98" spans="1:7" ht="24" x14ac:dyDescent="0.25">
      <c r="A98" s="465" t="s">
        <v>2230</v>
      </c>
      <c r="B98" s="466">
        <v>47440507</v>
      </c>
      <c r="C98" s="467" t="s">
        <v>2231</v>
      </c>
      <c r="D98" s="468" t="s">
        <v>1789</v>
      </c>
      <c r="E98" s="466" t="s">
        <v>1779</v>
      </c>
      <c r="F98" s="469" t="s">
        <v>2232</v>
      </c>
      <c r="G98" s="470" t="s">
        <v>2233</v>
      </c>
    </row>
    <row r="99" spans="1:7" ht="36" x14ac:dyDescent="0.25">
      <c r="A99" s="465" t="s">
        <v>2234</v>
      </c>
      <c r="B99" s="466">
        <v>74858566</v>
      </c>
      <c r="C99" s="467" t="s">
        <v>2235</v>
      </c>
      <c r="D99" s="468" t="s">
        <v>2236</v>
      </c>
      <c r="E99" s="466" t="s">
        <v>1858</v>
      </c>
      <c r="F99" s="469" t="s">
        <v>2237</v>
      </c>
      <c r="G99" s="470" t="s">
        <v>2238</v>
      </c>
    </row>
    <row r="100" spans="1:7" ht="24" x14ac:dyDescent="0.25">
      <c r="A100" s="465" t="s">
        <v>2239</v>
      </c>
      <c r="B100" s="466">
        <v>47437090</v>
      </c>
      <c r="C100" s="467" t="s">
        <v>2240</v>
      </c>
      <c r="D100" s="468" t="s">
        <v>1778</v>
      </c>
      <c r="E100" s="466" t="s">
        <v>1951</v>
      </c>
      <c r="F100" s="469" t="s">
        <v>2241</v>
      </c>
      <c r="G100" s="470" t="s">
        <v>2242</v>
      </c>
    </row>
    <row r="101" spans="1:7" ht="24" x14ac:dyDescent="0.25">
      <c r="A101" s="465" t="s">
        <v>2243</v>
      </c>
      <c r="B101" s="466">
        <v>47431209</v>
      </c>
      <c r="C101" s="467" t="s">
        <v>2244</v>
      </c>
      <c r="D101" s="468" t="s">
        <v>1766</v>
      </c>
      <c r="E101" s="466" t="s">
        <v>2094</v>
      </c>
      <c r="F101" s="469" t="s">
        <v>2245</v>
      </c>
      <c r="G101" s="470" t="s">
        <v>2246</v>
      </c>
    </row>
    <row r="102" spans="1:7" ht="36" x14ac:dyDescent="0.25">
      <c r="A102" s="465" t="s">
        <v>2247</v>
      </c>
      <c r="B102" s="466">
        <v>1118559960</v>
      </c>
      <c r="C102" s="467" t="s">
        <v>2248</v>
      </c>
      <c r="D102" s="468" t="s">
        <v>1778</v>
      </c>
      <c r="E102" s="466" t="s">
        <v>2249</v>
      </c>
      <c r="F102" s="469" t="s">
        <v>2250</v>
      </c>
      <c r="G102" s="470" t="s">
        <v>2251</v>
      </c>
    </row>
    <row r="103" spans="1:7" ht="24" x14ac:dyDescent="0.25">
      <c r="A103" s="465" t="s">
        <v>2252</v>
      </c>
      <c r="B103" s="466">
        <v>1118540566</v>
      </c>
      <c r="C103" s="467" t="s">
        <v>2253</v>
      </c>
      <c r="D103" s="468" t="s">
        <v>1766</v>
      </c>
      <c r="E103" s="466" t="s">
        <v>2254</v>
      </c>
      <c r="F103" s="469" t="s">
        <v>2255</v>
      </c>
      <c r="G103" s="470" t="s">
        <v>2256</v>
      </c>
    </row>
    <row r="104" spans="1:7" ht="24" x14ac:dyDescent="0.25">
      <c r="A104" s="465" t="s">
        <v>2257</v>
      </c>
      <c r="B104" s="466">
        <v>30982095</v>
      </c>
      <c r="C104" s="467" t="s">
        <v>2258</v>
      </c>
      <c r="D104" s="468" t="s">
        <v>1766</v>
      </c>
      <c r="E104" s="466" t="s">
        <v>2019</v>
      </c>
      <c r="F104" s="469" t="s">
        <v>2259</v>
      </c>
      <c r="G104" s="470" t="s">
        <v>2260</v>
      </c>
    </row>
    <row r="105" spans="1:7" ht="24" x14ac:dyDescent="0.25">
      <c r="A105" s="465" t="s">
        <v>2261</v>
      </c>
      <c r="B105" s="466">
        <v>63437699</v>
      </c>
      <c r="C105" s="467" t="s">
        <v>2262</v>
      </c>
      <c r="D105" s="468" t="s">
        <v>1789</v>
      </c>
      <c r="E105" s="466" t="s">
        <v>2088</v>
      </c>
      <c r="F105" s="469" t="s">
        <v>2263</v>
      </c>
      <c r="G105" s="470" t="s">
        <v>2264</v>
      </c>
    </row>
    <row r="106" spans="1:7" ht="24" x14ac:dyDescent="0.25">
      <c r="A106" s="465" t="s">
        <v>2265</v>
      </c>
      <c r="B106" s="466">
        <v>46387251</v>
      </c>
      <c r="C106" s="467" t="s">
        <v>2266</v>
      </c>
      <c r="D106" s="468" t="s">
        <v>1772</v>
      </c>
      <c r="E106" s="466" t="s">
        <v>1830</v>
      </c>
      <c r="F106" s="469" t="s">
        <v>2267</v>
      </c>
      <c r="G106" s="470" t="s">
        <v>2268</v>
      </c>
    </row>
    <row r="107" spans="1:7" ht="24" x14ac:dyDescent="0.25">
      <c r="A107" s="465" t="s">
        <v>2269</v>
      </c>
      <c r="B107" s="466">
        <v>1116543638</v>
      </c>
      <c r="C107" s="467" t="s">
        <v>2270</v>
      </c>
      <c r="D107" s="468" t="s">
        <v>1766</v>
      </c>
      <c r="E107" s="466" t="s">
        <v>2271</v>
      </c>
      <c r="F107" s="469" t="s">
        <v>2272</v>
      </c>
      <c r="G107" s="470" t="s">
        <v>2273</v>
      </c>
    </row>
    <row r="108" spans="1:7" ht="24" x14ac:dyDescent="0.25">
      <c r="A108" s="465" t="s">
        <v>2274</v>
      </c>
      <c r="B108" s="466">
        <v>688407</v>
      </c>
      <c r="C108" s="467" t="s">
        <v>2275</v>
      </c>
      <c r="D108" s="468" t="s">
        <v>2236</v>
      </c>
      <c r="E108" s="466" t="s">
        <v>1882</v>
      </c>
      <c r="F108" s="469" t="s">
        <v>2276</v>
      </c>
      <c r="G108" s="470" t="s">
        <v>2277</v>
      </c>
    </row>
    <row r="109" spans="1:7" ht="24" x14ac:dyDescent="0.25">
      <c r="A109" s="465" t="s">
        <v>2278</v>
      </c>
      <c r="B109" s="466">
        <v>1116543600</v>
      </c>
      <c r="C109" s="467" t="s">
        <v>2279</v>
      </c>
      <c r="D109" s="468" t="s">
        <v>1778</v>
      </c>
      <c r="E109" s="466" t="s">
        <v>2271</v>
      </c>
      <c r="F109" s="469" t="s">
        <v>2280</v>
      </c>
      <c r="G109" s="470" t="s">
        <v>2281</v>
      </c>
    </row>
    <row r="110" spans="1:7" ht="24" x14ac:dyDescent="0.25">
      <c r="A110" s="465" t="s">
        <v>2282</v>
      </c>
      <c r="B110" s="466">
        <v>1116616085</v>
      </c>
      <c r="C110" s="467" t="s">
        <v>2283</v>
      </c>
      <c r="D110" s="468" t="s">
        <v>1772</v>
      </c>
      <c r="E110" s="466" t="s">
        <v>2271</v>
      </c>
      <c r="F110" s="469" t="s">
        <v>2284</v>
      </c>
      <c r="G110" s="470" t="s">
        <v>2285</v>
      </c>
    </row>
    <row r="111" spans="1:7" ht="24" x14ac:dyDescent="0.25">
      <c r="A111" s="465" t="s">
        <v>2286</v>
      </c>
      <c r="B111" s="466">
        <v>1018441733</v>
      </c>
      <c r="C111" s="467" t="s">
        <v>2558</v>
      </c>
      <c r="D111" s="468" t="s">
        <v>2581</v>
      </c>
      <c r="E111" s="466" t="s">
        <v>1846</v>
      </c>
      <c r="F111" s="469" t="s">
        <v>2287</v>
      </c>
      <c r="G111" s="502" t="s">
        <v>2580</v>
      </c>
    </row>
    <row r="112" spans="1:7" ht="36" x14ac:dyDescent="0.25">
      <c r="A112" s="465" t="s">
        <v>2288</v>
      </c>
      <c r="B112" s="466">
        <v>1118531079</v>
      </c>
      <c r="C112" s="467" t="s">
        <v>2289</v>
      </c>
      <c r="D112" s="468" t="s">
        <v>2290</v>
      </c>
      <c r="E112" s="466" t="s">
        <v>2271</v>
      </c>
      <c r="F112" s="469" t="s">
        <v>2291</v>
      </c>
      <c r="G112" s="470" t="s">
        <v>2292</v>
      </c>
    </row>
    <row r="113" spans="1:7" ht="24" x14ac:dyDescent="0.25">
      <c r="A113" s="465" t="s">
        <v>2293</v>
      </c>
      <c r="B113" s="466">
        <v>1020813745</v>
      </c>
      <c r="C113" s="467" t="s">
        <v>2294</v>
      </c>
      <c r="D113" s="468" t="s">
        <v>1778</v>
      </c>
      <c r="E113" s="466" t="s">
        <v>1907</v>
      </c>
      <c r="F113" s="469" t="s">
        <v>2295</v>
      </c>
      <c r="G113" s="470" t="s">
        <v>2296</v>
      </c>
    </row>
    <row r="114" spans="1:7" ht="24" x14ac:dyDescent="0.25">
      <c r="A114" s="465" t="s">
        <v>2297</v>
      </c>
      <c r="B114" s="466">
        <v>80172930</v>
      </c>
      <c r="C114" s="467" t="s">
        <v>2298</v>
      </c>
      <c r="D114" s="468" t="s">
        <v>1772</v>
      </c>
      <c r="E114" s="466" t="s">
        <v>1830</v>
      </c>
      <c r="F114" s="469" t="s">
        <v>2299</v>
      </c>
      <c r="G114" s="470" t="s">
        <v>2300</v>
      </c>
    </row>
    <row r="115" spans="1:7" ht="24" x14ac:dyDescent="0.25">
      <c r="A115" s="465" t="s">
        <v>2301</v>
      </c>
      <c r="B115" s="466">
        <v>1118554374</v>
      </c>
      <c r="C115" s="467" t="s">
        <v>2302</v>
      </c>
      <c r="D115" s="468" t="s">
        <v>2303</v>
      </c>
      <c r="E115" s="466" t="s">
        <v>1945</v>
      </c>
      <c r="F115" s="469" t="s">
        <v>2304</v>
      </c>
      <c r="G115" s="470" t="s">
        <v>2305</v>
      </c>
    </row>
    <row r="116" spans="1:7" ht="24" x14ac:dyDescent="0.25">
      <c r="A116" s="465" t="s">
        <v>2306</v>
      </c>
      <c r="B116" s="466">
        <v>1116553168</v>
      </c>
      <c r="C116" s="467" t="s">
        <v>2307</v>
      </c>
      <c r="D116" s="468" t="s">
        <v>1766</v>
      </c>
      <c r="E116" s="466" t="s">
        <v>2308</v>
      </c>
      <c r="F116" s="469" t="s">
        <v>2309</v>
      </c>
      <c r="G116" s="470" t="s">
        <v>2310</v>
      </c>
    </row>
    <row r="117" spans="1:7" ht="36" x14ac:dyDescent="0.25">
      <c r="A117" s="465" t="s">
        <v>2311</v>
      </c>
      <c r="B117" s="466">
        <v>1007703629</v>
      </c>
      <c r="C117" s="467" t="s">
        <v>2312</v>
      </c>
      <c r="D117" s="468" t="s">
        <v>1766</v>
      </c>
      <c r="E117" s="466" t="s">
        <v>2313</v>
      </c>
      <c r="F117" s="469" t="s">
        <v>2314</v>
      </c>
      <c r="G117" s="470" t="s">
        <v>2315</v>
      </c>
    </row>
    <row r="118" spans="1:7" ht="24" x14ac:dyDescent="0.25">
      <c r="A118" s="465" t="s">
        <v>2316</v>
      </c>
      <c r="B118" s="466">
        <v>1116545648</v>
      </c>
      <c r="C118" s="467" t="s">
        <v>2317</v>
      </c>
      <c r="D118" s="468" t="s">
        <v>1778</v>
      </c>
      <c r="E118" s="466" t="s">
        <v>1806</v>
      </c>
      <c r="F118" s="469" t="s">
        <v>2318</v>
      </c>
      <c r="G118" s="470" t="s">
        <v>2319</v>
      </c>
    </row>
    <row r="119" spans="1:7" ht="24" x14ac:dyDescent="0.25">
      <c r="A119" s="465" t="s">
        <v>2320</v>
      </c>
      <c r="B119" s="466">
        <v>1118540368</v>
      </c>
      <c r="C119" s="467" t="s">
        <v>2321</v>
      </c>
      <c r="D119" s="468" t="s">
        <v>1772</v>
      </c>
      <c r="E119" s="466" t="s">
        <v>2196</v>
      </c>
      <c r="F119" s="469" t="s">
        <v>2322</v>
      </c>
      <c r="G119" s="470" t="s">
        <v>2323</v>
      </c>
    </row>
    <row r="120" spans="1:7" ht="36" x14ac:dyDescent="0.25">
      <c r="A120" s="465" t="s">
        <v>2324</v>
      </c>
      <c r="B120" s="466">
        <v>9431041</v>
      </c>
      <c r="C120" s="467" t="s">
        <v>2325</v>
      </c>
      <c r="D120" s="468" t="s">
        <v>1772</v>
      </c>
      <c r="E120" s="466" t="s">
        <v>1858</v>
      </c>
      <c r="F120" s="469" t="s">
        <v>2326</v>
      </c>
      <c r="G120" s="470" t="s">
        <v>2327</v>
      </c>
    </row>
    <row r="121" spans="1:7" ht="24" x14ac:dyDescent="0.25">
      <c r="A121" s="465" t="s">
        <v>2328</v>
      </c>
      <c r="B121" s="466">
        <v>47433885</v>
      </c>
      <c r="C121" s="467" t="s">
        <v>2329</v>
      </c>
      <c r="D121" s="468" t="s">
        <v>1766</v>
      </c>
      <c r="E121" s="466" t="s">
        <v>2330</v>
      </c>
      <c r="F121" s="469" t="s">
        <v>2331</v>
      </c>
      <c r="G121" s="470" t="s">
        <v>2332</v>
      </c>
    </row>
    <row r="122" spans="1:7" ht="24" x14ac:dyDescent="0.25">
      <c r="A122" s="465" t="s">
        <v>2333</v>
      </c>
      <c r="B122" s="466">
        <v>1118541439</v>
      </c>
      <c r="C122" s="467" t="s">
        <v>2334</v>
      </c>
      <c r="D122" s="468" t="s">
        <v>1772</v>
      </c>
      <c r="E122" s="466" t="s">
        <v>1830</v>
      </c>
      <c r="F122" s="469" t="s">
        <v>2335</v>
      </c>
      <c r="G122" s="470" t="s">
        <v>2336</v>
      </c>
    </row>
    <row r="123" spans="1:7" ht="24" x14ac:dyDescent="0.25">
      <c r="A123" s="465" t="s">
        <v>2337</v>
      </c>
      <c r="B123" s="466">
        <v>1118548096</v>
      </c>
      <c r="C123" s="467" t="s">
        <v>2338</v>
      </c>
      <c r="D123" s="468" t="s">
        <v>1766</v>
      </c>
      <c r="E123" s="466" t="s">
        <v>2271</v>
      </c>
      <c r="F123" s="469" t="s">
        <v>2339</v>
      </c>
      <c r="G123" s="470" t="s">
        <v>2340</v>
      </c>
    </row>
    <row r="124" spans="1:7" ht="24" x14ac:dyDescent="0.25">
      <c r="A124" s="465" t="s">
        <v>2341</v>
      </c>
      <c r="B124" s="466">
        <v>1118564204</v>
      </c>
      <c r="C124" s="467" t="s">
        <v>2342</v>
      </c>
      <c r="D124" s="468" t="s">
        <v>1766</v>
      </c>
      <c r="E124" s="466" t="s">
        <v>1863</v>
      </c>
      <c r="F124" s="469" t="s">
        <v>2343</v>
      </c>
      <c r="G124" s="470" t="s">
        <v>2344</v>
      </c>
    </row>
    <row r="125" spans="1:7" ht="30" x14ac:dyDescent="0.25">
      <c r="A125" s="465" t="s">
        <v>2345</v>
      </c>
      <c r="B125" s="480">
        <v>0</v>
      </c>
      <c r="C125" s="480" t="s">
        <v>2582</v>
      </c>
      <c r="D125" s="480" t="s">
        <v>1778</v>
      </c>
      <c r="E125" s="480" t="s">
        <v>1863</v>
      </c>
      <c r="F125" s="503" t="s">
        <v>2579</v>
      </c>
      <c r="G125" s="504" t="s">
        <v>2584</v>
      </c>
    </row>
    <row r="126" spans="1:7" ht="36" x14ac:dyDescent="0.25">
      <c r="A126" s="465" t="s">
        <v>2346</v>
      </c>
      <c r="B126" s="466">
        <v>1052402068</v>
      </c>
      <c r="C126" s="467" t="s">
        <v>2347</v>
      </c>
      <c r="D126" s="468" t="s">
        <v>2348</v>
      </c>
      <c r="E126" s="466" t="s">
        <v>2313</v>
      </c>
      <c r="F126" s="481" t="s">
        <v>2349</v>
      </c>
      <c r="G126" s="470" t="s">
        <v>2350</v>
      </c>
    </row>
    <row r="127" spans="1:7" ht="36" x14ac:dyDescent="0.25">
      <c r="A127" s="465" t="s">
        <v>2351</v>
      </c>
      <c r="B127" s="466">
        <v>1118570680</v>
      </c>
      <c r="C127" s="466" t="s">
        <v>2352</v>
      </c>
      <c r="D127" s="468" t="s">
        <v>2353</v>
      </c>
      <c r="E127" s="466" t="s">
        <v>2116</v>
      </c>
      <c r="F127" s="482" t="s">
        <v>2354</v>
      </c>
      <c r="G127" s="470" t="s">
        <v>2355</v>
      </c>
    </row>
    <row r="128" spans="1:7" ht="36" x14ac:dyDescent="0.25">
      <c r="A128" s="465" t="s">
        <v>2356</v>
      </c>
      <c r="B128" s="466">
        <v>33480667</v>
      </c>
      <c r="C128" s="467" t="s">
        <v>2357</v>
      </c>
      <c r="D128" s="468" t="s">
        <v>2358</v>
      </c>
      <c r="E128" s="466" t="s">
        <v>1912</v>
      </c>
      <c r="F128" s="469" t="s">
        <v>2359</v>
      </c>
      <c r="G128" s="470" t="s">
        <v>2360</v>
      </c>
    </row>
    <row r="129" spans="1:7" ht="24" x14ac:dyDescent="0.25">
      <c r="A129" s="465" t="s">
        <v>2361</v>
      </c>
      <c r="B129" s="466">
        <v>80853982</v>
      </c>
      <c r="C129" s="467" t="s">
        <v>2362</v>
      </c>
      <c r="D129" s="468" t="s">
        <v>2363</v>
      </c>
      <c r="E129" s="466" t="s">
        <v>2330</v>
      </c>
      <c r="F129" s="469" t="s">
        <v>2364</v>
      </c>
      <c r="G129" s="470" t="s">
        <v>2365</v>
      </c>
    </row>
    <row r="130" spans="1:7" ht="48" x14ac:dyDescent="0.25">
      <c r="A130" s="465" t="s">
        <v>2366</v>
      </c>
      <c r="B130" s="466">
        <v>1118533584</v>
      </c>
      <c r="C130" s="467" t="s">
        <v>2367</v>
      </c>
      <c r="D130" s="468" t="s">
        <v>2368</v>
      </c>
      <c r="E130" s="466" t="s">
        <v>2227</v>
      </c>
      <c r="F130" s="469" t="s">
        <v>2369</v>
      </c>
      <c r="G130" s="470" t="s">
        <v>2370</v>
      </c>
    </row>
    <row r="131" spans="1:7" ht="36" x14ac:dyDescent="0.25">
      <c r="A131" s="465" t="s">
        <v>2371</v>
      </c>
      <c r="B131" s="466">
        <v>52425898</v>
      </c>
      <c r="C131" s="467" t="s">
        <v>2372</v>
      </c>
      <c r="D131" s="468" t="s">
        <v>2373</v>
      </c>
      <c r="E131" s="466" t="s">
        <v>2374</v>
      </c>
      <c r="F131" s="469" t="s">
        <v>2375</v>
      </c>
      <c r="G131" s="470" t="s">
        <v>2376</v>
      </c>
    </row>
    <row r="132" spans="1:7" ht="24" x14ac:dyDescent="0.25">
      <c r="A132" s="465" t="s">
        <v>2377</v>
      </c>
      <c r="B132" s="466">
        <v>74860527</v>
      </c>
      <c r="C132" s="467" t="s">
        <v>2378</v>
      </c>
      <c r="D132" s="468" t="s">
        <v>2379</v>
      </c>
      <c r="E132" s="466" t="s">
        <v>2380</v>
      </c>
      <c r="F132" s="469" t="s">
        <v>2381</v>
      </c>
      <c r="G132" s="470" t="s">
        <v>2382</v>
      </c>
    </row>
    <row r="133" spans="1:7" ht="24" x14ac:dyDescent="0.25">
      <c r="A133" s="465" t="s">
        <v>2383</v>
      </c>
      <c r="B133" s="466">
        <v>7174343</v>
      </c>
      <c r="C133" s="467" t="s">
        <v>2384</v>
      </c>
      <c r="D133" s="468" t="s">
        <v>2385</v>
      </c>
      <c r="E133" s="466" t="s">
        <v>2386</v>
      </c>
      <c r="F133" s="469" t="s">
        <v>2387</v>
      </c>
      <c r="G133" s="470" t="s">
        <v>2388</v>
      </c>
    </row>
    <row r="134" spans="1:7" ht="36" x14ac:dyDescent="0.25">
      <c r="A134" s="465" t="s">
        <v>2389</v>
      </c>
      <c r="B134" s="466">
        <v>74381662</v>
      </c>
      <c r="C134" s="467" t="s">
        <v>2390</v>
      </c>
      <c r="D134" s="468" t="s">
        <v>2391</v>
      </c>
      <c r="E134" s="466" t="s">
        <v>2392</v>
      </c>
      <c r="F134" s="469" t="s">
        <v>2393</v>
      </c>
      <c r="G134" s="470" t="s">
        <v>2394</v>
      </c>
    </row>
    <row r="135" spans="1:7" ht="24" x14ac:dyDescent="0.25">
      <c r="A135" s="465" t="s">
        <v>2395</v>
      </c>
      <c r="B135" s="466">
        <v>1052387605</v>
      </c>
      <c r="C135" s="467" t="s">
        <v>2396</v>
      </c>
      <c r="D135" s="468" t="s">
        <v>2397</v>
      </c>
      <c r="E135" s="466" t="s">
        <v>1811</v>
      </c>
      <c r="F135" s="469" t="s">
        <v>2398</v>
      </c>
      <c r="G135" s="470" t="s">
        <v>2399</v>
      </c>
    </row>
    <row r="136" spans="1:7" ht="24" x14ac:dyDescent="0.25">
      <c r="A136" s="465" t="s">
        <v>2400</v>
      </c>
      <c r="B136" s="466">
        <v>1121909636</v>
      </c>
      <c r="C136" s="466" t="s">
        <v>2401</v>
      </c>
      <c r="D136" s="468" t="s">
        <v>2402</v>
      </c>
      <c r="E136" s="466" t="s">
        <v>2403</v>
      </c>
      <c r="F136" s="469" t="s">
        <v>2404</v>
      </c>
      <c r="G136" s="470" t="s">
        <v>2405</v>
      </c>
    </row>
    <row r="137" spans="1:7" ht="48" x14ac:dyDescent="0.25">
      <c r="A137" s="465" t="s">
        <v>2406</v>
      </c>
      <c r="B137" s="466">
        <v>33376676</v>
      </c>
      <c r="C137" s="467" t="s">
        <v>2407</v>
      </c>
      <c r="D137" s="468" t="s">
        <v>2408</v>
      </c>
      <c r="E137" s="466" t="s">
        <v>2529</v>
      </c>
      <c r="F137" s="469" t="s">
        <v>2409</v>
      </c>
      <c r="G137" s="470" t="s">
        <v>2410</v>
      </c>
    </row>
    <row r="138" spans="1:7" ht="24" x14ac:dyDescent="0.25">
      <c r="A138" s="465" t="s">
        <v>2411</v>
      </c>
      <c r="B138" s="466">
        <v>46368354</v>
      </c>
      <c r="C138" s="467" t="s">
        <v>2412</v>
      </c>
      <c r="D138" s="468" t="s">
        <v>2413</v>
      </c>
      <c r="E138" s="466" t="s">
        <v>1811</v>
      </c>
      <c r="F138" s="469" t="s">
        <v>2414</v>
      </c>
      <c r="G138" s="470" t="s">
        <v>2415</v>
      </c>
    </row>
    <row r="139" spans="1:7" ht="24" x14ac:dyDescent="0.25">
      <c r="A139" s="465" t="s">
        <v>2416</v>
      </c>
      <c r="B139" s="466">
        <v>7187329</v>
      </c>
      <c r="C139" s="467" t="s">
        <v>2417</v>
      </c>
      <c r="D139" s="468" t="s">
        <v>2413</v>
      </c>
      <c r="E139" s="466" t="s">
        <v>1811</v>
      </c>
      <c r="F139" s="469" t="s">
        <v>2414</v>
      </c>
      <c r="G139" s="470" t="s">
        <v>2418</v>
      </c>
    </row>
    <row r="140" spans="1:7" ht="36" x14ac:dyDescent="0.25">
      <c r="A140" s="465" t="s">
        <v>2419</v>
      </c>
      <c r="B140" s="466">
        <v>23466759</v>
      </c>
      <c r="C140" s="467" t="s">
        <v>2420</v>
      </c>
      <c r="D140" s="468" t="s">
        <v>2413</v>
      </c>
      <c r="E140" s="466" t="s">
        <v>2313</v>
      </c>
      <c r="F140" s="469" t="s">
        <v>2414</v>
      </c>
      <c r="G140" s="470" t="s">
        <v>2421</v>
      </c>
    </row>
    <row r="141" spans="1:7" ht="24" x14ac:dyDescent="0.25">
      <c r="A141" s="465" t="s">
        <v>2422</v>
      </c>
      <c r="B141" s="466">
        <v>74184847</v>
      </c>
      <c r="C141" s="467" t="s">
        <v>2423</v>
      </c>
      <c r="D141" s="468" t="s">
        <v>2424</v>
      </c>
      <c r="E141" s="466" t="s">
        <v>2374</v>
      </c>
      <c r="F141" s="469" t="s">
        <v>2414</v>
      </c>
      <c r="G141" s="470" t="s">
        <v>2425</v>
      </c>
    </row>
    <row r="142" spans="1:7" ht="24" x14ac:dyDescent="0.25">
      <c r="A142" s="465" t="s">
        <v>2426</v>
      </c>
      <c r="B142" s="466">
        <v>74372272</v>
      </c>
      <c r="C142" s="467" t="s">
        <v>2427</v>
      </c>
      <c r="D142" s="468" t="s">
        <v>2413</v>
      </c>
      <c r="E142" s="466" t="s">
        <v>1811</v>
      </c>
      <c r="F142" s="469" t="s">
        <v>2414</v>
      </c>
      <c r="G142" s="470" t="s">
        <v>2428</v>
      </c>
    </row>
    <row r="143" spans="1:7" ht="24" x14ac:dyDescent="0.25">
      <c r="A143" s="465" t="s">
        <v>2429</v>
      </c>
      <c r="B143" s="466">
        <v>46383728</v>
      </c>
      <c r="C143" s="467" t="s">
        <v>2430</v>
      </c>
      <c r="D143" s="468" t="s">
        <v>2413</v>
      </c>
      <c r="E143" s="466" t="s">
        <v>1811</v>
      </c>
      <c r="F143" s="469" t="s">
        <v>2414</v>
      </c>
      <c r="G143" s="470" t="s">
        <v>2431</v>
      </c>
    </row>
    <row r="144" spans="1:7" ht="24" x14ac:dyDescent="0.25">
      <c r="A144" s="465" t="s">
        <v>2432</v>
      </c>
      <c r="B144" s="466">
        <v>80811242</v>
      </c>
      <c r="C144" s="467" t="s">
        <v>2433</v>
      </c>
      <c r="D144" s="468" t="s">
        <v>2434</v>
      </c>
      <c r="E144" s="466" t="s">
        <v>2005</v>
      </c>
      <c r="F144" s="469" t="s">
        <v>2414</v>
      </c>
      <c r="G144" s="470" t="s">
        <v>2435</v>
      </c>
    </row>
    <row r="145" spans="1:7" ht="48" x14ac:dyDescent="0.25">
      <c r="A145" s="465" t="s">
        <v>2436</v>
      </c>
      <c r="B145" s="466">
        <v>1014220686</v>
      </c>
      <c r="C145" s="467" t="s">
        <v>2437</v>
      </c>
      <c r="D145" s="468" t="s">
        <v>2438</v>
      </c>
      <c r="E145" s="466" t="s">
        <v>2439</v>
      </c>
      <c r="F145" s="483" t="s">
        <v>2440</v>
      </c>
      <c r="G145" s="470" t="s">
        <v>2441</v>
      </c>
    </row>
    <row r="146" spans="1:7" ht="24" x14ac:dyDescent="0.25">
      <c r="A146" s="465" t="s">
        <v>2442</v>
      </c>
      <c r="B146" s="466">
        <v>6767486</v>
      </c>
      <c r="C146" s="467" t="s">
        <v>2443</v>
      </c>
      <c r="D146" s="468" t="s">
        <v>2413</v>
      </c>
      <c r="E146" s="466" t="s">
        <v>2403</v>
      </c>
      <c r="F146" s="469" t="s">
        <v>2414</v>
      </c>
      <c r="G146" s="470" t="s">
        <v>2444</v>
      </c>
    </row>
    <row r="147" spans="1:7" ht="24" x14ac:dyDescent="0.25">
      <c r="A147" s="465" t="s">
        <v>2445</v>
      </c>
      <c r="B147" s="466">
        <v>74861885</v>
      </c>
      <c r="C147" s="467" t="s">
        <v>2446</v>
      </c>
      <c r="D147" s="468" t="s">
        <v>2413</v>
      </c>
      <c r="E147" s="466" t="s">
        <v>1811</v>
      </c>
      <c r="F147" s="469" t="s">
        <v>2398</v>
      </c>
      <c r="G147" s="470" t="s">
        <v>2447</v>
      </c>
    </row>
    <row r="148" spans="1:7" ht="60" x14ac:dyDescent="0.25">
      <c r="A148" s="465" t="s">
        <v>2448</v>
      </c>
      <c r="B148" s="466">
        <v>1049644226</v>
      </c>
      <c r="C148" s="467" t="s">
        <v>2449</v>
      </c>
      <c r="D148" s="468" t="s">
        <v>2450</v>
      </c>
      <c r="E148" s="466" t="s">
        <v>2439</v>
      </c>
      <c r="F148" s="469" t="s">
        <v>2451</v>
      </c>
      <c r="G148" s="470" t="s">
        <v>2452</v>
      </c>
    </row>
    <row r="149" spans="1:7" ht="36" x14ac:dyDescent="0.25">
      <c r="A149" s="465" t="s">
        <v>2453</v>
      </c>
      <c r="B149" s="466">
        <v>21070115</v>
      </c>
      <c r="C149" s="467" t="s">
        <v>2454</v>
      </c>
      <c r="D149" s="468" t="s">
        <v>2413</v>
      </c>
      <c r="E149" s="466" t="s">
        <v>2380</v>
      </c>
      <c r="F149" s="469" t="s">
        <v>2414</v>
      </c>
      <c r="G149" s="470" t="s">
        <v>2455</v>
      </c>
    </row>
    <row r="150" spans="1:7" ht="48" x14ac:dyDescent="0.25">
      <c r="A150" s="465" t="s">
        <v>2456</v>
      </c>
      <c r="B150" s="466">
        <v>33368466</v>
      </c>
      <c r="C150" s="467" t="s">
        <v>2457</v>
      </c>
      <c r="D150" s="468" t="s">
        <v>2458</v>
      </c>
      <c r="E150" s="466" t="s">
        <v>1811</v>
      </c>
      <c r="F150" s="469" t="s">
        <v>2414</v>
      </c>
      <c r="G150" s="470" t="s">
        <v>2459</v>
      </c>
    </row>
    <row r="151" spans="1:7" ht="24" x14ac:dyDescent="0.25">
      <c r="A151" s="465" t="s">
        <v>2460</v>
      </c>
      <c r="B151" s="466">
        <v>4090738</v>
      </c>
      <c r="C151" s="467" t="s">
        <v>2461</v>
      </c>
      <c r="D151" s="468" t="s">
        <v>2413</v>
      </c>
      <c r="E151" s="466" t="s">
        <v>2330</v>
      </c>
      <c r="F151" s="469" t="s">
        <v>2414</v>
      </c>
      <c r="G151" s="470" t="s">
        <v>2462</v>
      </c>
    </row>
    <row r="152" spans="1:7" ht="60" x14ac:dyDescent="0.25">
      <c r="A152" s="465" t="s">
        <v>2463</v>
      </c>
      <c r="B152" s="466">
        <v>52966442</v>
      </c>
      <c r="C152" s="467" t="s">
        <v>2464</v>
      </c>
      <c r="D152" s="468" t="s">
        <v>2465</v>
      </c>
      <c r="E152" s="466" t="s">
        <v>2466</v>
      </c>
      <c r="F152" s="469" t="s">
        <v>2467</v>
      </c>
      <c r="G152" s="470" t="s">
        <v>2468</v>
      </c>
    </row>
    <row r="153" spans="1:7" ht="24" x14ac:dyDescent="0.25">
      <c r="A153" s="465" t="s">
        <v>2469</v>
      </c>
      <c r="B153" s="466">
        <v>87066386</v>
      </c>
      <c r="C153" s="467" t="s">
        <v>2470</v>
      </c>
      <c r="D153" s="468" t="s">
        <v>2413</v>
      </c>
      <c r="E153" s="466" t="s">
        <v>1840</v>
      </c>
      <c r="F153" s="469" t="s">
        <v>2414</v>
      </c>
      <c r="G153" s="470" t="s">
        <v>2471</v>
      </c>
    </row>
    <row r="154" spans="1:7" ht="72" x14ac:dyDescent="0.25">
      <c r="A154" s="465" t="s">
        <v>2472</v>
      </c>
      <c r="B154" s="466">
        <v>26471294</v>
      </c>
      <c r="C154" s="467" t="s">
        <v>2473</v>
      </c>
      <c r="D154" s="468" t="s">
        <v>2474</v>
      </c>
      <c r="E154" s="466" t="s">
        <v>2475</v>
      </c>
      <c r="F154" s="469" t="s">
        <v>2476</v>
      </c>
      <c r="G154" s="470" t="s">
        <v>2477</v>
      </c>
    </row>
    <row r="155" spans="1:7" ht="24" x14ac:dyDescent="0.25">
      <c r="A155" s="465" t="s">
        <v>2478</v>
      </c>
      <c r="B155" s="466">
        <v>7178205</v>
      </c>
      <c r="C155" s="467" t="s">
        <v>2479</v>
      </c>
      <c r="D155" s="468" t="s">
        <v>2424</v>
      </c>
      <c r="E155" s="466" t="s">
        <v>1840</v>
      </c>
      <c r="F155" s="469" t="s">
        <v>2414</v>
      </c>
      <c r="G155" s="470" t="s">
        <v>2480</v>
      </c>
    </row>
    <row r="156" spans="1:7" ht="24" x14ac:dyDescent="0.25">
      <c r="A156" s="465" t="s">
        <v>2481</v>
      </c>
      <c r="B156" s="466">
        <v>24191572</v>
      </c>
      <c r="C156" s="467" t="s">
        <v>2482</v>
      </c>
      <c r="D156" s="468" t="s">
        <v>2413</v>
      </c>
      <c r="E156" s="466" t="s">
        <v>1811</v>
      </c>
      <c r="F156" s="469" t="s">
        <v>2414</v>
      </c>
      <c r="G156" s="470" t="s">
        <v>2483</v>
      </c>
    </row>
    <row r="157" spans="1:7" ht="24" x14ac:dyDescent="0.25">
      <c r="A157" s="465" t="s">
        <v>2484</v>
      </c>
      <c r="B157" s="466">
        <v>79841468</v>
      </c>
      <c r="C157" s="467" t="s">
        <v>2485</v>
      </c>
      <c r="D157" s="468" t="s">
        <v>2413</v>
      </c>
      <c r="E157" s="466" t="s">
        <v>1902</v>
      </c>
      <c r="F157" s="469" t="s">
        <v>2414</v>
      </c>
      <c r="G157" s="470" t="s">
        <v>2486</v>
      </c>
    </row>
    <row r="158" spans="1:7" ht="24" x14ac:dyDescent="0.25">
      <c r="A158" s="465" t="s">
        <v>2487</v>
      </c>
      <c r="B158" s="466">
        <v>79040512</v>
      </c>
      <c r="C158" s="467" t="s">
        <v>2488</v>
      </c>
      <c r="D158" s="468" t="s">
        <v>2413</v>
      </c>
      <c r="E158" s="466" t="s">
        <v>2386</v>
      </c>
      <c r="F158" s="469" t="s">
        <v>2414</v>
      </c>
      <c r="G158" s="470" t="s">
        <v>2489</v>
      </c>
    </row>
    <row r="159" spans="1:7" ht="36" x14ac:dyDescent="0.25">
      <c r="A159" s="465" t="s">
        <v>2490</v>
      </c>
      <c r="B159" s="466">
        <v>91247674</v>
      </c>
      <c r="C159" s="467" t="s">
        <v>2491</v>
      </c>
      <c r="D159" s="468" t="s">
        <v>2413</v>
      </c>
      <c r="E159" s="466" t="s">
        <v>2386</v>
      </c>
      <c r="F159" s="469" t="s">
        <v>2414</v>
      </c>
      <c r="G159" s="470" t="s">
        <v>2492</v>
      </c>
    </row>
    <row r="160" spans="1:7" ht="24" x14ac:dyDescent="0.25">
      <c r="A160" s="465" t="s">
        <v>2493</v>
      </c>
      <c r="B160" s="466">
        <v>79466489</v>
      </c>
      <c r="C160" s="467" t="s">
        <v>2494</v>
      </c>
      <c r="D160" s="468" t="s">
        <v>2413</v>
      </c>
      <c r="E160" s="466" t="s">
        <v>2386</v>
      </c>
      <c r="F160" s="469" t="s">
        <v>2414</v>
      </c>
      <c r="G160" s="470" t="s">
        <v>2495</v>
      </c>
    </row>
    <row r="161" spans="1:7" ht="36" x14ac:dyDescent="0.25">
      <c r="A161" s="465" t="s">
        <v>2496</v>
      </c>
      <c r="B161" s="466">
        <v>52994000</v>
      </c>
      <c r="C161" s="467" t="s">
        <v>2497</v>
      </c>
      <c r="D161" s="468" t="s">
        <v>2413</v>
      </c>
      <c r="E161" s="466" t="s">
        <v>2116</v>
      </c>
      <c r="F161" s="469"/>
      <c r="G161" s="470" t="s">
        <v>2498</v>
      </c>
    </row>
    <row r="162" spans="1:7" ht="60" x14ac:dyDescent="0.25">
      <c r="A162" s="465" t="s">
        <v>2499</v>
      </c>
      <c r="B162" s="466">
        <v>30083804</v>
      </c>
      <c r="C162" s="467" t="s">
        <v>2500</v>
      </c>
      <c r="D162" s="468" t="s">
        <v>2501</v>
      </c>
      <c r="E162" s="466" t="s">
        <v>2005</v>
      </c>
      <c r="F162" s="469" t="s">
        <v>2502</v>
      </c>
      <c r="G162" s="470" t="s">
        <v>2503</v>
      </c>
    </row>
    <row r="163" spans="1:7" ht="24" x14ac:dyDescent="0.25">
      <c r="A163" s="465" t="s">
        <v>2504</v>
      </c>
      <c r="B163" s="466">
        <v>46385499</v>
      </c>
      <c r="C163" s="467" t="s">
        <v>2505</v>
      </c>
      <c r="D163" s="468" t="s">
        <v>2413</v>
      </c>
      <c r="E163" s="466" t="s">
        <v>1811</v>
      </c>
      <c r="F163" s="469" t="s">
        <v>2414</v>
      </c>
      <c r="G163" s="470" t="s">
        <v>2506</v>
      </c>
    </row>
    <row r="164" spans="1:7" ht="24" x14ac:dyDescent="0.25">
      <c r="A164" s="465" t="s">
        <v>2507</v>
      </c>
      <c r="B164" s="466">
        <v>33480999</v>
      </c>
      <c r="C164" s="467" t="s">
        <v>2508</v>
      </c>
      <c r="D164" s="468" t="s">
        <v>2434</v>
      </c>
      <c r="E164" s="466" t="s">
        <v>2403</v>
      </c>
      <c r="F164" s="469" t="s">
        <v>2414</v>
      </c>
      <c r="G164" s="470" t="s">
        <v>2509</v>
      </c>
    </row>
    <row r="165" spans="1:7" ht="24" x14ac:dyDescent="0.25">
      <c r="A165" s="465" t="s">
        <v>2510</v>
      </c>
      <c r="B165" s="466">
        <v>80209909</v>
      </c>
      <c r="C165" s="467" t="s">
        <v>2511</v>
      </c>
      <c r="D165" s="468" t="s">
        <v>2413</v>
      </c>
      <c r="E165" s="466" t="s">
        <v>2330</v>
      </c>
      <c r="F165" s="469" t="s">
        <v>2414</v>
      </c>
      <c r="G165" s="470" t="s">
        <v>2512</v>
      </c>
    </row>
    <row r="166" spans="1:7" ht="24" x14ac:dyDescent="0.25">
      <c r="A166" s="465" t="s">
        <v>2513</v>
      </c>
      <c r="B166" s="466">
        <v>7161541</v>
      </c>
      <c r="C166" s="467" t="s">
        <v>2514</v>
      </c>
      <c r="D166" s="468" t="s">
        <v>2413</v>
      </c>
      <c r="E166" s="466" t="s">
        <v>2005</v>
      </c>
      <c r="F166" s="469" t="s">
        <v>2414</v>
      </c>
      <c r="G166" s="470" t="s">
        <v>2515</v>
      </c>
    </row>
    <row r="167" spans="1:7" ht="24" x14ac:dyDescent="0.25">
      <c r="A167" s="465" t="s">
        <v>2516</v>
      </c>
      <c r="B167" s="466">
        <v>9431589</v>
      </c>
      <c r="C167" s="467" t="s">
        <v>2517</v>
      </c>
      <c r="D167" s="468" t="s">
        <v>2413</v>
      </c>
      <c r="E167" s="466" t="s">
        <v>2403</v>
      </c>
      <c r="F167" s="469" t="s">
        <v>2414</v>
      </c>
      <c r="G167" s="470" t="s">
        <v>2518</v>
      </c>
    </row>
    <row r="168" spans="1:7" ht="36" x14ac:dyDescent="0.25">
      <c r="A168" s="465" t="s">
        <v>2519</v>
      </c>
      <c r="B168" s="466">
        <v>74376554</v>
      </c>
      <c r="C168" s="467" t="s">
        <v>2520</v>
      </c>
      <c r="D168" s="468" t="s">
        <v>2413</v>
      </c>
      <c r="E168" s="466" t="s">
        <v>2466</v>
      </c>
      <c r="F168" s="469" t="s">
        <v>2414</v>
      </c>
      <c r="G168" s="470" t="s">
        <v>2521</v>
      </c>
    </row>
    <row r="169" spans="1:7" ht="60" x14ac:dyDescent="0.25">
      <c r="A169" s="484" t="s">
        <v>2522</v>
      </c>
      <c r="B169" s="485">
        <v>9430883</v>
      </c>
      <c r="C169" s="486" t="s">
        <v>2523</v>
      </c>
      <c r="D169" s="487" t="s">
        <v>2524</v>
      </c>
      <c r="E169" s="487" t="s">
        <v>2525</v>
      </c>
      <c r="F169" s="488" t="s">
        <v>2526</v>
      </c>
      <c r="G169" s="471" t="s">
        <v>2527</v>
      </c>
    </row>
    <row r="170" spans="1:7" ht="30" x14ac:dyDescent="0.25">
      <c r="A170" s="484" t="s">
        <v>2531</v>
      </c>
      <c r="B170" s="485">
        <v>0</v>
      </c>
      <c r="C170" s="486" t="s">
        <v>194</v>
      </c>
      <c r="D170" s="486" t="s">
        <v>194</v>
      </c>
      <c r="E170" s="486" t="s">
        <v>194</v>
      </c>
      <c r="F170" s="499" t="s">
        <v>2532</v>
      </c>
      <c r="G170" s="499" t="s">
        <v>2532</v>
      </c>
    </row>
    <row r="171" spans="1:7" ht="30" x14ac:dyDescent="0.25">
      <c r="A171" s="484" t="s">
        <v>2533</v>
      </c>
      <c r="B171" s="485">
        <v>0</v>
      </c>
      <c r="C171" s="486" t="s">
        <v>196</v>
      </c>
      <c r="D171" s="486" t="s">
        <v>196</v>
      </c>
      <c r="E171" s="486" t="s">
        <v>196</v>
      </c>
      <c r="F171" s="499" t="s">
        <v>2534</v>
      </c>
      <c r="G171" s="499" t="s">
        <v>2534</v>
      </c>
    </row>
    <row r="172" spans="1:7" ht="30" x14ac:dyDescent="0.25">
      <c r="A172" s="484" t="s">
        <v>2543</v>
      </c>
      <c r="B172" s="485">
        <v>0</v>
      </c>
      <c r="C172" s="467" t="s">
        <v>2544</v>
      </c>
      <c r="D172" s="467" t="s">
        <v>2544</v>
      </c>
      <c r="E172" s="467" t="s">
        <v>2544</v>
      </c>
      <c r="F172" s="499" t="s">
        <v>2545</v>
      </c>
      <c r="G172" s="499" t="s">
        <v>2545</v>
      </c>
    </row>
    <row r="173" spans="1:7" ht="30" x14ac:dyDescent="0.25">
      <c r="A173" s="484" t="s">
        <v>2552</v>
      </c>
      <c r="B173" s="485">
        <v>0</v>
      </c>
      <c r="C173" s="486" t="s">
        <v>2550</v>
      </c>
      <c r="D173" s="486" t="s">
        <v>2550</v>
      </c>
      <c r="E173" s="486" t="s">
        <v>2550</v>
      </c>
      <c r="F173" s="499" t="s">
        <v>2551</v>
      </c>
      <c r="G173" s="499" t="s">
        <v>2551</v>
      </c>
    </row>
    <row r="174" spans="1:7" ht="30" x14ac:dyDescent="0.25">
      <c r="A174" s="484" t="s">
        <v>2553</v>
      </c>
      <c r="B174" s="485">
        <v>0</v>
      </c>
      <c r="C174" s="486" t="s">
        <v>2554</v>
      </c>
      <c r="D174" s="486" t="s">
        <v>2554</v>
      </c>
      <c r="E174" s="486" t="s">
        <v>2554</v>
      </c>
      <c r="F174" s="479" t="s">
        <v>2555</v>
      </c>
      <c r="G174" s="479" t="s">
        <v>2555</v>
      </c>
    </row>
    <row r="175" spans="1:7" ht="36" x14ac:dyDescent="0.25">
      <c r="A175" s="484" t="s">
        <v>2576</v>
      </c>
      <c r="B175" s="485">
        <v>0</v>
      </c>
      <c r="C175" s="486" t="s">
        <v>2577</v>
      </c>
      <c r="D175" s="486" t="s">
        <v>2577</v>
      </c>
      <c r="E175" s="486" t="s">
        <v>2577</v>
      </c>
      <c r="F175" s="499" t="s">
        <v>2578</v>
      </c>
      <c r="G175" s="499" t="s">
        <v>2578</v>
      </c>
    </row>
  </sheetData>
  <phoneticPr fontId="2" type="noConversion"/>
  <hyperlinks>
    <hyperlink ref="F14" r:id="rId1" xr:uid="{E5C4794D-07AD-482B-B5E7-4E61A2C1C474}"/>
    <hyperlink ref="F126" r:id="rId2" xr:uid="{6521E40C-E712-44B9-A82E-3A7B89A48EE2}"/>
    <hyperlink ref="F127" r:id="rId3" xr:uid="{CAFDA063-0D90-46ED-8FA3-E586947295DB}"/>
    <hyperlink ref="F63" r:id="rId4" xr:uid="{CE44CA18-EB07-4F10-BB22-C20A9B8BAC04}"/>
    <hyperlink ref="F66" r:id="rId5" display="asesorjuridica@unitropico.edu.co - " xr:uid="{35D300F4-B57C-4072-BB2F-5C9AEDFA1962}"/>
    <hyperlink ref="F118" r:id="rId6" xr:uid="{13C979FB-8F08-48B4-ABD6-6976A9120E5C}"/>
    <hyperlink ref="F56" r:id="rId7" xr:uid="{07BD6BAB-B2C2-4AE8-86BC-2EE3E7ECAB65}"/>
    <hyperlink ref="F39" r:id="rId8" xr:uid="{4B0A6F85-3F6A-42B0-B048-5D9AD9587942}"/>
    <hyperlink ref="F111" r:id="rId9" xr:uid="{D80E8BD1-BD71-4F56-BBA1-BBC1CE30A4A8}"/>
    <hyperlink ref="F112" r:id="rId10" xr:uid="{34CF4571-570B-4AEE-A76A-902D39EB80EF}"/>
    <hyperlink ref="F18" r:id="rId11" xr:uid="{7065FF3A-BCDE-4532-8403-16041831F537}"/>
    <hyperlink ref="F48" r:id="rId12" xr:uid="{D567D684-7BE1-41F2-A99E-9A4B964CB4A2}"/>
    <hyperlink ref="G61" r:id="rId13" xr:uid="{F06E56AB-29F3-41FA-9D98-FDA6D2580757}"/>
    <hyperlink ref="G68" r:id="rId14" xr:uid="{4AEB2804-1D98-4A3C-9772-A5CEEC7A01D3}"/>
    <hyperlink ref="G69" r:id="rId15" xr:uid="{463A76F8-1A5D-485B-9475-85773FD1F1C4}"/>
    <hyperlink ref="G34" r:id="rId16" xr:uid="{393A1CFF-3C03-4F1A-A5F3-FF44C524EA1F}"/>
    <hyperlink ref="F145" r:id="rId17" xr:uid="{B62E89E6-396D-44F7-8F81-BCCCE5AD0844}"/>
    <hyperlink ref="F170" r:id="rId18" xr:uid="{64B9DC70-4A55-453D-A74C-00DF09CA144E}"/>
    <hyperlink ref="G170" r:id="rId19" xr:uid="{4CBB45C1-5DEB-4A2F-88A3-AB81534A7A2D}"/>
    <hyperlink ref="F171" r:id="rId20" xr:uid="{918BA711-8FD9-4A6A-B993-5ECEA1A969A2}"/>
    <hyperlink ref="G171" r:id="rId21" xr:uid="{00D40EEB-3CAD-49C0-B480-58A4A9BD43F7}"/>
    <hyperlink ref="F172" r:id="rId22" xr:uid="{7A155402-5598-46F7-B5B2-5D2E95C39C17}"/>
    <hyperlink ref="G172" r:id="rId23" xr:uid="{43EC6C1D-71A7-4087-867E-60E78D550978}"/>
    <hyperlink ref="F173" r:id="rId24" xr:uid="{8D063E00-8106-45B3-B55B-F7E2A95E03BB}"/>
    <hyperlink ref="G173" r:id="rId25" xr:uid="{27020D04-41EA-460F-8E05-C2A8B4D6D1F5}"/>
    <hyperlink ref="F174" r:id="rId26" xr:uid="{04CCC58F-5760-4F3A-B2FD-8BB5E9A4D154}"/>
    <hyperlink ref="G174" r:id="rId27" xr:uid="{547B69EB-3135-47DE-8FD1-14299275009B}"/>
    <hyperlink ref="F175" r:id="rId28" xr:uid="{A0124615-1BD5-4C5D-AE0F-18363870D8E9}"/>
    <hyperlink ref="G175" r:id="rId29" xr:uid="{08603E46-BA35-46AD-98BD-300CDA5E9FD2}"/>
    <hyperlink ref="F43" r:id="rId30" xr:uid="{E15984EE-E671-4125-ADDE-A620100137B7}"/>
    <hyperlink ref="G111" r:id="rId31" xr:uid="{2C0CC267-D70C-4FD8-B033-574582E73A21}"/>
    <hyperlink ref="F125" r:id="rId32" xr:uid="{3C656E81-A177-4310-92EC-912467134DAD}"/>
    <hyperlink ref="G125" r:id="rId33" xr:uid="{62326116-8DC5-4E20-9A2A-65068372A327}"/>
  </hyperlinks>
  <pageMargins left="0.7" right="0.7" top="0.75" bottom="0.75" header="0.3" footer="0.3"/>
  <tableParts count="1">
    <tablePart r:id="rId3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S-PLAN</vt:lpstr>
      <vt:lpstr>Ejes</vt:lpstr>
      <vt:lpstr>Proyectos</vt:lpstr>
      <vt:lpstr>Responsables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Profesional  Planeación 2</dc:creator>
  <cp:keywords/>
  <dc:description/>
  <cp:lastModifiedBy>Innovación Planeación</cp:lastModifiedBy>
  <cp:revision/>
  <dcterms:created xsi:type="dcterms:W3CDTF">2025-02-21T12:54:08Z</dcterms:created>
  <dcterms:modified xsi:type="dcterms:W3CDTF">2025-09-04T12:34:21Z</dcterms:modified>
  <cp:category/>
  <cp:contentStatus/>
</cp:coreProperties>
</file>